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测绘面积" sheetId="77" r:id="rId45"/>
    <sheet name="不抵押面积"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4" hidden="1">测绘面积!$B$3:$U$136</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9" i="68" l="1"/>
  <c r="C9" i="68"/>
  <c r="D10" i="68"/>
  <c r="C10" i="68"/>
  <c r="B29" i="1"/>
  <c r="J145" i="77"/>
  <c r="J146" i="77"/>
  <c r="T136" i="77"/>
  <c r="O144" i="77"/>
  <c r="I14" i="3"/>
  <c r="E136" i="77"/>
  <c r="E135" i="77"/>
  <c r="T137" i="77"/>
  <c r="I16" i="3"/>
  <c r="J16" i="3"/>
  <c r="O145" i="77"/>
  <c r="AN15" i="3"/>
  <c r="I15" i="3"/>
  <c r="H15" i="3"/>
  <c r="AC15" i="3"/>
  <c r="G15" i="3"/>
  <c r="J15" i="3"/>
  <c r="J14" i="3"/>
  <c r="S6" i="78"/>
  <c r="AN14" i="3"/>
  <c r="H14" i="3"/>
  <c r="AC14" i="3"/>
  <c r="G14" i="3"/>
  <c r="I13" i="3"/>
  <c r="M156" i="78"/>
  <c r="M160" i="78"/>
  <c r="M163" i="78"/>
  <c r="M167" i="78"/>
  <c r="M168" i="78"/>
  <c r="M171" i="78"/>
  <c r="M173" i="78"/>
  <c r="M177" i="78"/>
  <c r="L177" i="78"/>
  <c r="K177" i="78"/>
  <c r="J177" i="78"/>
  <c r="M124" i="78"/>
  <c r="M121" i="78"/>
  <c r="M91" i="78"/>
  <c r="M90" i="78"/>
  <c r="M80" i="78"/>
  <c r="M73" i="78"/>
  <c r="M69" i="78"/>
  <c r="M61" i="78"/>
  <c r="M57" i="78"/>
  <c r="M45" i="78"/>
  <c r="M41" i="78"/>
  <c r="M34" i="78"/>
  <c r="M28" i="78"/>
  <c r="M27" i="78"/>
  <c r="M25" i="78"/>
  <c r="M24" i="78"/>
  <c r="M23" i="78"/>
  <c r="M22" i="78"/>
  <c r="M21" i="78"/>
  <c r="M20" i="78"/>
  <c r="M19" i="78"/>
  <c r="M17" i="78"/>
  <c r="M16" i="78"/>
  <c r="M15" i="78"/>
  <c r="M12" i="78"/>
  <c r="S5" i="78"/>
  <c r="S7" i="78"/>
  <c r="S8" i="78"/>
  <c r="S9" i="78"/>
  <c r="M5" i="78"/>
  <c r="B126" i="21"/>
  <c r="F44" i="21"/>
  <c r="AA44" i="21"/>
  <c r="R4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D87"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5" i="21"/>
  <c r="AA45" i="21"/>
  <c r="F46" i="21"/>
  <c r="AA46" i="21"/>
  <c r="R48" i="21"/>
  <c r="H44" i="21"/>
  <c r="AB44"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5" i="21"/>
  <c r="AB45" i="21"/>
  <c r="H46" i="21"/>
  <c r="AB46" i="21"/>
  <c r="T48" i="21"/>
  <c r="J44" i="21"/>
  <c r="AC44"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E87"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5" i="21"/>
  <c r="AC45" i="21"/>
  <c r="J46" i="21"/>
  <c r="AC46" i="21"/>
  <c r="V48" i="21"/>
  <c r="R49" i="21"/>
  <c r="C49" i="21"/>
  <c r="BM13" i="3"/>
  <c r="BL13" i="3"/>
  <c r="BB13" i="3"/>
  <c r="BC13" i="3"/>
  <c r="BA13" i="3"/>
  <c r="AZ13" i="3"/>
  <c r="BM16" i="3"/>
  <c r="BL16" i="3"/>
  <c r="BB16" i="3"/>
  <c r="BC16" i="3"/>
  <c r="BA16" i="3"/>
  <c r="AZ16" i="3"/>
  <c r="BB19" i="3"/>
  <c r="BA19" i="3"/>
  <c r="AZ19" i="3"/>
  <c r="BB20" i="3"/>
  <c r="BA20" i="3"/>
  <c r="AZ20" i="3"/>
  <c r="BB21" i="3"/>
  <c r="BA21" i="3"/>
  <c r="AZ21" i="3"/>
  <c r="BB22" i="3"/>
  <c r="BA22" i="3"/>
  <c r="AZ22" i="3"/>
  <c r="BB23" i="3"/>
  <c r="BA23" i="3"/>
  <c r="AZ23" i="3"/>
  <c r="BB14" i="3"/>
  <c r="BR14" i="3"/>
  <c r="BL14" i="3"/>
  <c r="B3" i="21"/>
  <c r="C6" i="12"/>
  <c r="B84" i="39"/>
  <c r="F13" i="39"/>
  <c r="AA13" i="39"/>
  <c r="B86" i="39"/>
  <c r="F14" i="39"/>
  <c r="AA14" i="39"/>
  <c r="F21" i="39"/>
  <c r="AA21" i="39"/>
  <c r="H13" i="39"/>
  <c r="AB13" i="39"/>
  <c r="H14" i="39"/>
  <c r="AB14" i="39"/>
  <c r="H21" i="39"/>
  <c r="AB21" i="39"/>
  <c r="J13" i="39"/>
  <c r="AC13" i="39"/>
  <c r="J14" i="39"/>
  <c r="AC14" i="39"/>
  <c r="J21" i="39"/>
  <c r="AC21" i="39"/>
  <c r="C38" i="39"/>
  <c r="AD5" i="3"/>
  <c r="I5" i="3"/>
  <c r="I4" i="6"/>
  <c r="C11" i="39"/>
  <c r="J5" i="3"/>
  <c r="F19" i="6"/>
  <c r="C19" i="6"/>
  <c r="A3" i="3"/>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3" i="15"/>
  <c r="C18" i="43"/>
  <c r="AH5" i="3"/>
  <c r="AL5" i="3"/>
  <c r="AP5" i="3"/>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D13" i="3"/>
  <c r="BE13" i="3"/>
  <c r="BF13" i="3"/>
  <c r="BG13" i="3"/>
  <c r="BH13" i="3"/>
  <c r="BI13" i="3"/>
  <c r="BJ13" i="3"/>
  <c r="BK13" i="3"/>
  <c r="BN13" i="3"/>
  <c r="BO13" i="3"/>
  <c r="BP13" i="3"/>
  <c r="BQ13" i="3"/>
  <c r="BR13" i="3"/>
  <c r="BS13" i="3"/>
  <c r="BT13" i="3"/>
  <c r="BD14" i="3"/>
  <c r="BE14" i="3"/>
  <c r="BF14" i="3"/>
  <c r="BG14" i="3"/>
  <c r="BH14" i="3"/>
  <c r="BI14" i="3"/>
  <c r="BJ14" i="3"/>
  <c r="BK14" i="3"/>
  <c r="BM14" i="3"/>
  <c r="BN14" i="3"/>
  <c r="BO14" i="3"/>
  <c r="BP14" i="3"/>
  <c r="BQ14" i="3"/>
  <c r="BS14" i="3"/>
  <c r="BT14" i="3"/>
  <c r="BB15" i="3"/>
  <c r="BC15" i="3"/>
  <c r="BD15" i="3"/>
  <c r="BE15" i="3"/>
  <c r="BF15" i="3"/>
  <c r="BG15" i="3"/>
  <c r="BH15" i="3"/>
  <c r="BI15" i="3"/>
  <c r="BJ15" i="3"/>
  <c r="BK15" i="3"/>
  <c r="BA15" i="3"/>
  <c r="BM15" i="3"/>
  <c r="BN15" i="3"/>
  <c r="BO15" i="3"/>
  <c r="BP15" i="3"/>
  <c r="BQ15" i="3"/>
  <c r="BR15" i="3"/>
  <c r="BS15" i="3"/>
  <c r="BT15" i="3"/>
  <c r="BL15" i="3"/>
  <c r="AZ15" i="3"/>
  <c r="BD16" i="3"/>
  <c r="BE16" i="3"/>
  <c r="BF16" i="3"/>
  <c r="BG16" i="3"/>
  <c r="BH16" i="3"/>
  <c r="BI16" i="3"/>
  <c r="BJ16" i="3"/>
  <c r="BK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D83"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81" i="21"/>
  <c r="G81" i="21"/>
  <c r="D77" i="21"/>
  <c r="E77" i="21"/>
  <c r="B130" i="21"/>
  <c r="B128" i="21"/>
  <c r="W45" i="21"/>
  <c r="B98" i="21"/>
  <c r="B96" i="21"/>
  <c r="B94" i="21"/>
  <c r="B92" i="21"/>
  <c r="B90" i="21"/>
  <c r="W27" i="21"/>
  <c r="B74" i="21"/>
  <c r="B72" i="21"/>
  <c r="B70"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T5" i="3"/>
  <c r="BB5" i="3"/>
  <c r="BR5" i="3"/>
  <c r="G28" i="6"/>
  <c r="E8" i="6"/>
  <c r="F27" i="6"/>
  <c r="U36" i="40"/>
  <c r="N4" i="43"/>
  <c r="F81" i="43"/>
  <c r="H83" i="43"/>
  <c r="F48" i="43"/>
  <c r="H52" i="43"/>
  <c r="N7" i="43"/>
  <c r="F70" i="43"/>
  <c r="H73" i="43"/>
  <c r="M6" i="43"/>
  <c r="M11" i="43"/>
  <c r="E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K6" i="1"/>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G95" i="39"/>
  <c r="W19" i="39"/>
  <c r="U19" i="39"/>
  <c r="S17" i="39"/>
  <c r="AC15"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C18" i="9"/>
  <c r="D18" i="9"/>
  <c r="F34" i="67"/>
  <c r="F62" i="67"/>
  <c r="M20" i="67"/>
  <c r="F34" i="15"/>
  <c r="F62" i="15"/>
  <c r="G30" i="6"/>
  <c r="G31" i="6"/>
  <c r="J56" i="9"/>
  <c r="J57" i="9"/>
  <c r="A24" i="51"/>
  <c r="B18" i="72"/>
  <c r="U29" i="34"/>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G106" i="43"/>
  <c r="K106" i="43"/>
  <c r="K105" i="43"/>
  <c r="S2" i="43"/>
  <c r="F103" i="43"/>
  <c r="F105" i="43"/>
  <c r="J106" i="43"/>
  <c r="N104" i="43"/>
  <c r="N107" i="43"/>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S13" i="39"/>
  <c r="S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M18" i="67"/>
  <c r="F32" i="67"/>
  <c r="F60" i="67"/>
  <c r="F30" i="69"/>
  <c r="C48" i="69"/>
  <c r="F32" i="15"/>
  <c r="F60" i="15"/>
  <c r="M18" i="15"/>
  <c r="F28" i="15"/>
  <c r="T11" i="1"/>
  <c r="D9" i="69"/>
  <c r="C9" i="69"/>
  <c r="D19" i="12"/>
  <c r="C19" i="12"/>
  <c r="AQ9" i="1"/>
  <c r="AR11" i="1"/>
  <c r="D68" i="39"/>
  <c r="D70" i="39"/>
  <c r="C28" i="15"/>
  <c r="E30" i="6"/>
  <c r="K15" i="1"/>
  <c r="T9" i="1"/>
  <c r="T13" i="1"/>
  <c r="C48" i="68"/>
  <c r="C77" i="9"/>
  <c r="C74" i="9"/>
  <c r="C30" i="69"/>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K14" i="1"/>
  <c r="M14" i="1"/>
  <c r="O14" i="1"/>
  <c r="P14" i="1"/>
  <c r="BL5" i="3"/>
  <c r="J59" i="9"/>
  <c r="J61" i="9"/>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L102" i="43"/>
  <c r="L106" i="43"/>
  <c r="L105" i="43"/>
  <c r="L107" i="43"/>
  <c r="L104" i="43"/>
  <c r="L103" i="43"/>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L27"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K16" i="1"/>
  <c r="W33" i="21"/>
  <c r="S33" i="21"/>
  <c r="W32" i="21"/>
  <c r="U9" i="21"/>
  <c r="S32" i="21"/>
  <c r="W9" i="21"/>
  <c r="U32" i="21"/>
  <c r="S10" i="21"/>
  <c r="C36" i="69"/>
  <c r="F31" i="15"/>
  <c r="C16" i="67"/>
  <c r="M17" i="15"/>
  <c r="F59" i="67"/>
  <c r="C17" i="15"/>
  <c r="F59" i="15"/>
  <c r="F31" i="67"/>
  <c r="M17" i="67"/>
  <c r="C16" i="15"/>
  <c r="T7" i="1"/>
  <c r="AR7" i="1"/>
  <c r="L59" i="15"/>
  <c r="Q74" i="15"/>
  <c r="C30" i="11"/>
  <c r="E6" i="70"/>
  <c r="A18" i="62"/>
  <c r="B64" i="72"/>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J6" i="15"/>
  <c r="J10" i="15"/>
  <c r="F7" i="36"/>
  <c r="S7" i="36"/>
  <c r="H7" i="37"/>
  <c r="U7" i="37"/>
  <c r="C5" i="15"/>
  <c r="C32" i="15"/>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AB7" i="36"/>
  <c r="T36" i="36"/>
  <c r="C38" i="15"/>
  <c r="E38" i="43"/>
  <c r="C47" i="68"/>
  <c r="D45" i="68"/>
  <c r="R7" i="1"/>
  <c r="C13" i="12"/>
  <c r="P16" i="1"/>
  <c r="C11" i="12"/>
  <c r="C26" i="12"/>
  <c r="D25" i="12"/>
  <c r="F34" i="11"/>
  <c r="F11" i="12"/>
  <c r="F34" i="68"/>
  <c r="C36" i="68"/>
  <c r="C26" i="68"/>
  <c r="D22" i="68"/>
  <c r="C44" i="68"/>
  <c r="D41" i="68"/>
  <c r="C26" i="69"/>
  <c r="D22" i="69"/>
  <c r="C44" i="69"/>
  <c r="D41" i="69"/>
  <c r="C26" i="11"/>
  <c r="D22"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C38" i="67"/>
  <c r="F50" i="11"/>
  <c r="F50" i="69"/>
  <c r="F50" i="68"/>
  <c r="C47" i="11"/>
  <c r="D45" i="11"/>
  <c r="C29" i="11"/>
  <c r="D27" i="11"/>
  <c r="L16" i="1"/>
  <c r="C34" i="11"/>
  <c r="C36" i="11"/>
  <c r="J24" i="67"/>
  <c r="J18" i="67"/>
  <c r="J24" i="15"/>
  <c r="J18" i="15"/>
  <c r="G36" i="36"/>
  <c r="R37" i="36"/>
  <c r="AB7" i="34"/>
  <c r="T49" i="34"/>
  <c r="G49" i="34"/>
  <c r="G53" i="34"/>
  <c r="H53" i="34"/>
  <c r="W7" i="21"/>
  <c r="E48" i="21"/>
  <c r="E52" i="21"/>
  <c r="F52" i="21"/>
  <c r="R8" i="1"/>
  <c r="C12" i="12"/>
  <c r="C15" i="12"/>
  <c r="C34" i="68"/>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C35" i="11"/>
  <c r="C38" i="11"/>
  <c r="C48" i="21"/>
  <c r="G54" i="34"/>
  <c r="H54" i="34"/>
  <c r="I53" i="21"/>
  <c r="J53" i="21"/>
  <c r="C37" i="36"/>
  <c r="C36" i="36"/>
  <c r="G40" i="36"/>
  <c r="H40" i="36"/>
  <c r="E41" i="36"/>
  <c r="F41" i="36"/>
  <c r="G41" i="36"/>
  <c r="H41" i="36"/>
  <c r="C19" i="68"/>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F35" i="67"/>
  <c r="M21" i="67"/>
  <c r="M21" i="15"/>
  <c r="F35" i="15"/>
  <c r="F63" i="67"/>
  <c r="C62" i="67"/>
  <c r="C34" i="67"/>
  <c r="J20" i="67"/>
  <c r="C24" i="68"/>
  <c r="J20" i="15"/>
  <c r="F63" i="15"/>
  <c r="C62" i="15"/>
  <c r="C34" i="15"/>
  <c r="I63" i="40"/>
  <c r="H65" i="40"/>
  <c r="I70" i="39"/>
  <c r="J63" i="40"/>
  <c r="I65" i="40"/>
  <c r="J70" i="39"/>
  <c r="K63" i="40"/>
  <c r="J65" i="40"/>
  <c r="K70" i="39"/>
  <c r="L63" i="40"/>
  <c r="K65" i="40"/>
  <c r="L70" i="39"/>
  <c r="E2" i="70"/>
  <c r="C34" i="69"/>
  <c r="C17" i="67"/>
  <c r="M63" i="40"/>
  <c r="L65" i="40"/>
  <c r="M70" i="39"/>
  <c r="C35" i="69"/>
  <c r="C38" i="69"/>
  <c r="N63" i="40"/>
  <c r="M65" i="40"/>
  <c r="O70" i="39"/>
  <c r="N70" i="39"/>
  <c r="O63" i="40"/>
  <c r="O65" i="40"/>
  <c r="N65" i="40"/>
  <c r="C14" i="67"/>
  <c r="F7" i="40"/>
  <c r="H7" i="40"/>
  <c r="J7" i="40"/>
  <c r="C15" i="67"/>
  <c r="C18" i="67"/>
  <c r="W7" i="40"/>
  <c r="AC7" i="40"/>
  <c r="V42" i="40"/>
  <c r="I42" i="40"/>
  <c r="AB7" i="40"/>
  <c r="T42" i="40"/>
  <c r="G42" i="40"/>
  <c r="U7" i="40"/>
  <c r="AA7" i="40"/>
  <c r="R42" i="40"/>
  <c r="S7" i="40"/>
  <c r="C19" i="67"/>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B57" i="40"/>
  <c r="B58" i="40"/>
  <c r="B59" i="40"/>
  <c r="B52" i="40"/>
  <c r="F52" i="40"/>
  <c r="B56" i="40"/>
  <c r="B51" i="40"/>
  <c r="F51" i="40"/>
  <c r="B54" i="40"/>
  <c r="F54" i="40"/>
  <c r="C64" i="67"/>
  <c r="C56" i="67"/>
  <c r="C65" i="67"/>
  <c r="J22" i="67"/>
  <c r="J16" i="67"/>
  <c r="J25" i="67"/>
  <c r="C75" i="67"/>
  <c r="C37" i="67"/>
  <c r="C30" i="67"/>
  <c r="C39" i="67"/>
  <c r="C48" i="67"/>
  <c r="C60" i="67"/>
  <c r="AE7" i="1"/>
  <c r="L51" i="67"/>
  <c r="C14" i="15"/>
  <c r="L57" i="67"/>
  <c r="L60" i="67"/>
  <c r="L46" i="67"/>
  <c r="C80" i="67"/>
  <c r="C79" i="67"/>
  <c r="Q69" i="67"/>
  <c r="Q68" i="67"/>
  <c r="Q67" i="67"/>
  <c r="C59" i="67"/>
  <c r="C66" i="67"/>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70"/>
  <c r="B3" i="70"/>
  <c r="G16" i="1"/>
  <c r="F10" i="39"/>
  <c r="AA10" i="39"/>
  <c r="R47" i="39"/>
  <c r="H10" i="39"/>
  <c r="AB10" i="39"/>
  <c r="T47" i="39"/>
  <c r="J10" i="39"/>
  <c r="AC10" i="39"/>
  <c r="V47" i="39"/>
  <c r="R48" i="39"/>
  <c r="C48" i="39"/>
  <c r="B56" i="39"/>
  <c r="F56" i="39"/>
  <c r="B57" i="39"/>
  <c r="F57" i="39"/>
  <c r="B58" i="39"/>
  <c r="F58" i="39"/>
  <c r="B59" i="39"/>
  <c r="F59" i="39"/>
  <c r="B60" i="39"/>
  <c r="F60" i="39"/>
  <c r="B61" i="39"/>
  <c r="B62" i="39"/>
  <c r="B63" i="39"/>
  <c r="B64" i="39"/>
  <c r="B65" i="39"/>
  <c r="H109" i="9"/>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AD3" i="71"/>
  <c r="P21" i="43"/>
  <c r="P22" i="43"/>
  <c r="P23" i="43"/>
  <c r="B71" i="39"/>
  <c r="P24" i="43"/>
  <c r="B66" i="40"/>
  <c r="P25" i="43"/>
  <c r="C23" i="43"/>
  <c r="C21" i="43"/>
  <c r="C29" i="43"/>
  <c r="E29" i="43"/>
  <c r="C26" i="43"/>
  <c r="B2" i="43"/>
  <c r="B3" i="43"/>
  <c r="B6" i="76"/>
  <c r="B2" i="76"/>
  <c r="C30" i="43"/>
  <c r="E30" i="43"/>
  <c r="C27" i="43"/>
  <c r="E6" i="76"/>
  <c r="E2" i="76"/>
  <c r="B3" i="76"/>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BC14" i="3"/>
  <c r="BC5" i="3"/>
  <c r="E11" i="6"/>
  <c r="E61" i="39"/>
  <c r="F61" i="39"/>
  <c r="E12" i="6"/>
  <c r="E62" i="39"/>
  <c r="F62" i="39"/>
  <c r="E13" i="6"/>
  <c r="E63" i="39"/>
  <c r="F63" i="39"/>
  <c r="E14" i="6"/>
  <c r="E64" i="39"/>
  <c r="F64" i="39"/>
  <c r="E15" i="6"/>
  <c r="E65" i="39"/>
  <c r="F65" i="39"/>
  <c r="F66" i="39"/>
  <c r="B2" i="39"/>
  <c r="C6" i="68"/>
  <c r="C7" i="68"/>
  <c r="C5" i="68"/>
  <c r="C20" i="68"/>
  <c r="C23" i="68"/>
  <c r="C25" i="68"/>
  <c r="C22" i="68"/>
  <c r="C28" i="68"/>
  <c r="C27" i="68"/>
  <c r="C31" i="68"/>
  <c r="BA14" i="3"/>
  <c r="AZ14" i="3"/>
  <c r="AZ5" i="3"/>
  <c r="E3" i="6"/>
  <c r="E6" i="6"/>
  <c r="D19" i="68"/>
  <c r="D37" i="68"/>
  <c r="C37" i="68"/>
  <c r="C33" i="68"/>
  <c r="C39" i="68"/>
  <c r="C42" i="68"/>
  <c r="C43" i="68"/>
  <c r="C41" i="68"/>
  <c r="C46" i="68"/>
  <c r="C45" i="68"/>
  <c r="C49" i="68"/>
  <c r="C51" i="68"/>
  <c r="C52" i="68"/>
  <c r="B2" i="68"/>
  <c r="C19" i="9"/>
  <c r="C102" i="9"/>
  <c r="G5" i="3"/>
  <c r="B3" i="3"/>
  <c r="AY6" i="3"/>
  <c r="D3" i="6"/>
  <c r="L19" i="9"/>
  <c r="C21" i="9"/>
  <c r="D3" i="21"/>
  <c r="B2" i="21"/>
  <c r="C8" i="12"/>
  <c r="C4" i="12"/>
  <c r="D14" i="12"/>
  <c r="C14" i="12"/>
  <c r="C16" i="12"/>
  <c r="D17" i="12"/>
  <c r="C17" i="12"/>
  <c r="D20" i="12"/>
  <c r="C20" i="12"/>
  <c r="C18" i="12"/>
  <c r="C21" i="12"/>
  <c r="C22" i="12"/>
  <c r="C23" i="12"/>
  <c r="C27" i="12"/>
  <c r="C25" i="12"/>
  <c r="C30" i="12"/>
  <c r="C28" i="12"/>
  <c r="C31" i="12"/>
  <c r="C32" i="12"/>
  <c r="B2" i="12"/>
  <c r="D19" i="9"/>
  <c r="D22" i="9"/>
  <c r="B3" i="68"/>
  <c r="C20" i="9"/>
  <c r="C103" i="9"/>
  <c r="B3" i="12"/>
  <c r="D20" i="9"/>
  <c r="G20" i="9"/>
  <c r="G19" i="9"/>
  <c r="G21" i="9"/>
  <c r="C32" i="9"/>
  <c r="H118" i="9"/>
  <c r="H101" i="9"/>
  <c r="H107" i="9"/>
  <c r="M49" i="9"/>
  <c r="L63" i="9"/>
  <c r="M63" i="9"/>
  <c r="L64" i="9"/>
  <c r="M64" i="9"/>
  <c r="L65" i="9"/>
  <c r="M65" i="9"/>
  <c r="L66" i="9"/>
  <c r="M66" i="9"/>
  <c r="L67" i="9"/>
  <c r="M67" i="9"/>
  <c r="L68" i="9"/>
  <c r="M68" i="9"/>
  <c r="M69" i="9"/>
  <c r="N69" i="9"/>
  <c r="B3" i="39"/>
  <c r="C57" i="68"/>
  <c r="D35" i="9"/>
  <c r="C35" i="9"/>
  <c r="F118" i="9"/>
  <c r="M18" i="9"/>
  <c r="B118" i="9"/>
  <c r="G118" i="9"/>
  <c r="G4" i="52"/>
  <c r="B52" i="72"/>
  <c r="C34" i="9"/>
  <c r="D118" i="9"/>
  <c r="D119" i="9"/>
  <c r="D5" i="52"/>
  <c r="B49" i="72"/>
  <c r="C104" i="9"/>
  <c r="M48" i="9"/>
  <c r="I118" i="9"/>
  <c r="C105" i="9"/>
  <c r="H119" i="9"/>
  <c r="H5" i="52"/>
  <c r="F4" i="52"/>
  <c r="B51" i="72"/>
  <c r="F119" i="9"/>
  <c r="F5" i="52"/>
  <c r="B53" i="72"/>
  <c r="H4" i="52"/>
  <c r="D4" i="52"/>
  <c r="B47" i="72"/>
  <c r="D45" i="9"/>
  <c r="D53" i="9"/>
  <c r="I4" i="52"/>
  <c r="D5" i="53"/>
  <c r="B20" i="72"/>
  <c r="H102" i="9"/>
  <c r="D7" i="53"/>
  <c r="B21" i="72"/>
  <c r="E118" i="9"/>
  <c r="E4" i="52"/>
  <c r="B48" i="72"/>
  <c r="H108" i="9"/>
  <c r="D15" i="53"/>
  <c r="B31" i="72"/>
  <c r="D14" i="74"/>
  <c r="B14" i="74"/>
  <c r="E14" i="74"/>
  <c r="M19" i="9"/>
  <c r="C118" i="9"/>
  <c r="C14" i="74"/>
  <c r="F14" i="74"/>
  <c r="D52" i="9"/>
  <c r="D6" i="53"/>
  <c r="B22" i="72"/>
  <c r="B5" i="74"/>
  <c r="B2" i="74"/>
  <c r="D5" i="74"/>
  <c r="B1"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P57" i="9"/>
  <c r="N58" i="9"/>
  <c r="N59" i="9"/>
  <c r="N61" i="9"/>
  <c r="N60" i="9"/>
  <c r="C8" i="74"/>
  <c r="D8" i="74"/>
  <c r="D3" i="33"/>
  <c r="B2" i="33"/>
  <c r="B3" i="33"/>
  <c r="C7" i="74"/>
  <c r="D7" i="74"/>
  <c r="C56" i="68"/>
  <c r="D34" i="9"/>
  <c r="D103" i="9"/>
  <c r="D21" i="9"/>
  <c r="D102" i="9"/>
  <c r="D3" i="34"/>
  <c r="B2" i="34"/>
  <c r="B3" i="34"/>
  <c r="D3" i="37"/>
  <c r="B2" i="37"/>
  <c r="B3" i="37"/>
  <c r="D10" i="69"/>
  <c r="C10" i="69"/>
  <c r="C8" i="69"/>
  <c r="C5" i="69"/>
  <c r="D19" i="69"/>
  <c r="C19" i="69"/>
  <c r="C20" i="69"/>
  <c r="C23" i="69"/>
  <c r="C24" i="69"/>
  <c r="C25" i="69"/>
  <c r="C22" i="69"/>
  <c r="C28" i="69"/>
  <c r="C27" i="69"/>
  <c r="C31" i="69"/>
  <c r="D37" i="69"/>
  <c r="C37" i="69"/>
  <c r="C33" i="69"/>
  <c r="C39" i="69"/>
  <c r="C42" i="69"/>
  <c r="C43" i="69"/>
  <c r="C41" i="69"/>
  <c r="C46" i="69"/>
  <c r="C45" i="69"/>
  <c r="C49" i="69"/>
  <c r="C51" i="69"/>
  <c r="C52" i="69"/>
  <c r="B2" i="69"/>
  <c r="B3" i="69"/>
  <c r="BA5" i="3"/>
  <c r="E27" i="6"/>
  <c r="K19" i="6"/>
  <c r="S6" i="1"/>
  <c r="T6" i="1"/>
  <c r="T16" i="1"/>
  <c r="S16" i="1"/>
  <c r="C57" i="69"/>
  <c r="C56" i="69"/>
  <c r="E56" i="40"/>
  <c r="F56" i="40"/>
  <c r="E59" i="40"/>
  <c r="F59" i="40"/>
  <c r="E58" i="40"/>
  <c r="F58" i="40"/>
  <c r="E57" i="40"/>
  <c r="F57" i="40"/>
  <c r="E61" i="40"/>
  <c r="F61" i="40"/>
  <c r="B2" i="40"/>
  <c r="B3" i="40"/>
  <c r="E60" i="40"/>
  <c r="F60" i="40"/>
  <c r="D37" i="11"/>
  <c r="C37" i="11"/>
  <c r="C33" i="11"/>
  <c r="C39" i="11"/>
  <c r="C42" i="11"/>
  <c r="C43" i="11"/>
  <c r="C41" i="11"/>
  <c r="C46" i="11"/>
  <c r="C45" i="11"/>
  <c r="C49" i="11"/>
  <c r="C51" i="11"/>
  <c r="D19" i="11"/>
  <c r="C19" i="11"/>
  <c r="C20" i="11"/>
  <c r="C24" i="11"/>
  <c r="C25" i="11"/>
  <c r="C22" i="11"/>
  <c r="C28" i="11"/>
  <c r="C27" i="11"/>
  <c r="C31" i="11"/>
  <c r="C52" i="11"/>
  <c r="C56" i="11"/>
  <c r="C57" i="11"/>
  <c r="B2" i="11"/>
  <c r="B3" i="11"/>
  <c r="D19" i="6"/>
  <c r="M19" i="6"/>
  <c r="I19" i="6"/>
  <c r="H19" i="6"/>
  <c r="R19" i="6"/>
  <c r="R6" i="1"/>
  <c r="R16" i="1"/>
  <c r="E31" i="6"/>
  <c r="D20" i="6"/>
  <c r="D21" i="6"/>
  <c r="D22" i="6"/>
  <c r="D23" i="6"/>
  <c r="D24" i="6"/>
  <c r="D25" i="6"/>
  <c r="D26" i="6"/>
  <c r="D27" i="6"/>
  <c r="D28" i="6"/>
  <c r="D29" i="6"/>
  <c r="D30" i="6"/>
  <c r="D31" i="6"/>
  <c r="I5" i="6"/>
  <c r="K20" i="6"/>
  <c r="M20" i="6"/>
  <c r="I20" i="6"/>
  <c r="H20" i="6"/>
  <c r="R20" i="6"/>
  <c r="K21" i="6"/>
  <c r="M21" i="6"/>
  <c r="I21" i="6"/>
  <c r="H21" i="6"/>
  <c r="R21" i="6"/>
  <c r="K22" i="6"/>
  <c r="M22" i="6"/>
  <c r="I22" i="6"/>
  <c r="H22" i="6"/>
  <c r="R22" i="6"/>
  <c r="K23" i="6"/>
  <c r="M23" i="6"/>
  <c r="I23" i="6"/>
  <c r="H23" i="6"/>
  <c r="R23" i="6"/>
  <c r="K24" i="6"/>
  <c r="M24" i="6"/>
  <c r="I24" i="6"/>
  <c r="H24" i="6"/>
  <c r="R24" i="6"/>
  <c r="K25" i="6"/>
  <c r="M25" i="6"/>
  <c r="I25" i="6"/>
  <c r="H25" i="6"/>
  <c r="R25" i="6"/>
  <c r="K26" i="6"/>
  <c r="M26" i="6"/>
  <c r="I26" i="6"/>
  <c r="H26" i="6"/>
  <c r="R26" i="6"/>
  <c r="R27" i="6"/>
  <c r="I6" i="6"/>
  <c r="H27" i="6"/>
  <c r="C18" i="4"/>
  <c r="C17" i="4"/>
  <c r="A10" i="51"/>
  <c r="B9" i="72"/>
  <c r="C4" i="52"/>
  <c r="B45" i="72"/>
  <c r="A7" i="51"/>
  <c r="B7" i="72"/>
  <c r="D8" i="6"/>
  <c r="D9" i="6"/>
  <c r="E10" i="6"/>
  <c r="D10" i="6"/>
  <c r="D11" i="6"/>
  <c r="D12" i="6"/>
  <c r="D13" i="6"/>
  <c r="D14" i="6"/>
  <c r="D15" i="6"/>
  <c r="D16" i="6"/>
  <c r="I27" i="6"/>
  <c r="S19" i="6"/>
  <c r="S20" i="6"/>
  <c r="S21" i="6"/>
  <c r="S22" i="6"/>
  <c r="S23" i="6"/>
  <c r="S24" i="6"/>
  <c r="S25" i="6"/>
  <c r="S26" i="6"/>
  <c r="S27" i="6"/>
  <c r="D6" i="6"/>
  <c r="D5" i="6"/>
  <c r="D10" i="11"/>
  <c r="C10" i="11"/>
  <c r="I6" i="3"/>
  <c r="K5" i="3"/>
  <c r="K6" i="3"/>
  <c r="M6" i="3"/>
  <c r="O6" i="3"/>
  <c r="J6" i="3"/>
  <c r="L6" i="3"/>
  <c r="N6" i="3"/>
  <c r="P6" i="3"/>
  <c r="Q6" i="3"/>
  <c r="R6" i="3"/>
  <c r="S6" i="3"/>
  <c r="T6" i="3"/>
  <c r="U6" i="3"/>
  <c r="V6" i="3"/>
  <c r="W6" i="3"/>
  <c r="X6" i="3"/>
  <c r="Y6" i="3"/>
  <c r="Z6" i="3"/>
  <c r="AA6" i="3"/>
  <c r="AB6" i="3"/>
  <c r="H6" i="3"/>
  <c r="AD6" i="3"/>
  <c r="AF6" i="3"/>
  <c r="AH6" i="3"/>
  <c r="AJ6" i="3"/>
  <c r="AE6" i="3"/>
  <c r="AG6" i="3"/>
  <c r="AI6" i="3"/>
  <c r="AK6" i="3"/>
  <c r="AL6" i="3"/>
  <c r="AM6" i="3"/>
  <c r="AN6" i="3"/>
  <c r="AO6" i="3"/>
  <c r="AP6" i="3"/>
  <c r="AQ6" i="3"/>
  <c r="AR6" i="3"/>
  <c r="AS6" i="3"/>
  <c r="AC6" i="3"/>
  <c r="E6" i="3"/>
  <c r="M27" i="6"/>
  <c r="AY498" i="3"/>
  <c r="AY567" i="3"/>
  <c r="AY586" i="3"/>
  <c r="BT6" i="3"/>
  <c r="AY504" i="3"/>
  <c r="AY583" i="3"/>
  <c r="AY511" i="3"/>
  <c r="AY566" i="3"/>
  <c r="BC6" i="3"/>
  <c r="AY15" i="3"/>
  <c r="BD6" i="3"/>
  <c r="AY521" i="3"/>
  <c r="AY550" i="3"/>
  <c r="AY413" i="3"/>
  <c r="AY429" i="3"/>
  <c r="AY400" i="3"/>
  <c r="AY416" i="3"/>
  <c r="AY432" i="3"/>
  <c r="AY448" i="3"/>
  <c r="AY443" i="3"/>
  <c r="AY459" i="3"/>
  <c r="AY474" i="3"/>
  <c r="AY490" i="3"/>
  <c r="AY477" i="3"/>
  <c r="AY306" i="3"/>
  <c r="AY322" i="3"/>
  <c r="AY338" i="3"/>
  <c r="AY307" i="3"/>
  <c r="AY323" i="3"/>
  <c r="AY339" i="3"/>
  <c r="AY354" i="3"/>
  <c r="AY351" i="3"/>
  <c r="AY367" i="3"/>
  <c r="AY375" i="3"/>
  <c r="AY391" i="3"/>
  <c r="AY386" i="3"/>
  <c r="AY213" i="3"/>
  <c r="AY208" i="3"/>
  <c r="AY224" i="3"/>
  <c r="AY240" i="3"/>
  <c r="AY256" i="3"/>
  <c r="AY272" i="3"/>
  <c r="AY241" i="3"/>
  <c r="AY257" i="3"/>
  <c r="AY273" i="3"/>
  <c r="AY288" i="3"/>
  <c r="AY277" i="3"/>
  <c r="AY293" i="3"/>
  <c r="AY119" i="3"/>
  <c r="AY136" i="3"/>
  <c r="AY128" i="3"/>
  <c r="AY143" i="3"/>
  <c r="AY159" i="3"/>
  <c r="AY175" i="3"/>
  <c r="AY148" i="3"/>
  <c r="AY164" i="3"/>
  <c r="AY179" i="3"/>
  <c r="AY195" i="3"/>
  <c r="AY184" i="3"/>
  <c r="AY200" i="3"/>
  <c r="AY27" i="3"/>
  <c r="AY22" i="3"/>
  <c r="AY38" i="3"/>
  <c r="AY54" i="3"/>
  <c r="AY70" i="3"/>
  <c r="AY39" i="3"/>
  <c r="AY55" i="3"/>
  <c r="AY71" i="3"/>
  <c r="AY86" i="3"/>
  <c r="AY102" i="3"/>
  <c r="AY91" i="3"/>
  <c r="AY107" i="3"/>
  <c r="AY587" i="3"/>
  <c r="AY576" i="3"/>
  <c r="BL6" i="3"/>
  <c r="AY568" i="3"/>
  <c r="AY512" i="3"/>
  <c r="AY528" i="3"/>
  <c r="AY560" i="3"/>
  <c r="AY547" i="3"/>
  <c r="AY517" i="3"/>
  <c r="AY13" i="3"/>
  <c r="AY558" i="3"/>
  <c r="AY500" i="3"/>
  <c r="AY405" i="3"/>
  <c r="AY421" i="3"/>
  <c r="AY437" i="3"/>
  <c r="AY408" i="3"/>
  <c r="AY424" i="3"/>
  <c r="AY440" i="3"/>
  <c r="AY456" i="3"/>
  <c r="AY451" i="3"/>
  <c r="AY466" i="3"/>
  <c r="AY482" i="3"/>
  <c r="AY469" i="3"/>
  <c r="AY485" i="3"/>
  <c r="AY314" i="3"/>
  <c r="AY330" i="3"/>
  <c r="AY346" i="3"/>
  <c r="AY315" i="3"/>
  <c r="AY331" i="3"/>
  <c r="AY347" i="3"/>
  <c r="AY362" i="3"/>
  <c r="AY359" i="3"/>
  <c r="AY376" i="3"/>
  <c r="AY383" i="3"/>
  <c r="AY378" i="3"/>
  <c r="AY394" i="3"/>
  <c r="AY221" i="3"/>
  <c r="AY216" i="3"/>
  <c r="AY232" i="3"/>
  <c r="AY248" i="3"/>
  <c r="AY264" i="3"/>
  <c r="AY233" i="3"/>
  <c r="AY249" i="3"/>
  <c r="AY265" i="3"/>
  <c r="AY280" i="3"/>
  <c r="AY296" i="3"/>
  <c r="AY285" i="3"/>
  <c r="AY301" i="3"/>
  <c r="AY127" i="3"/>
  <c r="AY120" i="3"/>
  <c r="AY135" i="3"/>
  <c r="AY151" i="3"/>
  <c r="AY167" i="3"/>
  <c r="AY140" i="3"/>
  <c r="AY156" i="3"/>
  <c r="AY172" i="3"/>
  <c r="AY187" i="3"/>
  <c r="AY203" i="3"/>
  <c r="AY192" i="3"/>
  <c r="AY19" i="3"/>
  <c r="AY35" i="3"/>
  <c r="AY30" i="3"/>
  <c r="AY46" i="3"/>
  <c r="AY62" i="3"/>
  <c r="AY78" i="3"/>
  <c r="AY47" i="3"/>
  <c r="AY63" i="3"/>
  <c r="AY79" i="3"/>
  <c r="AY94" i="3"/>
  <c r="AY110" i="3"/>
  <c r="AY99" i="3"/>
  <c r="AY493" i="3"/>
  <c r="BA6" i="3"/>
  <c r="AY563" i="3"/>
  <c r="AY578" i="3"/>
  <c r="BP6" i="3"/>
  <c r="AY531" i="3"/>
  <c r="AY548" i="3"/>
  <c r="AY570" i="3"/>
  <c r="AY545" i="3"/>
  <c r="BR6" i="3"/>
  <c r="AY530" i="3"/>
  <c r="AY542" i="3"/>
  <c r="AY551" i="3"/>
  <c r="AY509" i="3"/>
  <c r="AY537" i="3"/>
  <c r="AY565" i="3"/>
  <c r="AY515" i="3"/>
  <c r="AY502" i="3"/>
  <c r="AY575" i="3"/>
  <c r="AY524" i="3"/>
  <c r="AY522" i="3"/>
  <c r="AY564" i="3"/>
  <c r="AY14" i="3"/>
  <c r="AY538" i="3"/>
  <c r="AY499" i="3"/>
  <c r="AY17" i="3"/>
  <c r="AY506" i="3"/>
  <c r="AY505" i="3"/>
  <c r="AY579" i="3"/>
  <c r="AY399" i="3"/>
  <c r="AY407" i="3"/>
  <c r="AY415" i="3"/>
  <c r="AY423" i="3"/>
  <c r="AY431" i="3"/>
  <c r="AY439" i="3"/>
  <c r="AY402" i="3"/>
  <c r="AY410" i="3"/>
  <c r="AY418" i="3"/>
  <c r="AY426" i="3"/>
  <c r="AY434" i="3"/>
  <c r="AY442" i="3"/>
  <c r="AY450" i="3"/>
  <c r="AY458" i="3"/>
  <c r="AY445" i="3"/>
  <c r="AY453" i="3"/>
  <c r="AY461" i="3"/>
  <c r="AY468" i="3"/>
  <c r="AY476" i="3"/>
  <c r="AY484" i="3"/>
  <c r="AY492" i="3"/>
  <c r="AY471" i="3"/>
  <c r="AY479" i="3"/>
  <c r="AY487" i="3"/>
  <c r="AY304" i="3"/>
  <c r="AY312" i="3"/>
  <c r="AY320" i="3"/>
  <c r="AY328" i="3"/>
  <c r="AY336" i="3"/>
  <c r="AY344" i="3"/>
  <c r="AY305" i="3"/>
  <c r="AY313" i="3"/>
  <c r="AY321" i="3"/>
  <c r="AY329" i="3"/>
  <c r="AY337" i="3"/>
  <c r="AY345" i="3"/>
  <c r="AY352" i="3"/>
  <c r="AY364" i="3"/>
  <c r="AY361" i="3"/>
  <c r="AY369" i="3"/>
  <c r="AY385" i="3"/>
  <c r="AY380" i="3"/>
  <c r="AY396" i="3"/>
  <c r="AY223" i="3"/>
  <c r="AY218" i="3"/>
  <c r="AY234" i="3"/>
  <c r="AY250" i="3"/>
  <c r="AY266" i="3"/>
  <c r="AY235" i="3"/>
  <c r="AY251" i="3"/>
  <c r="AY267" i="3"/>
  <c r="AY282" i="3"/>
  <c r="AY298" i="3"/>
  <c r="AY287" i="3"/>
  <c r="AY113" i="3"/>
  <c r="AY129" i="3"/>
  <c r="AY122" i="3"/>
  <c r="AY137" i="3"/>
  <c r="AY153" i="3"/>
  <c r="AY169" i="3"/>
  <c r="AY142" i="3"/>
  <c r="AY158" i="3"/>
  <c r="AY174" i="3"/>
  <c r="AY189" i="3"/>
  <c r="AY205" i="3"/>
  <c r="AY194" i="3"/>
  <c r="AY21" i="3"/>
  <c r="AY37" i="3"/>
  <c r="AY32" i="3"/>
  <c r="AY48" i="3"/>
  <c r="AY64" i="3"/>
  <c r="AY80" i="3"/>
  <c r="AY49" i="3"/>
  <c r="AY65" i="3"/>
  <c r="AY81" i="3"/>
  <c r="AY96" i="3"/>
  <c r="AY112" i="3"/>
  <c r="AY101" i="3"/>
  <c r="AY523" i="3"/>
  <c r="AY519" i="3"/>
  <c r="AY577" i="3"/>
  <c r="AY582" i="3"/>
  <c r="AY496" i="3"/>
  <c r="AY514" i="3"/>
  <c r="AY556" i="3"/>
  <c r="AY494" i="3"/>
  <c r="AY532" i="3"/>
  <c r="AY584" i="3"/>
  <c r="AY508" i="3"/>
  <c r="AY501" i="3"/>
  <c r="AY543" i="3"/>
  <c r="AY16" i="3"/>
  <c r="AY559" i="3"/>
  <c r="BG6" i="3"/>
  <c r="AY552" i="3"/>
  <c r="AY510" i="3"/>
  <c r="AY518" i="3"/>
  <c r="AY495" i="3"/>
  <c r="AY520" i="3"/>
  <c r="AY546" i="3"/>
  <c r="AY527" i="3"/>
  <c r="AY571" i="3"/>
  <c r="AY536" i="3"/>
  <c r="BF6" i="3"/>
  <c r="BN6" i="3"/>
  <c r="AY534" i="3"/>
  <c r="AY572" i="3"/>
  <c r="AY561" i="3"/>
  <c r="AY516" i="3"/>
  <c r="AY585" i="3"/>
  <c r="AY580" i="3"/>
  <c r="BM6" i="3"/>
  <c r="AY525" i="3"/>
  <c r="BQ6" i="3"/>
  <c r="AY503" i="3"/>
  <c r="AY581" i="3"/>
  <c r="AY403" i="3"/>
  <c r="AY411" i="3"/>
  <c r="AY419" i="3"/>
  <c r="AY427" i="3"/>
  <c r="AY435" i="3"/>
  <c r="AY398" i="3"/>
  <c r="AY406" i="3"/>
  <c r="AY414" i="3"/>
  <c r="AY422" i="3"/>
  <c r="AY430" i="3"/>
  <c r="AY438" i="3"/>
  <c r="AY446" i="3"/>
  <c r="AY454" i="3"/>
  <c r="AY462" i="3"/>
  <c r="AY449" i="3"/>
  <c r="AY457" i="3"/>
  <c r="AY464" i="3"/>
  <c r="AY472" i="3"/>
  <c r="AY480" i="3"/>
  <c r="AY488" i="3"/>
  <c r="AY467" i="3"/>
  <c r="AY475" i="3"/>
  <c r="AY483" i="3"/>
  <c r="AY491" i="3"/>
  <c r="AY308" i="3"/>
  <c r="AY316" i="3"/>
  <c r="AY324" i="3"/>
  <c r="AY332" i="3"/>
  <c r="AY340" i="3"/>
  <c r="AY348" i="3"/>
  <c r="AY309" i="3"/>
  <c r="AY317" i="3"/>
  <c r="AY325" i="3"/>
  <c r="AY333" i="3"/>
  <c r="AY341" i="3"/>
  <c r="AY349" i="3"/>
  <c r="AY356" i="3"/>
  <c r="AY353" i="3"/>
  <c r="AY370" i="3"/>
  <c r="AY377" i="3"/>
  <c r="AY393" i="3"/>
  <c r="AY388" i="3"/>
  <c r="AY215" i="3"/>
  <c r="AY210" i="3"/>
  <c r="AY226" i="3"/>
  <c r="AY242" i="3"/>
  <c r="AY258" i="3"/>
  <c r="AY274" i="3"/>
  <c r="AY243" i="3"/>
  <c r="AY259" i="3"/>
  <c r="AY275" i="3"/>
  <c r="AY290" i="3"/>
  <c r="AY279" i="3"/>
  <c r="AY295" i="3"/>
  <c r="AY121" i="3"/>
  <c r="AY114" i="3"/>
  <c r="AY130" i="3"/>
  <c r="AY145" i="3"/>
  <c r="AY161" i="3"/>
  <c r="AY177" i="3"/>
  <c r="AY150" i="3"/>
  <c r="AY166" i="3"/>
  <c r="AY181" i="3"/>
  <c r="AY197" i="3"/>
  <c r="AY186" i="3"/>
  <c r="AY202" i="3"/>
  <c r="AY29" i="3"/>
  <c r="AY24" i="3"/>
  <c r="AY40" i="3"/>
  <c r="AY56" i="3"/>
  <c r="AY72" i="3"/>
  <c r="AY41" i="3"/>
  <c r="AY57" i="3"/>
  <c r="AY73" i="3"/>
  <c r="AY88" i="3"/>
  <c r="AY104" i="3"/>
  <c r="AY93" i="3"/>
  <c r="AY109" i="3"/>
  <c r="BB6" i="3"/>
  <c r="BJ6" i="3"/>
  <c r="BI6" i="3"/>
  <c r="BH6" i="3"/>
  <c r="AY507" i="3"/>
  <c r="AY554" i="3"/>
  <c r="BS6" i="3"/>
  <c r="AY360" i="3"/>
  <c r="AY368" i="3"/>
  <c r="AY357" i="3"/>
  <c r="AY365" i="3"/>
  <c r="AY374" i="3"/>
  <c r="AY373" i="3"/>
  <c r="AY381" i="3"/>
  <c r="AY389" i="3"/>
  <c r="AY397" i="3"/>
  <c r="AY384" i="3"/>
  <c r="AY392" i="3"/>
  <c r="AY211" i="3"/>
  <c r="AY219" i="3"/>
  <c r="AY227" i="3"/>
  <c r="AY214" i="3"/>
  <c r="AY222" i="3"/>
  <c r="AY230" i="3"/>
  <c r="AY238" i="3"/>
  <c r="AY246" i="3"/>
  <c r="AY254" i="3"/>
  <c r="AY262" i="3"/>
  <c r="AY270" i="3"/>
  <c r="AY231" i="3"/>
  <c r="AY239" i="3"/>
  <c r="AY247" i="3"/>
  <c r="AY255" i="3"/>
  <c r="AY263" i="3"/>
  <c r="AY271" i="3"/>
  <c r="AY278" i="3"/>
  <c r="AY286" i="3"/>
  <c r="AY294" i="3"/>
  <c r="AY302" i="3"/>
  <c r="AY283" i="3"/>
  <c r="AY291" i="3"/>
  <c r="AY299" i="3"/>
  <c r="AY117" i="3"/>
  <c r="AY125" i="3"/>
  <c r="AY134" i="3"/>
  <c r="AY118" i="3"/>
  <c r="AY126" i="3"/>
  <c r="AY133" i="3"/>
  <c r="AY141" i="3"/>
  <c r="AY149" i="3"/>
  <c r="AY157" i="3"/>
  <c r="AY165" i="3"/>
  <c r="AY173" i="3"/>
  <c r="AY138" i="3"/>
  <c r="AY146" i="3"/>
  <c r="AY154" i="3"/>
  <c r="AY162" i="3"/>
  <c r="AY170" i="3"/>
  <c r="AY178" i="3"/>
  <c r="AY185" i="3"/>
  <c r="AY193" i="3"/>
  <c r="AY201" i="3"/>
  <c r="AY182" i="3"/>
  <c r="AY190" i="3"/>
  <c r="AY198" i="3"/>
  <c r="AY206" i="3"/>
  <c r="AY25" i="3"/>
  <c r="AY33" i="3"/>
  <c r="AY20" i="3"/>
  <c r="AY28" i="3"/>
  <c r="AY36" i="3"/>
  <c r="AY44" i="3"/>
  <c r="AY52" i="3"/>
  <c r="AY60" i="3"/>
  <c r="AY68" i="3"/>
  <c r="AY76" i="3"/>
  <c r="AY84" i="3"/>
  <c r="AY45" i="3"/>
  <c r="AY53" i="3"/>
  <c r="AY61" i="3"/>
  <c r="AY69" i="3"/>
  <c r="AY77" i="3"/>
  <c r="AY85" i="3"/>
  <c r="AY92" i="3"/>
  <c r="AY100" i="3"/>
  <c r="AY108" i="3"/>
  <c r="AY89" i="3"/>
  <c r="AY97" i="3"/>
  <c r="AY105" i="3"/>
  <c r="AY553" i="3"/>
  <c r="AY555" i="3"/>
  <c r="BE6" i="3"/>
  <c r="AY539" i="3"/>
  <c r="AY541" i="3"/>
  <c r="BO6" i="3"/>
  <c r="AY533" i="3"/>
  <c r="AY540" i="3"/>
  <c r="AY569" i="3"/>
  <c r="AY574" i="3"/>
  <c r="AY544" i="3"/>
  <c r="AY573" i="3"/>
  <c r="BK6" i="3"/>
  <c r="AY562" i="3"/>
  <c r="AY549" i="3"/>
  <c r="AY557" i="3"/>
  <c r="AY513" i="3"/>
  <c r="AY535" i="3"/>
  <c r="AY401" i="3"/>
  <c r="AY417" i="3"/>
  <c r="AY433" i="3"/>
  <c r="AY404" i="3"/>
  <c r="AY420" i="3"/>
  <c r="AY436" i="3"/>
  <c r="AY452" i="3"/>
  <c r="AY447" i="3"/>
  <c r="AY463" i="3"/>
  <c r="AY478" i="3"/>
  <c r="AY465" i="3"/>
  <c r="AY481" i="3"/>
  <c r="AY310" i="3"/>
  <c r="AY326" i="3"/>
  <c r="AY342" i="3"/>
  <c r="AY311" i="3"/>
  <c r="AY327" i="3"/>
  <c r="AY343" i="3"/>
  <c r="AY358" i="3"/>
  <c r="AY355" i="3"/>
  <c r="AY372" i="3"/>
  <c r="AY379" i="3"/>
  <c r="AY395" i="3"/>
  <c r="AY390" i="3"/>
  <c r="AY217" i="3"/>
  <c r="AY212" i="3"/>
  <c r="AY228" i="3"/>
  <c r="AY244" i="3"/>
  <c r="AY260" i="3"/>
  <c r="AY229" i="3"/>
  <c r="AY245" i="3"/>
  <c r="AY269" i="3"/>
  <c r="AY300" i="3"/>
  <c r="AY116" i="3"/>
  <c r="AY180" i="3"/>
  <c r="AY199" i="3"/>
  <c r="AY26" i="3"/>
  <c r="AY43" i="3"/>
  <c r="AY106" i="3"/>
  <c r="AY526" i="3"/>
  <c r="AY529" i="3"/>
  <c r="AY497" i="3"/>
  <c r="AY409" i="3"/>
  <c r="AY425" i="3"/>
  <c r="AY441" i="3"/>
  <c r="AY412" i="3"/>
  <c r="AY428" i="3"/>
  <c r="AY444" i="3"/>
  <c r="AY460" i="3"/>
  <c r="AY455" i="3"/>
  <c r="AY470" i="3"/>
  <c r="AY486" i="3"/>
  <c r="AY473" i="3"/>
  <c r="AY489" i="3"/>
  <c r="AY318" i="3"/>
  <c r="AY334" i="3"/>
  <c r="AY303" i="3"/>
  <c r="AY319" i="3"/>
  <c r="AY335" i="3"/>
  <c r="AY350" i="3"/>
  <c r="AY366" i="3"/>
  <c r="AY363" i="3"/>
  <c r="AY371" i="3"/>
  <c r="AY387" i="3"/>
  <c r="AY382" i="3"/>
  <c r="AY209" i="3"/>
  <c r="AY225" i="3"/>
  <c r="AY220" i="3"/>
  <c r="AY236" i="3"/>
  <c r="AY252" i="3"/>
  <c r="AY268" i="3"/>
  <c r="AY237" i="3"/>
  <c r="AY253" i="3"/>
  <c r="AY284" i="3"/>
  <c r="AY297" i="3"/>
  <c r="AY147" i="3"/>
  <c r="AY168" i="3"/>
  <c r="AY204" i="3"/>
  <c r="AY58" i="3"/>
  <c r="AY75" i="3"/>
  <c r="AY111" i="3"/>
  <c r="AY261" i="3"/>
  <c r="AY276" i="3"/>
  <c r="AY292" i="3"/>
  <c r="AY281" i="3"/>
  <c r="AY123" i="3"/>
  <c r="AY131" i="3"/>
  <c r="AY163" i="3"/>
  <c r="AY152" i="3"/>
  <c r="AY183" i="3"/>
  <c r="AY188" i="3"/>
  <c r="AY31" i="3"/>
  <c r="AY42" i="3"/>
  <c r="AY74" i="3"/>
  <c r="AY59" i="3"/>
  <c r="AY90" i="3"/>
  <c r="AY95" i="3"/>
  <c r="AY289" i="3"/>
  <c r="AY115" i="3"/>
  <c r="AY132" i="3"/>
  <c r="AY124" i="3"/>
  <c r="AY139" i="3"/>
  <c r="AY155" i="3"/>
  <c r="AY171" i="3"/>
  <c r="AY144" i="3"/>
  <c r="AY160" i="3"/>
  <c r="AY176" i="3"/>
  <c r="AY191" i="3"/>
  <c r="AY207" i="3"/>
  <c r="AY196" i="3"/>
  <c r="AY23" i="3"/>
  <c r="AY18" i="3"/>
  <c r="AY34" i="3"/>
  <c r="AY50" i="3"/>
  <c r="AY66" i="3"/>
  <c r="AY82" i="3"/>
  <c r="AY51" i="3"/>
  <c r="AY67" i="3"/>
  <c r="AY83" i="3"/>
  <c r="AY98" i="3"/>
  <c r="AY87" i="3"/>
  <c r="AY103" i="3"/>
  <c r="L18" i="9"/>
  <c r="B4" i="52"/>
  <c r="B43" i="72"/>
  <c r="K27" i="6"/>
  <c r="AR6" i="1"/>
  <c r="E83" i="3"/>
  <c r="E21" i="3"/>
  <c r="E101" i="3"/>
  <c r="E82" i="3"/>
  <c r="E22" i="3"/>
  <c r="E513" i="3"/>
  <c r="E524" i="3"/>
  <c r="E373" i="3"/>
  <c r="E326" i="3"/>
  <c r="E309" i="3"/>
  <c r="E365" i="3"/>
  <c r="E323" i="3"/>
  <c r="E308" i="3"/>
  <c r="E283" i="3"/>
  <c r="E265" i="3"/>
  <c r="E222" i="3"/>
  <c r="E287" i="3"/>
  <c r="E264" i="3"/>
  <c r="E218" i="3"/>
  <c r="E179" i="3"/>
  <c r="E158" i="3"/>
  <c r="E118" i="3"/>
  <c r="E176" i="3"/>
  <c r="E154" i="3"/>
  <c r="E113" i="3"/>
  <c r="E81" i="3"/>
  <c r="E62" i="3"/>
  <c r="E19" i="3"/>
  <c r="E80" i="3"/>
  <c r="E63" i="3"/>
  <c r="E20" i="3"/>
  <c r="E51" i="3"/>
  <c r="E102" i="3"/>
  <c r="E68" i="3"/>
  <c r="E50" i="3"/>
  <c r="E381" i="3"/>
  <c r="E364" i="3"/>
  <c r="E341" i="3"/>
  <c r="E370" i="3"/>
  <c r="E355" i="3"/>
  <c r="E340" i="3"/>
  <c r="E284" i="3"/>
  <c r="E251" i="3"/>
  <c r="E233" i="3"/>
  <c r="E289" i="3"/>
  <c r="E250" i="3"/>
  <c r="E232" i="3"/>
  <c r="E184" i="3"/>
  <c r="E147" i="3"/>
  <c r="E127" i="3"/>
  <c r="E206" i="3"/>
  <c r="E144" i="3"/>
  <c r="E123" i="3"/>
  <c r="E87" i="3"/>
  <c r="E49" i="3"/>
  <c r="E33" i="3"/>
  <c r="E112" i="3"/>
  <c r="E48" i="3"/>
  <c r="E34" i="3"/>
  <c r="E67" i="3"/>
  <c r="E36" i="3"/>
  <c r="E24" i="3"/>
  <c r="E86" i="3"/>
  <c r="E84" i="3"/>
  <c r="E52" i="3"/>
  <c r="E66" i="3"/>
  <c r="E35" i="3"/>
  <c r="E23" i="3"/>
  <c r="E584" i="3"/>
  <c r="E522" i="3"/>
  <c r="E492" i="3"/>
  <c r="E392" i="3"/>
  <c r="E354" i="3"/>
  <c r="E342" i="3"/>
  <c r="E310" i="3"/>
  <c r="E325" i="3"/>
  <c r="E386" i="3"/>
  <c r="E383" i="3"/>
  <c r="E371" i="3"/>
  <c r="E339" i="3"/>
  <c r="E307" i="3"/>
  <c r="E324" i="3"/>
  <c r="E300" i="3"/>
  <c r="E299" i="3"/>
  <c r="E266" i="3"/>
  <c r="E235" i="3"/>
  <c r="E249" i="3"/>
  <c r="E219" i="3"/>
  <c r="E209" i="3"/>
  <c r="E275" i="3"/>
  <c r="E267" i="3"/>
  <c r="E234" i="3"/>
  <c r="E248" i="3"/>
  <c r="E220" i="3"/>
  <c r="E200" i="3"/>
  <c r="E194" i="3"/>
  <c r="E163" i="3"/>
  <c r="E174" i="3"/>
  <c r="E142" i="3"/>
  <c r="E137" i="3"/>
  <c r="E195" i="3"/>
  <c r="E190" i="3"/>
  <c r="E160" i="3"/>
  <c r="E170" i="3"/>
  <c r="E138" i="3"/>
  <c r="E129" i="3"/>
  <c r="E103" i="3"/>
  <c r="E100" i="3"/>
  <c r="E65" i="3"/>
  <c r="E78" i="3"/>
  <c r="E46" i="3"/>
  <c r="E38" i="3"/>
  <c r="E98" i="3"/>
  <c r="E96" i="3"/>
  <c r="E64" i="3"/>
  <c r="E79" i="3"/>
  <c r="E47" i="3"/>
  <c r="E18" i="3"/>
  <c r="E467" i="3"/>
  <c r="E455" i="3"/>
  <c r="E446" i="3"/>
  <c r="E412" i="3"/>
  <c r="E425" i="3"/>
  <c r="E15" i="3"/>
  <c r="E521" i="3"/>
  <c r="E482" i="3"/>
  <c r="E484" i="3"/>
  <c r="E473" i="3"/>
  <c r="E462" i="3"/>
  <c r="E428" i="3"/>
  <c r="E441" i="3"/>
  <c r="E409" i="3"/>
  <c r="E540" i="3"/>
  <c r="E488" i="3"/>
  <c r="E480" i="3"/>
  <c r="E75" i="3"/>
  <c r="E59" i="3"/>
  <c r="E43" i="3"/>
  <c r="E29" i="3"/>
  <c r="E32" i="3"/>
  <c r="E110" i="3"/>
  <c r="E94" i="3"/>
  <c r="E109" i="3"/>
  <c r="E93" i="3"/>
  <c r="E76" i="3"/>
  <c r="E60" i="3"/>
  <c r="E44" i="3"/>
  <c r="E74" i="3"/>
  <c r="E58" i="3"/>
  <c r="E42" i="3"/>
  <c r="E30" i="3"/>
  <c r="E31" i="3"/>
  <c r="E544" i="3"/>
  <c r="E580" i="3"/>
  <c r="E504" i="3"/>
  <c r="E572" i="3"/>
  <c r="E14" i="3"/>
  <c r="E389" i="3"/>
  <c r="E372" i="3"/>
  <c r="E384" i="3"/>
  <c r="E362" i="3"/>
  <c r="E375" i="3"/>
  <c r="E356" i="3"/>
  <c r="E334" i="3"/>
  <c r="E318" i="3"/>
  <c r="E349" i="3"/>
  <c r="E333" i="3"/>
  <c r="E317" i="3"/>
  <c r="E394" i="3"/>
  <c r="E378" i="3"/>
  <c r="E391" i="3"/>
  <c r="E377" i="3"/>
  <c r="E357" i="3"/>
  <c r="E363" i="3"/>
  <c r="E346" i="3"/>
  <c r="E331" i="3"/>
  <c r="E315" i="3"/>
  <c r="E348" i="3"/>
  <c r="E332" i="3"/>
  <c r="E316" i="3"/>
  <c r="E351" i="3"/>
  <c r="E292" i="3"/>
  <c r="E276" i="3"/>
  <c r="E291" i="3"/>
  <c r="E274" i="3"/>
  <c r="E259" i="3"/>
  <c r="E243" i="3"/>
  <c r="E273" i="3"/>
  <c r="E257" i="3"/>
  <c r="E241" i="3"/>
  <c r="E226" i="3"/>
  <c r="E210" i="3"/>
  <c r="E214" i="3"/>
  <c r="E297" i="3"/>
  <c r="E281" i="3"/>
  <c r="E295" i="3"/>
  <c r="E279" i="3"/>
  <c r="E258" i="3"/>
  <c r="E242" i="3"/>
  <c r="E272" i="3"/>
  <c r="E256" i="3"/>
  <c r="E240" i="3"/>
  <c r="E225" i="3"/>
  <c r="E211" i="3"/>
  <c r="E208" i="3"/>
  <c r="E192" i="3"/>
  <c r="E202" i="3"/>
  <c r="E186" i="3"/>
  <c r="E171" i="3"/>
  <c r="E155" i="3"/>
  <c r="E139" i="3"/>
  <c r="E166" i="3"/>
  <c r="E150" i="3"/>
  <c r="E132" i="3"/>
  <c r="E119" i="3"/>
  <c r="E126" i="3"/>
  <c r="E203" i="3"/>
  <c r="E187" i="3"/>
  <c r="E198" i="3"/>
  <c r="E182" i="3"/>
  <c r="E168" i="3"/>
  <c r="E152" i="3"/>
  <c r="E178" i="3"/>
  <c r="E162" i="3"/>
  <c r="E146" i="3"/>
  <c r="E131" i="3"/>
  <c r="E115" i="3"/>
  <c r="E121" i="3"/>
  <c r="E111" i="3"/>
  <c r="E95" i="3"/>
  <c r="E108" i="3"/>
  <c r="E92" i="3"/>
  <c r="E73" i="3"/>
  <c r="E57" i="3"/>
  <c r="E41" i="3"/>
  <c r="E70" i="3"/>
  <c r="E54" i="3"/>
  <c r="E37" i="3"/>
  <c r="E25" i="3"/>
  <c r="E27" i="3"/>
  <c r="E106" i="3"/>
  <c r="E90" i="3"/>
  <c r="E104" i="3"/>
  <c r="E88" i="3"/>
  <c r="E72" i="3"/>
  <c r="E56" i="3"/>
  <c r="E40" i="3"/>
  <c r="E71" i="3"/>
  <c r="E55" i="3"/>
  <c r="E39" i="3"/>
  <c r="E26" i="3"/>
  <c r="E28" i="3"/>
  <c r="E475" i="3"/>
  <c r="E479" i="3"/>
  <c r="E463" i="3"/>
  <c r="E447" i="3"/>
  <c r="E454" i="3"/>
  <c r="E436" i="3"/>
  <c r="E420" i="3"/>
  <c r="E404" i="3"/>
  <c r="E433" i="3"/>
  <c r="E417" i="3"/>
  <c r="E401" i="3"/>
  <c r="E546" i="3"/>
  <c r="E496" i="3"/>
  <c r="E520" i="3"/>
  <c r="E470" i="3"/>
  <c r="E489" i="3"/>
  <c r="E471" i="3"/>
  <c r="E491" i="3"/>
  <c r="E483" i="3"/>
  <c r="E476" i="3"/>
  <c r="E468" i="3"/>
  <c r="E460" i="3"/>
  <c r="E452" i="3"/>
  <c r="E444" i="3"/>
  <c r="E450" i="3"/>
  <c r="E435" i="3"/>
  <c r="E419" i="3"/>
  <c r="E403" i="3"/>
  <c r="E429" i="3"/>
  <c r="E413" i="3"/>
  <c r="E494" i="3"/>
  <c r="E531" i="3"/>
  <c r="E537" i="3"/>
  <c r="E517" i="3"/>
  <c r="E498" i="3"/>
  <c r="E577" i="3"/>
  <c r="E582" i="3"/>
  <c r="E13" i="3"/>
  <c r="E581" i="3"/>
  <c r="E571" i="3"/>
  <c r="E554" i="3"/>
  <c r="E547" i="3"/>
  <c r="E500" i="3"/>
  <c r="E497" i="3"/>
  <c r="E557" i="3"/>
  <c r="E505" i="3"/>
  <c r="E587" i="3"/>
  <c r="E566" i="3"/>
  <c r="E556" i="3"/>
  <c r="E558" i="3"/>
  <c r="E562" i="3"/>
  <c r="I3" i="6"/>
  <c r="E376" i="3"/>
  <c r="E367" i="3"/>
  <c r="E344" i="3"/>
  <c r="E374" i="3"/>
  <c r="E360" i="3"/>
  <c r="E345" i="3"/>
  <c r="E288" i="3"/>
  <c r="E255" i="3"/>
  <c r="E490" i="3"/>
  <c r="E477" i="3"/>
  <c r="E465" i="3"/>
  <c r="E459" i="3"/>
  <c r="E451" i="3"/>
  <c r="E443" i="3"/>
  <c r="E457" i="3"/>
  <c r="E449" i="3"/>
  <c r="E440" i="3"/>
  <c r="E432" i="3"/>
  <c r="E424" i="3"/>
  <c r="E416" i="3"/>
  <c r="E408" i="3"/>
  <c r="E400" i="3"/>
  <c r="E438" i="3"/>
  <c r="E430" i="3"/>
  <c r="E422" i="3"/>
  <c r="E414" i="3"/>
  <c r="E406" i="3"/>
  <c r="E398" i="3"/>
  <c r="E512" i="3"/>
  <c r="E527" i="3"/>
  <c r="E541" i="3"/>
  <c r="E507" i="3"/>
  <c r="E548" i="3"/>
  <c r="E481" i="3"/>
  <c r="E487" i="3"/>
  <c r="E469" i="3"/>
  <c r="E485" i="3"/>
  <c r="E474" i="3"/>
  <c r="E466" i="3"/>
  <c r="E486" i="3"/>
  <c r="E478" i="3"/>
  <c r="E472" i="3"/>
  <c r="E464" i="3"/>
  <c r="E456" i="3"/>
  <c r="E448" i="3"/>
  <c r="E458" i="3"/>
  <c r="E442" i="3"/>
  <c r="E427" i="3"/>
  <c r="E411" i="3"/>
  <c r="E437" i="3"/>
  <c r="E421" i="3"/>
  <c r="E405" i="3"/>
  <c r="E529" i="3"/>
  <c r="E502" i="3"/>
  <c r="E543" i="3"/>
  <c r="E515" i="3"/>
  <c r="E560" i="3"/>
  <c r="E552" i="3"/>
  <c r="E573" i="3"/>
  <c r="E564" i="3"/>
  <c r="E542" i="3"/>
  <c r="E534" i="3"/>
  <c r="E532" i="3"/>
  <c r="E499" i="3"/>
  <c r="E493" i="3"/>
  <c r="E585" i="3"/>
  <c r="E525" i="3"/>
  <c r="E576" i="3"/>
  <c r="E519" i="3"/>
  <c r="E575" i="3"/>
  <c r="E393" i="3"/>
  <c r="E379" i="3"/>
  <c r="E330" i="3"/>
  <c r="E312" i="3"/>
  <c r="E369" i="3"/>
  <c r="E327" i="3"/>
  <c r="E313" i="3"/>
  <c r="E286" i="3"/>
  <c r="E105" i="3"/>
  <c r="E107" i="3"/>
  <c r="E133" i="3"/>
  <c r="E141" i="3"/>
  <c r="E173" i="3"/>
  <c r="E164" i="3"/>
  <c r="E193" i="3"/>
  <c r="E199" i="3"/>
  <c r="E116" i="3"/>
  <c r="E145" i="3"/>
  <c r="E177" i="3"/>
  <c r="E167" i="3"/>
  <c r="E197" i="3"/>
  <c r="E204" i="3"/>
  <c r="E224" i="3"/>
  <c r="E253" i="3"/>
  <c r="E238" i="3"/>
  <c r="E271" i="3"/>
  <c r="E277" i="3"/>
  <c r="E212" i="3"/>
  <c r="E223" i="3"/>
  <c r="E252" i="3"/>
  <c r="E45" i="3"/>
  <c r="E77" i="3"/>
  <c r="E85" i="3"/>
  <c r="E207" i="3"/>
  <c r="E120" i="3"/>
  <c r="E149" i="3"/>
  <c r="E140" i="3"/>
  <c r="AQ6" i="1"/>
  <c r="E89" i="3"/>
  <c r="E117" i="3"/>
  <c r="E157" i="3"/>
  <c r="E180" i="3"/>
  <c r="E122" i="3"/>
  <c r="E161" i="3"/>
  <c r="E181" i="3"/>
  <c r="E221" i="3"/>
  <c r="E269" i="3"/>
  <c r="E290" i="3"/>
  <c r="E228" i="3"/>
  <c r="E91" i="3"/>
  <c r="E148" i="3"/>
  <c r="E135" i="3"/>
  <c r="E188" i="3"/>
  <c r="E254" i="3"/>
  <c r="E236" i="3"/>
  <c r="E61" i="3"/>
  <c r="E99" i="3"/>
  <c r="E134" i="3"/>
  <c r="E156" i="3"/>
  <c r="E185" i="3"/>
  <c r="E191" i="3"/>
  <c r="E130" i="3"/>
  <c r="E136" i="3"/>
  <c r="E169" i="3"/>
  <c r="E159" i="3"/>
  <c r="E189" i="3"/>
  <c r="E196" i="3"/>
  <c r="E216" i="3"/>
  <c r="E245" i="3"/>
  <c r="E230" i="3"/>
  <c r="E262" i="3"/>
  <c r="E298" i="3"/>
  <c r="E301" i="3"/>
  <c r="E215" i="3"/>
  <c r="E244" i="3"/>
  <c r="E231" i="3"/>
  <c r="E263" i="3"/>
  <c r="E294" i="3"/>
  <c r="E296" i="3"/>
  <c r="E321" i="3"/>
  <c r="E303" i="3"/>
  <c r="E335" i="3"/>
  <c r="E368" i="3"/>
  <c r="E380" i="3"/>
  <c r="E382" i="3"/>
  <c r="E320" i="3"/>
  <c r="E306" i="3"/>
  <c r="E338" i="3"/>
  <c r="E350" i="3"/>
  <c r="E387" i="3"/>
  <c r="E453" i="3"/>
  <c r="E439" i="3"/>
  <c r="E423" i="3"/>
  <c r="E407" i="3"/>
  <c r="E434" i="3"/>
  <c r="E418" i="3"/>
  <c r="E402" i="3"/>
  <c r="E549" i="3"/>
  <c r="E538" i="3"/>
  <c r="E578" i="3"/>
  <c r="E506" i="3"/>
  <c r="E586" i="3"/>
  <c r="E536" i="3"/>
  <c r="E561" i="3"/>
  <c r="E551" i="3"/>
  <c r="E16" i="3"/>
  <c r="E523" i="3"/>
  <c r="E570" i="3"/>
  <c r="E518" i="3"/>
  <c r="E559" i="3"/>
  <c r="E511" i="3"/>
  <c r="E495" i="3"/>
  <c r="E514" i="3"/>
  <c r="E568" i="3"/>
  <c r="E533" i="3"/>
  <c r="E385" i="3"/>
  <c r="E358" i="3"/>
  <c r="E314" i="3"/>
  <c r="E390" i="3"/>
  <c r="E353" i="3"/>
  <c r="E311" i="3"/>
  <c r="E397" i="3"/>
  <c r="E270" i="3"/>
  <c r="E128" i="3"/>
  <c r="E151" i="3"/>
  <c r="E293" i="3"/>
  <c r="E97" i="3"/>
  <c r="E165" i="3"/>
  <c r="E201" i="3"/>
  <c r="E124" i="3"/>
  <c r="E143" i="3"/>
  <c r="E205" i="3"/>
  <c r="E229" i="3"/>
  <c r="E246" i="3"/>
  <c r="E285" i="3"/>
  <c r="E227" i="3"/>
  <c r="E247" i="3"/>
  <c r="E280" i="3"/>
  <c r="E337" i="3"/>
  <c r="E352" i="3"/>
  <c r="E396" i="3"/>
  <c r="E336" i="3"/>
  <c r="E359" i="3"/>
  <c r="E461" i="3"/>
  <c r="E431" i="3"/>
  <c r="E399" i="3"/>
  <c r="E410" i="3"/>
  <c r="E510" i="3"/>
  <c r="E569" i="3"/>
  <c r="E574" i="3"/>
  <c r="E567" i="3"/>
  <c r="E579" i="3"/>
  <c r="E555" i="3"/>
  <c r="E545" i="3"/>
  <c r="E516" i="3"/>
  <c r="E583" i="3"/>
  <c r="E539" i="3"/>
  <c r="E509" i="3"/>
  <c r="E347" i="3"/>
  <c r="E388" i="3"/>
  <c r="E329" i="3"/>
  <c r="E239" i="3"/>
  <c r="E66" i="39"/>
  <c r="E302" i="3"/>
  <c r="E328" i="3"/>
  <c r="E535" i="3"/>
  <c r="E503" i="3"/>
  <c r="E508" i="3"/>
  <c r="E550"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E69" i="3"/>
  <c r="E16" i="6"/>
  <c r="H5" i="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<sst xmlns="http://schemas.openxmlformats.org/spreadsheetml/2006/main" count="8429" uniqueCount="3396">
  <si>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</si>
  <si>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</si>
  <si>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</si>
  <si>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</si>
  <si>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</si>
  <si>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</si>
  <si>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</si>
  <si>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</si>
  <si>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</si>
  <si>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</si>
  <si>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</si>
  <si>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</si>
  <si>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</si>
  <si>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</si>
  <si>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</si>
  <si>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</si>
  <si>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</si>
  <si>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</si>
  <si>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</si>
  <si>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</si>
  <si>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</si>
  <si>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</si>
  <si>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</si>
  <si>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</si>
  <si>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</si>
  <si>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</si>
  <si>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</si>
  <si>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</si>
  <si>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</si>
  <si>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</si>
  <si>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</si>
  <si>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</si>
  <si>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</si>
  <si>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</si>
  <si>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</si>
  <si>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</si>
  <si>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</si>
  <si>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</si>
  <si>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</si>
  <si>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</si>
  <si>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</si>
  <si>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</si>
  <si>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</si>
  <si>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</si>
  <si>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</si>
  <si>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</si>
  <si>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</si>
  <si>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</si>
  <si>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</si>
  <si>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</si>
  <si>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</si>
  <si>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</si>
  <si>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</si>
  <si>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</si>
  <si>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</si>
  <si>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</si>
  <si>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</si>
  <si>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</si>
  <si>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</si>
  <si>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</si>
  <si>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</si>
  <si>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</si>
  <si>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</si>
  <si>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</si>
  <si>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</si>
  <si>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</si>
  <si>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</si>
  <si>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</si>
  <si>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</si>
  <si>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</si>
  <si>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</si>
  <si>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</si>
  <si>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</si>
  <si>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</si>
  <si>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</si>
  <si>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</si>
  <si>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</si>
  <si>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</si>
  <si>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</si>
  <si>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</si>
  <si>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</si>
  <si>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</si>
  <si>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</si>
  <si>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</si>
  <si>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</si>
  <si>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</si>
  <si>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</si>
  <si>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</si>
  <si>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</si>
  <si>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</si>
  <si>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</si>
  <si>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</si>
  <si>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</si>
  <si>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</si>
  <si>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</si>
  <si>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</si>
  <si>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</si>
  <si>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</si>
  <si>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</si>
  <si>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</si>
  <si>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</si>
  <si>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</si>
  <si>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</si>
  <si>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</si>
  <si>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</si>
  <si>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</si>
  <si>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</si>
  <si>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</si>
  <si>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</si>
  <si>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</si>
  <si>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</si>
  <si>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</si>
  <si>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</si>
  <si>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</si>
  <si>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</si>
  <si>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</si>
  <si>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</si>
  <si>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</si>
  <si>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</si>
  <si>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</si>
  <si>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</si>
  <si>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</si>
  <si>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</si>
  <si>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</si>
  <si>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</si>
  <si>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</si>
  <si>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</si>
  <si>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</si>
  <si>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</si>
  <si>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</si>
  <si>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</si>
  <si>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</si>
  <si>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</si>
  <si>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</si>
  <si>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</si>
  <si>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</si>
  <si>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</si>
  <si>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</si>
  <si>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</si>
  <si>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</si>
  <si>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</si>
  <si>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</si>
  <si>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</si>
  <si>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</si>
  <si>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</si>
  <si>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</si>
  <si>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</si>
  <si>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</si>
  <si>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</si>
  <si>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</si>
  <si>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</si>
  <si>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</si>
  <si>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</si>
  <si>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</si>
  <si>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</si>
  <si>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</si>
  <si>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</si>
  <si>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</si>
  <si>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</si>
  <si>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</si>
  <si>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</si>
  <si>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</si>
  <si>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</si>
  <si>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</si>
  <si>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</si>
  <si>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</si>
  <si>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</si>
  <si>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</si>
  <si>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</si>
  <si>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</si>
  <si>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</si>
  <si>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</si>
  <si>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</si>
  <si>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</si>
  <si>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</si>
  <si>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</si>
  <si>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</si>
  <si>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</si>
  <si>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</si>
  <si>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</si>
  <si>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</si>
  <si>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</si>
  <si>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</si>
  <si>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</si>
  <si>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</si>
  <si>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</si>
  <si>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</si>
  <si>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</si>
  <si>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</si>
  <si>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</si>
  <si>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</si>
  <si>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</si>
  <si>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</si>
  <si>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</si>
  <si>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</si>
  <si>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</si>
  <si>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</si>
  <si>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</si>
  <si>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</si>
  <si>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</si>
  <si>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</si>
  <si>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</si>
  <si>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</si>
  <si>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</si>
  <si>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</si>
  <si>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</si>
  <si>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</si>
  <si>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</si>
  <si>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</si>
  <si>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</si>
  <si>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</si>
  <si>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</si>
  <si>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</si>
  <si>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</si>
  <si>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</si>
  <si>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</si>
  <si>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</si>
  <si>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</si>
  <si>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</si>
  <si>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</si>
  <si>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</si>
  <si>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</si>
  <si>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</si>
  <si>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</si>
  <si>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</si>
  <si>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</si>
  <si>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</si>
  <si>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</si>
  <si>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</si>
  <si>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</si>
  <si>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</si>
  <si>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</si>
  <si>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</si>
  <si>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</si>
  <si>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</si>
  <si>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</si>
  <si>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</si>
  <si>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</si>
  <si>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</si>
  <si>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</si>
  <si>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</si>
  <si>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</si>
  <si>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</si>
  <si>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</si>
  <si>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</si>
  <si>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</si>
  <si>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</si>
  <si>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</si>
  <si>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</si>
  <si>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</si>
  <si>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</si>
  <si>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</si>
  <si>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</si>
  <si>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</si>
  <si>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</si>
  <si>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</si>
  <si>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</si>
  <si>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</si>
  <si>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</si>
  <si>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</si>
  <si>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</si>
  <si>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</si>
  <si>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</si>
  <si>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</si>
  <si>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</si>
  <si>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</si>
  <si>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</si>
  <si>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</si>
  <si>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</si>
  <si>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</si>
  <si>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</si>
  <si>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</si>
  <si>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</si>
  <si>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</si>
  <si>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</si>
  <si>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</si>
  <si>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</si>
  <si>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</si>
  <si>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</si>
  <si>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</si>
  <si>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</si>
  <si>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</si>
  <si>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</si>
  <si>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</si>
  <si>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</si>
  <si>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</si>
  <si>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</si>
  <si>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</si>
  <si>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</si>
  <si>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</si>
  <si>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</si>
  <si>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</si>
  <si>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</si>
  <si>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</si>
  <si>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</si>
  <si>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</si>
  <si>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</si>
  <si>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</si>
  <si>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</si>
  <si>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</si>
  <si>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</si>
  <si>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</si>
  <si>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</si>
  <si>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</si>
  <si>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</si>
  <si>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</si>
  <si>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</si>
  <si>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</si>
  <si>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</si>
  <si>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</si>
  <si>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</si>
  <si>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</si>
  <si>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</si>
  <si>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</si>
  <si>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</si>
  <si>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</si>
  <si>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</si>
  <si>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</si>
  <si>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</si>
  <si>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</si>
  <si>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</si>
  <si>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</si>
  <si>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</si>
  <si>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</si>
  <si>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</si>
  <si>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</si>
  <si>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</si>
  <si>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</si>
  <si>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</si>
  <si>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</si>
  <si>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</si>
  <si>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</si>
  <si>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</si>
  <si>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</si>
  <si>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</si>
  <si>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</si>
  <si>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</si>
  <si>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</si>
  <si>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</si>
  <si>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</si>
  <si>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</si>
  <si>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</si>
  <si>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</si>
  <si>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</si>
  <si>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</si>
  <si>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</si>
  <si>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</si>
  <si>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</si>
  <si>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</si>
  <si>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</si>
  <si>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</si>
  <si>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</si>
  <si>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</si>
  <si>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</si>
  <si>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</si>
  <si>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</si>
  <si>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</si>
  <si>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</si>
  <si>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</si>
  <si>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</si>
  <si>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</si>
  <si>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</si>
  <si>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</si>
  <si>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</si>
  <si>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</si>
  <si>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</si>
  <si>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</si>
  <si>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</si>
  <si>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</si>
  <si>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</si>
  <si>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</si>
  <si>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</si>
  <si>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</si>
  <si>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</si>
  <si>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</si>
  <si>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</si>
  <si>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</si>
  <si>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</si>
  <si>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</si>
  <si>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</si>
  <si>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</si>
  <si>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</si>
  <si>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</si>
  <si>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</si>
  <si>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</si>
  <si>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</si>
  <si>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</si>
  <si>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</si>
  <si>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</si>
  <si>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</si>
  <si>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</si>
  <si>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</si>
  <si>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</si>
  <si>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</si>
  <si>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</si>
  <si>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</si>
  <si>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</si>
  <si>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</si>
  <si>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</si>
  <si>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</si>
  <si>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</si>
  <si>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</si>
  <si>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</si>
  <si>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</si>
  <si>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</si>
  <si>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</si>
  <si>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</si>
  <si>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</si>
  <si>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</si>
  <si>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</si>
  <si>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</si>
  <si>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</si>
  <si>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</si>
  <si>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</si>
  <si>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</si>
  <si>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</si>
  <si>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</si>
  <si>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</si>
  <si>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</si>
  <si>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</si>
  <si>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</si>
  <si>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</si>
  <si>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</si>
  <si>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</si>
  <si>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</si>
  <si>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</si>
  <si>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</si>
  <si>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</si>
  <si>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</si>
  <si>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</si>
  <si>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</si>
  <si>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</si>
  <si>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</si>
  <si>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</si>
  <si>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</si>
  <si>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</si>
  <si>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</si>
  <si>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</si>
  <si>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</si>
  <si>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</si>
  <si>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</si>
  <si>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</si>
  <si>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</si>
  <si>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</si>
  <si>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</si>
  <si>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</si>
  <si>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</si>
  <si>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</si>
  <si>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</si>
  <si>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</si>
  <si>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</si>
  <si>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</si>
  <si>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</si>
  <si>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</si>
  <si>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</si>
  <si>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</si>
  <si>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</si>
  <si>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</si>
  <si>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</si>
  <si>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</si>
  <si>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</si>
  <si>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</si>
  <si>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</si>
  <si>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</si>
  <si>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</si>
  <si>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</si>
  <si>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</si>
  <si>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</si>
  <si>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</si>
  <si>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</si>
  <si>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</si>
  <si>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</si>
  <si>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</si>
  <si>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</si>
  <si>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</si>
  <si>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</si>
  <si>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</si>
  <si>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</si>
  <si>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</si>
  <si>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</si>
  <si>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</si>
  <si>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</si>
  <si>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</si>
  <si>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</si>
  <si>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</si>
  <si>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</si>
  <si>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</si>
  <si>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</si>
  <si>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</si>
  <si>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</si>
  <si>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</si>
  <si>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</si>
  <si>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</si>
  <si>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</si>
  <si>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</si>
  <si>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</si>
  <si>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</si>
  <si>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</si>
  <si>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</si>
  <si>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</si>
  <si>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</si>
  <si>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</si>
  <si>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</si>
  <si>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</si>
  <si>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</si>
  <si>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</si>
  <si>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</si>
  <si>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</si>
  <si>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</si>
  <si>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</si>
  <si>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</si>
  <si>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</si>
  <si>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</si>
  <si>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</si>
  <si>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</si>
  <si>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</si>
  <si>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</si>
  <si>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</si>
  <si>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</si>
  <si>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</si>
  <si>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</si>
  <si>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</si>
  <si>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</si>
  <si>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</si>
  <si>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</si>
  <si>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</si>
  <si>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</si>
  <si>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</si>
  <si>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</si>
  <si>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</si>
  <si>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</si>
  <si>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</si>
  <si>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</si>
  <si>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</si>
  <si>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</si>
  <si>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</si>
  <si>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</si>
  <si>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</si>
  <si>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</si>
  <si>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</si>
  <si>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</si>
  <si>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</si>
  <si>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</si>
  <si>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</si>
  <si>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</si>
  <si>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</si>
  <si>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</si>
  <si>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</si>
  <si>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</si>
  <si>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</si>
  <si>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</si>
  <si>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</si>
  <si>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</si>
  <si>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</si>
  <si>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</si>
  <si>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</si>
  <si>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</si>
  <si>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</si>
  <si>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</si>
  <si>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</si>
  <si>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</si>
  <si>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</si>
  <si>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</si>
  <si>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</si>
  <si>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</si>
  <si>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</si>
  <si>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</si>
  <si>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</si>
  <si>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</si>
  <si>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</si>
  <si>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</si>
  <si>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</si>
  <si>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</si>
  <si>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</si>
  <si>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</si>
  <si>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</si>
  <si>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</si>
  <si>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</si>
  <si>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</si>
  <si>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</si>
  <si>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</si>
  <si>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</si>
  <si>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</si>
  <si>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</si>
  <si>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</si>
  <si>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</si>
  <si>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</si>
  <si>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</si>
  <si>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</si>
  <si>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</si>
  <si>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</si>
  <si>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</si>
  <si>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</si>
  <si>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</si>
  <si>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</si>
  <si>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</si>
  <si>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</si>
  <si>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</si>
  <si>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</si>
  <si>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</si>
  <si>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</si>
  <si>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</si>
  <si>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</si>
  <si>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</si>
  <si>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</si>
  <si>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</si>
  <si>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</si>
  <si>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</si>
  <si>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</si>
  <si>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</si>
  <si>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</si>
  <si>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</si>
  <si>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</si>
  <si>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</si>
  <si>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</si>
  <si>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</si>
  <si>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</si>
  <si>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</si>
  <si>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</si>
  <si>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</si>
  <si>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</si>
  <si>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</si>
  <si>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</si>
  <si>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</si>
  <si>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</si>
  <si>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</si>
  <si>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</si>
  <si>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</si>
  <si>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</si>
  <si>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</si>
  <si>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</si>
  <si>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</si>
  <si>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</si>
  <si>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</si>
  <si>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</si>
  <si>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</si>
  <si>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</si>
  <si>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</si>
  <si>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</si>
  <si>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</si>
  <si>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</si>
  <si>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</si>
  <si>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</si>
  <si>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</si>
  <si>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</si>
  <si>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</si>
  <si>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</si>
  <si>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</si>
  <si>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</si>
  <si>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</si>
  <si>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</si>
  <si>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</si>
  <si>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</si>
  <si>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</si>
  <si>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</si>
  <si>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</si>
  <si>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</si>
  <si>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</si>
  <si>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</si>
  <si>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</si>
  <si>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</si>
  <si>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</si>
  <si>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</si>
  <si>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</si>
  <si>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</si>
  <si>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</si>
  <si>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</si>
  <si>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</si>
  <si>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</si>
  <si>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</si>
  <si>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</si>
  <si>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</si>
  <si>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</si>
  <si>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</si>
  <si>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</si>
  <si>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</si>
  <si>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</si>
  <si>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</si>
  <si>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</si>
  <si>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</si>
  <si>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</si>
  <si>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</si>
  <si>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</si>
  <si>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</si>
  <si>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</si>
  <si>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</si>
  <si>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</si>
  <si>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</si>
  <si>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</si>
  <si>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</si>
  <si>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</si>
  <si>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</si>
  <si>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</si>
  <si>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</si>
  <si>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</si>
  <si>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</si>
  <si>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</si>
  <si>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</si>
  <si>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</si>
  <si>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</si>
  <si>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</si>
  <si>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</si>
  <si>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</si>
  <si>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</si>
  <si>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</si>
  <si>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</si>
  <si>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</si>
  <si>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</si>
  <si>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</si>
  <si>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</si>
  <si>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</si>
  <si>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</si>
  <si>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</si>
  <si>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</si>
  <si>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</si>
  <si>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</si>
  <si>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</si>
  <si>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</si>
  <si>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</si>
  <si>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</si>
  <si>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</si>
  <si>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</si>
  <si>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</si>
  <si>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</si>
  <si>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</si>
  <si>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</si>
  <si>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</si>
  <si>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</si>
  <si>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</si>
  <si>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</si>
  <si>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</si>
  <si>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</si>
  <si>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</si>
  <si>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</si>
  <si>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</si>
  <si>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</si>
  <si>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</si>
  <si>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</si>
  <si>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</si>
  <si>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</si>
  <si>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</si>
  <si>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</si>
  <si>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</si>
  <si>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</si>
  <si>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</si>
  <si>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</si>
  <si>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</si>
  <si>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</si>
  <si>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</si>
  <si>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</si>
  <si>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</si>
  <si>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</si>
  <si>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</si>
  <si>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</si>
  <si>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</si>
  <si>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</si>
  <si>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</si>
  <si>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</si>
  <si>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</si>
  <si>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</si>
  <si>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</si>
  <si>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</si>
  <si>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</si>
  <si>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</si>
  <si>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</si>
  <si>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</si>
  <si>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</si>
  <si>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</si>
  <si>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</si>
  <si>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</si>
  <si>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</si>
  <si>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</si>
  <si>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</si>
  <si>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</si>
  <si>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</si>
  <si>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</si>
  <si>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</si>
  <si>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</si>
  <si>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</si>
  <si>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</si>
  <si>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</si>
  <si>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</si>
  <si>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</si>
  <si>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</si>
  <si>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</si>
  <si>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</si>
  <si>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</si>
  <si>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</si>
  <si>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</si>
  <si>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</si>
  <si>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</si>
  <si>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</si>
  <si>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</si>
  <si>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</si>
  <si>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</si>
  <si>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</si>
  <si>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</si>
  <si>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</si>
  <si>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</si>
  <si>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</si>
  <si>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</si>
  <si>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</si>
  <si>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</si>
  <si>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</si>
  <si>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</si>
  <si>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</si>
  <si>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</si>
  <si>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</si>
  <si>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</si>
  <si>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</si>
  <si>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</si>
  <si>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</si>
  <si>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</si>
  <si>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</si>
  <si>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</si>
  <si>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</si>
  <si>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</si>
  <si>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</si>
  <si>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</si>
  <si>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</si>
  <si>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</si>
  <si>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</si>
  <si>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</si>
  <si>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</si>
  <si>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</si>
  <si>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</si>
  <si>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</si>
  <si>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</si>
  <si>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</si>
  <si>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</si>
  <si>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</si>
  <si>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</si>
  <si>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</si>
  <si>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</si>
  <si>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</si>
  <si>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</si>
  <si>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</si>
  <si>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</si>
  <si>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</si>
  <si>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</si>
  <si>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</si>
  <si>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</si>
  <si>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</si>
  <si>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</si>
  <si>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</si>
  <si>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</si>
  <si>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</si>
  <si>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</si>
  <si>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</si>
  <si>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</si>
  <si>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</si>
  <si>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</si>
  <si>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</si>
  <si>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</si>
  <si>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</si>
  <si>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</si>
  <si>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</si>
  <si>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</si>
  <si>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</si>
  <si>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</si>
  <si>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</si>
  <si>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</si>
  <si>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</si>
  <si>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</si>
  <si>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</si>
  <si>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</si>
  <si>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</si>
  <si>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</si>
  <si>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</si>
  <si>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</si>
  <si>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</si>
  <si>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</si>
  <si>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</si>
  <si>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</si>
  <si>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</si>
  <si>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</si>
  <si>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</si>
  <si>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</si>
  <si>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</si>
  <si>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</si>
  <si>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</si>
  <si>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</si>
  <si>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</si>
  <si>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</si>
  <si>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</si>
  <si>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</si>
  <si>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</si>
  <si>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</si>
  <si>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</si>
  <si>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</si>
  <si>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</si>
  <si>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</si>
  <si>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</si>
  <si>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</si>
  <si>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</si>
  <si>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</si>
  <si>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</si>
  <si>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</si>
  <si>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</si>
  <si>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</si>
  <si>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</si>
  <si>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</si>
  <si>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</si>
  <si>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</si>
  <si>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</si>
  <si>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</si>
  <si>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</si>
  <si>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</si>
  <si>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</si>
  <si>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</si>
  <si>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</si>
  <si>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</si>
  <si>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</si>
  <si>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</si>
  <si>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</si>
  <si>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</si>
  <si>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</si>
  <si>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</si>
  <si>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</si>
  <si>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</si>
  <si>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</si>
  <si>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</si>
  <si>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</si>
  <si>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</si>
  <si>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</si>
  <si>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</si>
  <si>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</si>
  <si>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</si>
  <si>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</si>
  <si>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</si>
  <si>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</si>
  <si>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</si>
  <si>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</si>
  <si>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</si>
  <si>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</si>
  <si>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</si>
  <si>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</si>
  <si>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</si>
  <si>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</si>
  <si>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</si>
  <si>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</si>
  <si>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</si>
  <si>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</si>
  <si>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</si>
  <si>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</si>
  <si>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</si>
  <si>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</si>
  <si>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</si>
  <si>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</si>
  <si>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</si>
  <si>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</si>
  <si>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</si>
  <si>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</si>
  <si>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</si>
  <si>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</si>
  <si>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</si>
  <si>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</si>
  <si>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</si>
  <si>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</si>
  <si>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</si>
  <si>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</si>
  <si>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</si>
  <si>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</si>
  <si>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</si>
  <si>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</si>
  <si>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</si>
  <si>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</si>
  <si>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</si>
  <si>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</si>
  <si>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</si>
  <si>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</si>
  <si>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</si>
  <si>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</si>
  <si>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</si>
  <si>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</si>
  <si>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</si>
  <si>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</si>
  <si>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</si>
  <si>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</si>
  <si>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</si>
  <si>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</si>
  <si>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</si>
  <si>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</si>
  <si>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</si>
  <si>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</si>
  <si>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</si>
  <si>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</si>
  <si>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</si>
  <si>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</si>
  <si>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</si>
  <si>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</si>
  <si>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</si>
  <si>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</si>
  <si>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</si>
  <si>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</si>
  <si>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</si>
  <si>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</si>
  <si>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</si>
  <si>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</si>
  <si>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</si>
  <si>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</si>
  <si>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</si>
  <si>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</si>
  <si>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</si>
  <si>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</si>
  <si>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</si>
  <si>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</si>
  <si>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</si>
  <si>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</si>
  <si>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</si>
  <si>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</si>
  <si>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</si>
  <si>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</si>
  <si>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</si>
  <si>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</si>
  <si>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</si>
  <si>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</si>
  <si>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</si>
  <si>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</si>
  <si>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</si>
  <si>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</si>
  <si>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</si>
  <si>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</si>
  <si>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</si>
  <si>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</si>
  <si>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</si>
  <si>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</si>
  <si>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</si>
  <si>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</si>
  <si>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</si>
  <si>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</si>
  <si>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</si>
  <si>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</si>
  <si>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</si>
  <si>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</si>
  <si>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</si>
  <si>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</si>
  <si>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</si>
  <si>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</si>
  <si>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</si>
  <si>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</si>
  <si>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</si>
  <si>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</si>
  <si>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</si>
  <si>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</si>
  <si>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</si>
  <si>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</si>
  <si>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</si>
  <si>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</si>
  <si>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</si>
  <si>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</si>
  <si>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</si>
  <si>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</si>
  <si>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</si>
  <si>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</si>
  <si>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</si>
  <si>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</si>
  <si>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</si>
  <si>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</si>
  <si>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</si>
  <si>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</si>
  <si>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</si>
  <si>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</si>
  <si>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</si>
  <si>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</si>
  <si>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</si>
  <si>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</si>
  <si>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</si>
  <si>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</si>
  <si>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</si>
  <si>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</si>
  <si>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</si>
  <si>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</si>
  <si>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</si>
  <si>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</si>
  <si>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</si>
  <si>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</si>
  <si>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</si>
  <si>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</si>
  <si>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</si>
  <si>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</si>
  <si>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</si>
  <si>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</si>
  <si>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</si>
  <si>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</si>
  <si>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</si>
  <si>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</si>
  <si>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</si>
  <si>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</si>
  <si>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</si>
  <si>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</si>
  <si>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</si>
  <si>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</si>
  <si>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</si>
  <si>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</si>
  <si>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</si>
  <si>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</si>
  <si>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</si>
  <si>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</si>
  <si>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</si>
  <si>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</si>
  <si>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</si>
  <si>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</si>
  <si>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</si>
  <si>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</si>
  <si>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</si>
  <si>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</si>
  <si>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</si>
  <si>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</si>
  <si>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</si>
  <si>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</si>
  <si>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</si>
  <si>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</si>
  <si>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</si>
  <si>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</si>
  <si>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</si>
  <si>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</si>
  <si>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</si>
  <si>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</si>
  <si>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</si>
  <si>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</si>
  <si>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</si>
  <si>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</si>
  <si>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</si>
  <si>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</si>
  <si>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</si>
  <si>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</si>
  <si>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</si>
  <si>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</si>
  <si>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</si>
  <si>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</si>
  <si>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</si>
  <si>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</si>
  <si>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</si>
  <si>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</si>
  <si>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</si>
  <si>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</si>
  <si>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</si>
  <si>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</si>
  <si>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</si>
  <si>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</si>
  <si>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</si>
  <si>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</si>
  <si>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</si>
  <si>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</si>
  <si>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</si>
  <si>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</si>
  <si>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</si>
  <si>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</si>
  <si>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</si>
  <si>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</si>
  <si>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</si>
  <si>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</si>
  <si>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</si>
  <si>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</si>
  <si>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</si>
  <si>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</si>
  <si>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</si>
  <si>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</si>
  <si>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</si>
  <si>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</si>
  <si>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</si>
  <si>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</si>
  <si>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</si>
  <si>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</si>
  <si>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</si>
  <si>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</si>
  <si>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</si>
  <si>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</si>
  <si>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</si>
  <si>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</si>
  <si>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</si>
  <si>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</si>
  <si>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</si>
  <si>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</si>
  <si>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</si>
  <si>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</si>
  <si>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</si>
  <si>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</si>
  <si>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</si>
  <si>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</si>
  <si>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</si>
  <si>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</si>
  <si>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</si>
  <si>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</si>
  <si>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</si>
  <si>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</si>
  <si>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</si>
  <si>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</si>
  <si>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</si>
  <si>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</si>
  <si>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</si>
  <si>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</si>
  <si>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</si>
  <si>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</si>
  <si>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</si>
  <si>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</si>
  <si>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</si>
  <si>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</si>
  <si>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</si>
  <si>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</si>
  <si>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</si>
  <si>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</si>
  <si>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</si>
  <si>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</si>
  <si>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</si>
  <si>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</si>
  <si>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</si>
  <si>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</si>
  <si>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</si>
  <si>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</si>
  <si>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</si>
  <si>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</si>
  <si>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</si>
  <si>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</si>
  <si>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</si>
  <si>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</si>
  <si>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</si>
  <si>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</si>
  <si>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</si>
  <si>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</si>
  <si>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</si>
  <si>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</si>
  <si>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</si>
  <si>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</si>
  <si>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</si>
  <si>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</si>
  <si>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</si>
  <si>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</si>
  <si>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</si>
  <si>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</si>
  <si>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</si>
  <si>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</si>
  <si>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</si>
  <si>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</si>
  <si>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</si>
  <si>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</si>
  <si>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</si>
  <si>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</si>
  <si>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</si>
  <si>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</si>
  <si>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</si>
  <si>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</si>
  <si>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</si>
  <si>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</si>
  <si>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</si>
  <si>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</si>
  <si>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</si>
  <si>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</si>
  <si>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</si>
  <si>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</si>
  <si>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</si>
  <si>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</si>
  <si>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</si>
  <si>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</si>
  <si>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</si>
  <si>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</si>
  <si>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</si>
  <si>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</si>
  <si>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</si>
  <si>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</si>
  <si>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</si>
  <si>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</si>
  <si>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</si>
  <si>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</si>
  <si>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</si>
  <si>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</si>
  <si>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</si>
  <si>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</si>
  <si>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</si>
  <si>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</si>
  <si>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</si>
  <si>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</si>
  <si>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</si>
  <si>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</si>
  <si>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</si>
  <si>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</si>
  <si>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</si>
  <si>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</si>
  <si>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</si>
  <si>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</si>
  <si>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</si>
  <si>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</si>
  <si>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</si>
  <si>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</si>
  <si>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</si>
  <si>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</si>
  <si>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</si>
  <si>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</si>
  <si>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</si>
  <si>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</si>
  <si>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</si>
  <si>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</si>
  <si>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</si>
  <si>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</si>
  <si>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</si>
  <si>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</si>
  <si>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</si>
  <si>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</si>
  <si>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</si>
  <si>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</si>
  <si>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</si>
  <si>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</si>
  <si>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</si>
  <si>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</si>
  <si>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</si>
  <si>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</si>
  <si>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</si>
  <si>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</si>
  <si>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</si>
  <si>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</si>
  <si>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</si>
  <si>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</si>
  <si>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</si>
  <si>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</si>
  <si>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</si>
  <si>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</si>
  <si>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</si>
  <si>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</si>
  <si>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</si>
  <si>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</si>
  <si>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</si>
  <si>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</si>
  <si>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</si>
  <si>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</si>
  <si>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</si>
  <si>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</si>
  <si>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</si>
  <si>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</si>
  <si>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</si>
  <si>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</si>
  <si>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</si>
  <si>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</si>
  <si>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</si>
  <si>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</si>
  <si>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</si>
  <si>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</si>
  <si>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</si>
  <si>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</si>
  <si>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</si>
  <si>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</si>
  <si>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</si>
  <si>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</si>
  <si>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</si>
  <si>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</si>
  <si>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</si>
  <si>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</si>
  <si>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</si>
  <si>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</si>
  <si>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</si>
  <si>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</si>
  <si>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</si>
  <si>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</si>
  <si>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</si>
  <si>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</si>
  <si>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</si>
  <si>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</si>
  <si>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</si>
  <si>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</si>
  <si>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</si>
  <si>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</si>
  <si>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</si>
  <si>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</si>
  <si>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</si>
  <si>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</si>
  <si>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</si>
  <si>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</si>
  <si>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</si>
  <si>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</si>
  <si>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</si>
  <si>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</si>
  <si>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</si>
  <si>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</si>
  <si>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</si>
  <si>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</si>
  <si>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</si>
  <si>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</si>
  <si>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</si>
  <si>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</si>
  <si>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</si>
  <si>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</si>
  <si>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</si>
  <si>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</si>
  <si>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</si>
  <si>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</si>
  <si>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</si>
  <si>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</si>
  <si>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</si>
  <si>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</si>
  <si>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</si>
  <si>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</si>
  <si>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</si>
  <si>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</si>
  <si>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</si>
  <si>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</si>
  <si>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</si>
  <si>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</si>
  <si>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</si>
  <si>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</si>
  <si>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</si>
  <si>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</si>
  <si>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</si>
  <si>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</si>
  <si>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</si>
  <si>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</si>
  <si>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</si>
  <si>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</si>
  <si>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</si>
  <si>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</si>
  <si>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</si>
  <si>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</si>
  <si>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</si>
  <si>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</si>
  <si>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</si>
  <si>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</si>
  <si>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</si>
  <si>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</si>
  <si>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</si>
  <si>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</si>
  <si>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</si>
  <si>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</si>
  <si>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</si>
  <si>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</si>
  <si>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</si>
  <si>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</si>
  <si>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</si>
  <si>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</si>
  <si>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</si>
  <si>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</si>
  <si>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</si>
  <si>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</si>
  <si>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</si>
  <si>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</si>
  <si>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</si>
  <si>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</si>
  <si>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</si>
  <si>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</si>
  <si>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</si>
  <si>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</si>
  <si>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</si>
  <si>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</si>
  <si>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</si>
  <si>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</si>
  <si>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</si>
  <si>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</si>
  <si>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</si>
  <si>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</si>
  <si>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</si>
  <si>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</si>
  <si>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</si>
  <si>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</si>
  <si>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</si>
  <si>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</si>
  <si>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</si>
  <si>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</si>
  <si>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</si>
  <si>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</si>
  <si>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</si>
  <si>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</si>
  <si>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</si>
  <si>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</si>
  <si>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</si>
  <si>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</si>
  <si>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</si>
  <si>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</si>
  <si>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</si>
  <si>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</si>
  <si>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</si>
  <si>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</si>
  <si>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</si>
  <si>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</si>
  <si>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</si>
  <si>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</si>
  <si>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</si>
  <si>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</si>
  <si>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</si>
  <si>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</si>
  <si>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</si>
  <si>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</si>
  <si>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</si>
  <si>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</si>
  <si>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</si>
  <si>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</si>
  <si>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</si>
  <si>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</si>
  <si>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</si>
  <si>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</si>
  <si>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</si>
  <si>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</si>
  <si>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</si>
  <si>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</si>
  <si>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</si>
  <si>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</si>
  <si>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</si>
  <si>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</si>
  <si>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</si>
  <si>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</si>
  <si>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</si>
  <si>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</si>
  <si>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</si>
  <si>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</si>
  <si>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</si>
  <si>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</si>
  <si>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</si>
  <si>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</si>
  <si>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</si>
  <si>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</si>
  <si>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</si>
  <si>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</si>
  <si>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</si>
  <si>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</si>
  <si>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</si>
  <si>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</si>
  <si>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</si>
  <si>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</si>
  <si>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</si>
  <si>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</si>
  <si>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</si>
  <si>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</si>
  <si>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</si>
  <si>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</si>
  <si>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</si>
  <si>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</si>
  <si>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</si>
  <si>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</si>
  <si>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</si>
  <si>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</si>
  <si>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</si>
  <si>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</si>
  <si>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</si>
  <si>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</si>
  <si>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</si>
  <si>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</si>
  <si>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</si>
  <si>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</si>
  <si>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</si>
  <si>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</si>
  <si>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</si>
  <si>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</si>
  <si>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</si>
  <si>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</si>
  <si>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</si>
  <si>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</si>
  <si>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</si>
  <si>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</si>
  <si>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</si>
  <si>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</si>
  <si>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</si>
  <si>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</si>
  <si>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</si>
  <si>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</si>
  <si>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</si>
  <si>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</si>
  <si>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</si>
  <si>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</si>
  <si>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</si>
  <si>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</si>
  <si>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</si>
  <si>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</si>
  <si>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</si>
  <si>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</si>
  <si>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</si>
  <si>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</si>
  <si>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</si>
  <si>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</si>
  <si>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</si>
  <si>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</si>
  <si>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</si>
  <si>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</si>
  <si>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</si>
  <si>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</si>
  <si>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</si>
  <si>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</si>
  <si>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</si>
  <si>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</si>
  <si>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</si>
  <si>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</si>
  <si>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</si>
  <si>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</si>
  <si>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</si>
  <si>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</si>
  <si>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</si>
  <si>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</si>
  <si>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</si>
  <si>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</si>
  <si>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</si>
  <si>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</si>
  <si>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</si>
  <si>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</si>
  <si>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</si>
  <si>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</si>
  <si>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</si>
  <si>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</si>
  <si>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</si>
  <si>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</si>
  <si>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</si>
  <si>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</si>
  <si>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</si>
  <si>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</si>
  <si>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</si>
  <si>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</si>
  <si>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</si>
  <si>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</si>
  <si>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</si>
  <si>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</si>
  <si>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</si>
  <si>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</si>
  <si>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</si>
  <si>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</si>
  <si>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</si>
  <si>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</si>
  <si>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</si>
  <si>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</si>
  <si>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</si>
  <si>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</si>
  <si>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</si>
  <si>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</si>
  <si>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</si>
  <si>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</si>
  <si>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</si>
  <si>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</si>
  <si>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</si>
  <si>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</si>
  <si>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</si>
  <si>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</si>
  <si>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</si>
  <si>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</si>
  <si>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</si>
  <si>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</si>
  <si>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</si>
  <si>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</si>
  <si>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</si>
  <si>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</si>
  <si>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</si>
  <si>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</si>
  <si>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</si>
  <si>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</si>
  <si>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</si>
  <si>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</si>
  <si>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</si>
  <si>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</si>
  <si>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</si>
  <si>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</si>
  <si>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</si>
  <si>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</si>
  <si>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</si>
  <si>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</si>
  <si>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</si>
  <si>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</si>
  <si>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</si>
  <si>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</si>
  <si>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</si>
  <si>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</si>
  <si>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</si>
  <si>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</si>
  <si>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</si>
  <si>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</si>
  <si>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</si>
  <si>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</si>
  <si>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</si>
  <si>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</si>
  <si>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</si>
  <si>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</si>
  <si>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</si>
  <si>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</si>
  <si>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</si>
  <si>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</si>
  <si>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</si>
  <si>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</si>
  <si>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</si>
  <si>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</si>
  <si>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</si>
  <si>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</si>
  <si>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</si>
  <si>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</si>
  <si>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</si>
  <si>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</si>
  <si>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</si>
  <si>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</si>
  <si>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</si>
  <si>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</si>
  <si>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</si>
  <si>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</si>
  <si>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</si>
  <si>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</si>
  <si>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</si>
  <si>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</si>
  <si>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</si>
  <si>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</si>
  <si>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</si>
  <si>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</si>
  <si>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</si>
  <si>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</si>
  <si>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</si>
  <si>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</si>
  <si>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</si>
  <si>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</si>
  <si>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</si>
  <si>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</si>
  <si>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</si>
  <si>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</si>
  <si>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</si>
  <si>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</si>
  <si>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</si>
  <si>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</si>
  <si>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</si>
  <si>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</si>
  <si>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</si>
  <si>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</si>
  <si>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</si>
  <si>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</si>
  <si>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</si>
  <si>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</si>
  <si>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</si>
  <si>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</si>
  <si>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</si>
  <si>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</si>
  <si>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</si>
  <si>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</si>
  <si>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</si>
  <si>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</si>
  <si>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</si>
  <si>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</si>
  <si>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</si>
  <si>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</si>
  <si>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</si>
  <si>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</si>
  <si>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</si>
  <si>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</si>
  <si>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</si>
  <si>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</si>
  <si>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</si>
  <si>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</si>
  <si>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</si>
  <si>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</si>
  <si>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</si>
  <si>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</si>
  <si>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</si>
  <si>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</si>
  <si>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</si>
  <si>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</si>
  <si>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</si>
  <si>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</si>
  <si>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</si>
  <si>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</si>
  <si>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</si>
  <si>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</si>
  <si>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</si>
  <si>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</si>
  <si>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</si>
  <si>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</si>
  <si>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</si>
  <si>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</si>
  <si>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</si>
  <si>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</si>
  <si>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</si>
  <si>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</si>
  <si>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</si>
  <si>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</si>
  <si>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</si>
  <si>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</si>
  <si>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</si>
  <si>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</si>
  <si>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</si>
  <si>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</si>
  <si>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</si>
  <si>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</si>
  <si>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</si>
  <si>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</si>
  <si>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</si>
  <si>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</si>
  <si>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</si>
  <si>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</si>
  <si>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</si>
  <si>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</si>
  <si>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</si>
  <si>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</si>
  <si>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</si>
  <si>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</si>
  <si>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</si>
  <si>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</si>
  <si>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</si>
  <si>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</si>
  <si>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</si>
  <si>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</si>
  <si>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</si>
  <si>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</si>
  <si>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</si>
  <si>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</si>
  <si>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</si>
  <si>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</si>
  <si>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</si>
  <si>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</si>
  <si>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</si>
  <si>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</si>
  <si>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</si>
  <si>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</si>
  <si>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</si>
  <si>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</si>
  <si>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</si>
  <si>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</si>
  <si>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</si>
  <si>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</si>
  <si>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</si>
  <si>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</si>
  <si>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</si>
  <si>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</si>
  <si>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</si>
  <si>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</si>
  <si>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</si>
  <si>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</si>
  <si>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</si>
  <si>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</si>
  <si>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</si>
  <si>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</si>
  <si>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</si>
  <si>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</si>
  <si>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</si>
  <si>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</si>
  <si>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</si>
  <si>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</si>
  <si>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</si>
  <si>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</si>
  <si>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</si>
  <si>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</si>
  <si>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</si>
  <si>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</si>
  <si>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</si>
  <si>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</si>
  <si>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</si>
  <si>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</si>
  <si>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</si>
  <si>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</si>
  <si>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</si>
  <si>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</si>
  <si>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</si>
  <si>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</si>
  <si>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</si>
  <si>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</si>
  <si>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</si>
  <si>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</si>
  <si>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</si>
  <si>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</si>
  <si>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</si>
  <si>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</si>
  <si>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</si>
  <si>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</si>
  <si>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</si>
  <si>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</si>
  <si>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</si>
  <si>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</si>
  <si>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</si>
  <si>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</si>
  <si>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</si>
  <si>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</si>
  <si>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</si>
  <si>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</si>
  <si>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</si>
  <si>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</si>
  <si>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</si>
  <si>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</si>
  <si>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</si>
  <si>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</si>
  <si>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</si>
  <si>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</si>
  <si>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</si>
  <si>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</si>
  <si>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</si>
  <si>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</si>
  <si>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</si>
  <si>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</si>
  <si>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</si>
  <si>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</si>
  <si>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</si>
  <si>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</si>
  <si>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</si>
  <si>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</si>
  <si>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</si>
  <si>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</si>
  <si>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</si>
  <si>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</si>
  <si>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</si>
  <si>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</si>
  <si>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</si>
  <si>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</si>
  <si>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</si>
  <si>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</si>
  <si>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</si>
  <si>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</si>
  <si>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</si>
  <si>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</si>
  <si>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</si>
  <si>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</si>
  <si>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</si>
  <si>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</si>
  <si>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</si>
  <si>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</si>
  <si>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</si>
  <si>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</si>
  <si>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</si>
  <si>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</si>
  <si>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</si>
  <si>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</si>
  <si>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</si>
  <si>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</si>
  <si>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</si>
  <si>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</si>
  <si>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</si>
  <si>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</si>
  <si>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</si>
  <si>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</si>
  <si>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</si>
  <si>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</si>
  <si>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</si>
  <si>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</si>
  <si>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</si>
  <si>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</si>
  <si>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</si>
  <si>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</si>
  <si>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</si>
  <si>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</si>
  <si>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</si>
  <si>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</si>
  <si>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</si>
  <si>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</si>
  <si>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</si>
  <si>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</si>
  <si>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</si>
  <si>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</si>
  <si>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</si>
  <si>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</si>
  <si>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</si>
  <si>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</si>
  <si>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</si>
  <si>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</si>
  <si>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</si>
  <si>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</si>
  <si>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</si>
  <si>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</si>
  <si>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</si>
  <si>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</si>
  <si>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</si>
  <si>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</si>
  <si>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</si>
  <si>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</si>
  <si>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</si>
  <si>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</si>
  <si>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</si>
  <si>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</si>
  <si>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</si>
  <si>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</si>
  <si>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</si>
  <si>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</si>
  <si>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</si>
  <si>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</si>
  <si>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</si>
  <si>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</si>
  <si>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</si>
  <si>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</si>
  <si>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</si>
  <si>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</si>
  <si>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</si>
  <si>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</si>
  <si>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</si>
  <si>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</si>
  <si>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</si>
  <si>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</si>
  <si>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</si>
  <si>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</si>
  <si>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</si>
  <si>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</si>
  <si>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</si>
  <si>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</si>
  <si>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</si>
  <si>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</si>
  <si>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</si>
  <si>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</si>
  <si>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</si>
  <si>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</si>
  <si>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</si>
  <si>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</si>
  <si>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</si>
  <si>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</si>
  <si>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</si>
  <si>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</si>
  <si>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</si>
  <si>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</si>
  <si>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</si>
  <si>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</si>
  <si>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</si>
  <si>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</si>
  <si>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</si>
  <si>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</si>
  <si>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</si>
  <si>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</si>
  <si>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</si>
  <si>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</si>
  <si>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</si>
  <si>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</si>
  <si>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</si>
  <si>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</si>
  <si>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</si>
  <si>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</si>
  <si>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</si>
  <si>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</si>
  <si>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</si>
  <si>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</si>
  <si>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</si>
  <si>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</si>
  <si>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</si>
  <si>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</si>
  <si>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</si>
  <si>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</si>
  <si>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</si>
  <si>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</si>
  <si>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</si>
  <si>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</si>
  <si>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</si>
  <si>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</si>
  <si>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</si>
  <si>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</si>
  <si>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</si>
  <si>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</si>
  <si>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</si>
  <si>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</si>
  <si>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</si>
  <si>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</si>
  <si>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</si>
  <si>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</si>
  <si>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</si>
  <si>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</si>
  <si>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</si>
  <si>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</si>
  <si>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</si>
  <si>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</si>
  <si>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</si>
  <si>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</si>
  <si>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</si>
  <si>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</si>
  <si>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</si>
  <si>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</si>
  <si>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</si>
  <si>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</si>
  <si>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</si>
  <si>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</si>
  <si>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</si>
  <si>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</si>
  <si>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</si>
  <si>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</si>
  <si>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</si>
  <si>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</si>
  <si>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</si>
  <si>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</si>
  <si>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</si>
  <si>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</si>
  <si>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</si>
  <si>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</si>
  <si>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</si>
  <si>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</si>
  <si>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</si>
  <si>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</si>
  <si>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</si>
  <si>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</si>
  <si>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</si>
  <si>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</si>
  <si>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</si>
  <si>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</si>
  <si>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</si>
  <si>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</si>
  <si>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</si>
  <si>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</si>
  <si>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</si>
  <si>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</si>
  <si>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</si>
  <si>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</si>
  <si>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</si>
  <si>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</si>
  <si>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</si>
  <si>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</si>
  <si>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</si>
  <si>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</si>
  <si>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</si>
  <si>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</si>
  <si>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</si>
  <si>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</si>
  <si>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</si>
  <si>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</si>
  <si>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</si>
  <si>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</si>
  <si>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</si>
  <si>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</si>
  <si>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</si>
  <si>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</si>
  <si>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</si>
  <si>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</si>
  <si>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</si>
  <si>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</si>
  <si>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</si>
  <si>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</si>
  <si>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</si>
  <si>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</si>
  <si>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</si>
  <si>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</si>
  <si>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</si>
  <si>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</si>
  <si>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</si>
  <si>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</si>
  <si>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</si>
  <si>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</si>
  <si>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</si>
  <si>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</si>
  <si>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</si>
  <si>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</si>
  <si>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</si>
  <si>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</si>
  <si>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</si>
  <si>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</si>
  <si>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</si>
  <si>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</si>
  <si>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</si>
  <si>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</si>
  <si>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</si>
  <si>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</si>
  <si>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</si>
  <si>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</si>
  <si>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</si>
  <si>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</si>
  <si>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</si>
  <si>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</si>
  <si>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</si>
  <si>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</si>
  <si>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</si>
  <si>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</si>
  <si>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</si>
  <si>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</si>
  <si>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</si>
  <si>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</si>
  <si>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</si>
  <si>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</si>
  <si>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</si>
  <si>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</si>
  <si>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</si>
  <si>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</si>
  <si>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</si>
  <si>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</si>
  <si>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</si>
  <si>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</si>
  <si>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</si>
  <si>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</si>
  <si>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</si>
  <si>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</si>
  <si>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</si>
  <si>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</si>
  <si>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</si>
  <si>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</si>
  <si>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</si>
  <si>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</si>
  <si>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</si>
  <si>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</si>
  <si>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</si>
  <si>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</si>
  <si>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</si>
  <si>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</si>
  <si>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</si>
  <si>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</si>
  <si>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</si>
  <si>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</si>
  <si>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</si>
  <si>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</si>
  <si>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</si>
  <si>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</si>
  <si>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</si>
  <si>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</si>
  <si>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</si>
  <si>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</si>
  <si>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</si>
  <si>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</si>
  <si>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</si>
  <si>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</si>
  <si>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</si>
  <si>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</si>
  <si>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</si>
  <si>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</si>
  <si>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</si>
  <si>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</si>
  <si>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</si>
  <si>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</si>
  <si>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</si>
  <si>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</si>
  <si>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</si>
  <si>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</si>
  <si>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</si>
  <si>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</si>
  <si>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</si>
  <si>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</si>
  <si>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</si>
  <si>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</si>
  <si>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</si>
  <si>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</si>
  <si>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</si>
  <si>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</si>
  <si>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</si>
  <si>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</si>
  <si>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</si>
  <si>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</si>
  <si>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</si>
  <si>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</si>
  <si>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</si>
  <si>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</si>
  <si>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</si>
  <si>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</si>
  <si>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</si>
  <si>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</si>
  <si>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</si>
  <si>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</si>
  <si>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</si>
  <si>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</si>
  <si>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</si>
  <si>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</si>
  <si>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</si>
  <si>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</si>
  <si>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</si>
  <si>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</si>
  <si>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</si>
  <si>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</si>
  <si>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</si>
  <si>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</si>
  <si>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</si>
  <si>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</si>
  <si>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</si>
  <si>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</si>
  <si>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</si>
  <si>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</si>
  <si>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</si>
  <si>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</si>
  <si>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</si>
  <si>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</si>
  <si>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</si>
  <si>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</si>
  <si>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</si>
  <si>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</si>
  <si>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</si>
  <si>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</si>
  <si>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</si>
  <si>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</si>
  <si>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</si>
  <si>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</si>
  <si>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</si>
  <si>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</si>
  <si>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</si>
  <si>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</si>
  <si>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</si>
  <si>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</si>
  <si>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</si>
  <si>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</si>
  <si>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</si>
  <si>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</si>
  <si>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</si>
  <si>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</si>
  <si>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</si>
  <si>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</si>
  <si>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</si>
  <si>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</si>
  <si>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</si>
  <si>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</si>
  <si>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</si>
  <si>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</si>
  <si>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</si>
  <si>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</si>
  <si>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</si>
  <si>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</si>
  <si>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</si>
  <si>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</si>
  <si>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</si>
  <si>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</si>
  <si>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</si>
  <si>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</si>
  <si>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</si>
  <si>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</si>
  <si>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</si>
  <si>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</si>
  <si>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</si>
  <si>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</si>
  <si>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</si>
  <si>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</si>
  <si>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</si>
  <si>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</si>
  <si>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</si>
  <si>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</si>
  <si>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</si>
  <si>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</si>
  <si>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</si>
  <si>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</si>
  <si>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</si>
  <si>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</si>
  <si>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</si>
  <si>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</si>
  <si>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</si>
  <si>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</si>
  <si>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</si>
  <si>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</si>
  <si>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</si>
  <si>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</si>
  <si>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</si>
  <si>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</si>
  <si>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</si>
  <si>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</si>
  <si>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</si>
  <si>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</si>
  <si>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</si>
  <si>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</si>
  <si>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</si>
  <si>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</si>
  <si>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</si>
  <si>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</si>
  <si>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</si>
  <si>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</si>
  <si>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</si>
  <si>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</si>
  <si>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</si>
  <si>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</si>
  <si>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</si>
  <si>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</si>
  <si>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</si>
  <si>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</si>
  <si>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</si>
  <si>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</si>
  <si>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</si>
  <si>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</si>
  <si>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</si>
  <si>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</si>
  <si>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</si>
  <si>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</si>
  <si>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</si>
  <si>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</si>
  <si>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</si>
  <si>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</si>
  <si>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</si>
  <si>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</si>
  <si>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</si>
  <si>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</si>
  <si>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</si>
  <si>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</si>
  <si>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</si>
  <si>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</si>
  <si>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</si>
  <si>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</si>
  <si>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</si>
  <si>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</si>
  <si>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</si>
  <si>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</si>
  <si>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</si>
  <si>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</si>
  <si>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</si>
  <si>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</si>
  <si>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</si>
  <si>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</si>
  <si>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</si>
  <si>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</si>
  <si>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</si>
  <si>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</si>
  <si>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</si>
  <si>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</si>
  <si>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</si>
  <si>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</si>
  <si>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</si>
  <si>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</si>
  <si>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</si>
  <si>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</si>
  <si>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</si>
  <si>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</si>
  <si>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</si>
  <si>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</si>
  <si>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</si>
  <si>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</si>
  <si>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</si>
  <si>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</si>
  <si>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</si>
  <si>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</si>
  <si>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</si>
  <si>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</si>
  <si>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</si>
  <si>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</si>
  <si>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</si>
  <si>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</si>
  <si>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</si>
  <si>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</si>
  <si>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</si>
  <si>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</si>
  <si>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</si>
  <si>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</si>
  <si>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</si>
  <si>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</si>
  <si>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</si>
  <si>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</si>
  <si>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</si>
  <si>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</si>
  <si>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</si>
  <si>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</si>
  <si>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</si>
  <si>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</si>
  <si>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</si>
  <si>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</si>
  <si>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</si>
  <si>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</si>
  <si>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</si>
  <si>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</si>
  <si>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</si>
  <si>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</si>
  <si>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</si>
  <si>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</si>
  <si>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</si>
  <si>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</si>
  <si>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</si>
  <si>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</si>
  <si>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</si>
  <si>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</si>
  <si>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</si>
  <si>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</si>
  <si>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</si>
  <si>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</si>
  <si>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</si>
  <si>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</si>
  <si>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</si>
  <si>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</si>
  <si>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</si>
  <si>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</si>
  <si>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</si>
  <si>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</si>
  <si>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</si>
  <si>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</si>
  <si>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</si>
  <si>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</si>
  <si>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</si>
  <si>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</si>
  <si>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</si>
  <si>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</si>
  <si>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</si>
  <si>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</si>
  <si>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</si>
  <si>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</si>
  <si>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</si>
  <si>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</si>
  <si>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</si>
  <si>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</si>
  <si>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</si>
  <si>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</si>
  <si>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</si>
  <si>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</si>
  <si>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</si>
  <si>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</si>
  <si>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</si>
  <si>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</si>
  <si>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</si>
  <si>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</si>
  <si>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</si>
  <si>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</si>
  <si>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</si>
  <si>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</si>
  <si>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</si>
  <si>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</si>
  <si>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</si>
  <si>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</si>
  <si>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</si>
  <si>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</si>
  <si>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</si>
  <si>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</si>
  <si>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</si>
  <si>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</si>
  <si>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</si>
  <si>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</si>
  <si>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</si>
  <si>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</si>
  <si>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</si>
  <si>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</si>
  <si>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</si>
  <si>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</si>
  <si>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</si>
  <si>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</si>
  <si>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</si>
  <si>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</si>
  <si>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</si>
  <si>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</si>
  <si>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</si>
  <si>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</si>
  <si>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</si>
  <si>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</si>
  <si>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</si>
  <si>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</si>
  <si>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</si>
  <si>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</si>
  <si>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</si>
  <si>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</si>
  <si>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</si>
  <si>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</si>
  <si>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</si>
  <si>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</si>
  <si>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</si>
  <si>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</si>
  <si>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</si>
  <si>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</si>
  <si>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</si>
  <si>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</si>
  <si>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</si>
  <si>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</si>
  <si>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</si>
  <si>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</si>
  <si>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</si>
  <si>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</si>
  <si>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</si>
  <si>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</si>
  <si>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</si>
  <si>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</si>
  <si>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</si>
  <si>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</si>
  <si>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</si>
  <si>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</si>
  <si>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</si>
  <si>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</si>
  <si>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</si>
  <si>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</si>
  <si>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</si>
  <si>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</si>
  <si>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</si>
  <si>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</si>
  <si>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</si>
  <si>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</si>
  <si>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</si>
  <si>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</si>
  <si>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</si>
  <si>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</si>
  <si>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</si>
  <si>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</si>
  <si>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</si>
  <si>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</si>
  <si>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</si>
  <si>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</si>
  <si>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</si>
  <si>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</si>
  <si>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</si>
  <si>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</si>
  <si>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</si>
  <si>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</si>
  <si>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</si>
  <si>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</si>
  <si>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</si>
  <si>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</si>
  <si>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</si>
  <si>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</si>
  <si>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</si>
  <si>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</si>
  <si>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</si>
  <si>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</si>
  <si>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</si>
  <si>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</si>
  <si>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</si>
  <si>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</si>
  <si>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</si>
  <si>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</si>
  <si>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</si>
  <si>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</si>
  <si>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</si>
  <si>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</si>
  <si>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</si>
  <si>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</si>
  <si>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</si>
  <si>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</si>
  <si>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</si>
  <si>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</si>
  <si>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</si>
  <si>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</si>
  <si>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</si>
  <si>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</si>
  <si>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</si>
  <si>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</si>
  <si>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</si>
  <si>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</si>
  <si>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</si>
  <si>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</si>
  <si>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</si>
  <si>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</si>
  <si>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</si>
  <si>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</si>
  <si>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</si>
  <si>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</si>
  <si>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</si>
  <si>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</si>
  <si>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</si>
  <si>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</si>
  <si>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</si>
  <si>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</si>
  <si>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</si>
  <si>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</si>
  <si>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</si>
  <si>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</si>
  <si>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</si>
  <si>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</si>
  <si>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</si>
  <si>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</si>
  <si>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</si>
  <si>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</si>
  <si>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</si>
  <si>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</si>
  <si>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</si>
  <si>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</si>
  <si>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</si>
  <si>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</si>
  <si>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</si>
  <si>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</si>
  <si>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</si>
  <si>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</si>
  <si>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</si>
  <si>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</si>
  <si>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</si>
  <si>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</si>
  <si>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</si>
  <si>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</si>
  <si>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</si>
  <si>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</si>
  <si>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</si>
  <si>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</si>
  <si>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</si>
  <si>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</si>
  <si>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</si>
  <si>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</si>
  <si>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</si>
  <si>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</si>
  <si>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</si>
  <si>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</si>
  <si>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</si>
  <si>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</si>
  <si>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</si>
  <si>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</si>
  <si>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</si>
  <si>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</si>
  <si>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</si>
  <si>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</si>
  <si>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</si>
  <si>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</si>
  <si>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</si>
  <si>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</si>
  <si>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</si>
  <si>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</si>
  <si>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</si>
  <si>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</si>
  <si>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</si>
  <si>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</si>
  <si>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</si>
  <si>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</si>
  <si>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</si>
  <si>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</si>
  <si>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</si>
  <si>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</si>
  <si>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</si>
  <si>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</si>
  <si>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</si>
  <si>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</si>
  <si>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</si>
  <si>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</si>
  <si>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</si>
  <si>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</si>
  <si>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</si>
  <si>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</si>
  <si>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</si>
  <si>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</si>
  <si>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</si>
  <si>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</si>
  <si>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</si>
  <si>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</si>
  <si>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</si>
  <si>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</si>
  <si>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</si>
  <si>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</si>
  <si>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</si>
  <si>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</si>
  <si>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</si>
  <si>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</si>
  <si>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</si>
  <si>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</si>
  <si>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</si>
  <si>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</si>
  <si>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</si>
  <si>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</si>
  <si>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</si>
  <si>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</si>
  <si>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</si>
  <si>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</si>
  <si>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</si>
  <si>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</si>
  <si>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</si>
  <si>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</si>
  <si>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</si>
  <si>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</si>
  <si>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</si>
  <si>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</si>
  <si>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</si>
  <si>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</si>
  <si>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</si>
  <si>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</si>
  <si>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</si>
  <si>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</si>
  <si>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</si>
  <si>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</si>
  <si>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</si>
  <si>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</si>
  <si>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</si>
  <si>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</si>
  <si>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</si>
  <si>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</si>
  <si>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</si>
  <si>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</si>
  <si>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</si>
  <si>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</si>
  <si>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</si>
  <si>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</si>
  <si>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</si>
  <si>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</si>
  <si>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</si>
  <si>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</si>
  <si>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</si>
  <si>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</si>
  <si>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</si>
  <si>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</si>
  <si>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</si>
  <si>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</si>
  <si>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</si>
  <si>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</si>
  <si>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</si>
  <si>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</si>
  <si>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</si>
  <si>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</si>
  <si>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</si>
  <si>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</si>
  <si>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</si>
  <si>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</si>
  <si>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</si>
  <si>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</si>
  <si>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</si>
  <si>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</si>
  <si>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</si>
  <si>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</si>
  <si>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</si>
  <si>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</si>
  <si>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</si>
  <si>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</si>
  <si>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</si>
  <si>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</si>
  <si>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</si>
  <si>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</si>
  <si>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</si>
  <si>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</si>
  <si>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</si>
  <si>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</si>
  <si>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</si>
  <si>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</si>
  <si>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</si>
  <si>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</si>
  <si>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</si>
  <si>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</si>
  <si>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</si>
  <si>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</si>
  <si>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</si>
  <si>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</si>
  <si>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</si>
  <si>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</si>
  <si>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</si>
  <si>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</si>
  <si>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</si>
  <si>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</si>
  <si>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</si>
  <si>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</si>
  <si>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</si>
  <si>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</si>
  <si>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</si>
  <si>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</si>
  <si>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</si>
  <si>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</si>
  <si>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</si>
  <si>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</si>
  <si>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</si>
  <si>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</si>
  <si>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</si>
  <si>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</si>
  <si>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</si>
  <si>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</si>
  <si>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</si>
  <si>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</si>
  <si>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</si>
  <si>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</si>
  <si>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</si>
  <si>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</si>
  <si>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</si>
  <si>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</si>
  <si>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</si>
  <si>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</si>
  <si>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</si>
  <si>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</si>
  <si>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</si>
  <si>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</si>
  <si>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</si>
  <si>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</si>
  <si>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</si>
  <si>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</si>
  <si>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</si>
  <si>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</si>
  <si>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</si>
  <si>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</si>
  <si>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</si>
  <si>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</si>
  <si>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</si>
  <si>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</si>
  <si>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</si>
  <si>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</si>
  <si>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</si>
  <si>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</si>
  <si>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</si>
  <si>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</si>
  <si>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</si>
  <si>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</si>
  <si>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</si>
  <si>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</si>
  <si>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</si>
  <si>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</si>
  <si>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</si>
  <si>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</si>
  <si>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</si>
  <si>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</si>
  <si>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</si>
  <si>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</si>
  <si>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</si>
  <si>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</si>
  <si>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</si>
  <si>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</si>
  <si>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</si>
  <si>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</si>
  <si>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</si>
  <si>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</si>
  <si>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</si>
  <si>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</si>
  <si>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</si>
  <si>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</si>
  <si>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</si>
  <si>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</si>
  <si>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</si>
  <si>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</si>
  <si>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</si>
  <si>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</si>
  <si>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</si>
  <si>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</si>
  <si>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</si>
  <si>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</si>
  <si>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</si>
  <si>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</si>
  <si>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</si>
  <si>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</si>
  <si>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</si>
  <si>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</si>
  <si>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</si>
  <si>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</si>
  <si>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</si>
  <si>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</si>
  <si>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</si>
  <si>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</si>
  <si>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</si>
  <si>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</si>
  <si>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</si>
  <si>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</si>
  <si>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</si>
  <si>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</si>
  <si>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</si>
  <si>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</si>
  <si>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</si>
  <si>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</si>
  <si>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</si>
  <si>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</si>
  <si>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</si>
  <si>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</si>
  <si>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</si>
  <si>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</si>
  <si>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</si>
  <si>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</si>
  <si>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</si>
  <si>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</si>
  <si>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</si>
  <si>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</si>
  <si>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</si>
  <si>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</si>
  <si>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</si>
  <si>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</si>
  <si>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</si>
  <si>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</si>
  <si>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</si>
  <si>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</si>
  <si>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</si>
  <si>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</si>
  <si>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</si>
  <si>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</si>
  <si>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</si>
  <si>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</si>
  <si>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</si>
  <si>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</si>
  <si>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</si>
  <si>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</si>
  <si>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</si>
  <si>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</si>
  <si>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</si>
  <si>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</si>
  <si>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</si>
  <si>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</si>
  <si>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</si>
  <si>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</si>
  <si>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</si>
  <si>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</si>
  <si>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</si>
  <si>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</si>
  <si>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</si>
  <si>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</si>
  <si>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</si>
  <si>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</si>
  <si>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</si>
  <si>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</si>
  <si>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</si>
  <si>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</si>
  <si>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</si>
  <si>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</si>
  <si>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</si>
  <si>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</si>
  <si>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</si>
  <si>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</si>
  <si>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</si>
  <si>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</si>
  <si>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</si>
  <si>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</si>
  <si>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</si>
  <si>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</si>
  <si>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</si>
  <si>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</si>
  <si>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</si>
  <si>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</si>
  <si>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</si>
  <si>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</si>
  <si>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</si>
  <si>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</si>
  <si>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</si>
  <si>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</si>
  <si>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</si>
  <si>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</si>
  <si>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</si>
  <si>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</si>
  <si>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</si>
  <si>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</si>
  <si>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</si>
  <si>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</si>
  <si>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</si>
  <si>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</si>
  <si>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</si>
  <si>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</si>
  <si>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</si>
  <si>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</si>
  <si>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</si>
  <si>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</si>
  <si>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</si>
  <si>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</si>
  <si>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</si>
  <si>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</si>
  <si>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</si>
  <si>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</si>
  <si>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</si>
  <si>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</si>
  <si>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</si>
  <si>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</si>
  <si>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</si>
  <si>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</si>
  <si>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</si>
  <si>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</si>
  <si>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</si>
  <si>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</si>
  <si>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</si>
  <si>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</si>
  <si>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</si>
  <si>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</si>
  <si>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</si>
  <si>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</si>
  <si>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</si>
  <si>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</si>
  <si>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</si>
  <si>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</si>
  <si>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</si>
  <si>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</si>
  <si>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</si>
  <si>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</si>
  <si>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</si>
  <si>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</si>
  <si>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</si>
  <si>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</si>
  <si>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</si>
  <si>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</si>
  <si>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</si>
  <si>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</si>
  <si>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</si>
  <si>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2" type="noConversion"/>
  </si>
  <si>
    <t>2018-2</t>
    <phoneticPr fontId="3" type="noConversion"/>
  </si>
  <si>
    <t>高层住宅用房</t>
  </si>
  <si>
    <t>高层住宅用房</t>
    <phoneticPr fontId="16" type="noConversion"/>
  </si>
  <si>
    <t>王鹏</t>
  </si>
  <si>
    <t>崔锴</t>
  </si>
  <si>
    <t>大业信托</t>
  </si>
  <si>
    <t>湖南正昊置业发展有限公司</t>
  </si>
  <si>
    <t>抵押</t>
  </si>
  <si>
    <t>抵押价格</t>
  </si>
  <si>
    <t>房地产抵押价值</t>
  </si>
  <si>
    <t>其他：</t>
  </si>
  <si>
    <t>企业</t>
  </si>
  <si>
    <t>湖南省长沙市</t>
  </si>
  <si>
    <t>出让</t>
  </si>
  <si>
    <t>否</t>
  </si>
  <si>
    <t>是</t>
  </si>
  <si>
    <t>复印件</t>
  </si>
  <si>
    <t>《测绘报告》</t>
    <phoneticPr fontId="6" type="noConversion"/>
  </si>
  <si>
    <t>《国土证》</t>
    <phoneticPr fontId="6" type="noConversion"/>
  </si>
  <si>
    <t>通路</t>
  </si>
  <si>
    <t>通电</t>
  </si>
  <si>
    <t>通讯</t>
  </si>
  <si>
    <t>通上水</t>
  </si>
  <si>
    <t>燃气</t>
  </si>
  <si>
    <t>平整</t>
  </si>
  <si>
    <t>在建</t>
  </si>
  <si>
    <t>居住项目</t>
  </si>
  <si>
    <t>无</t>
  </si>
  <si>
    <t>17#</t>
    <phoneticPr fontId="3" type="noConversion"/>
  </si>
  <si>
    <t>18#</t>
    <phoneticPr fontId="3" type="noConversion"/>
  </si>
  <si>
    <t>19#</t>
  </si>
  <si>
    <t>20#</t>
  </si>
  <si>
    <t>地上</t>
  </si>
  <si>
    <t>住宅</t>
  </si>
  <si>
    <t>估价对象周边居住用地比例较高、居住小区规模和社区发展完善程度较好，周边1公里内有水墨林溪等住宅项目，综合评价居住社区成熟度一般</t>
  </si>
  <si>
    <t>估价对象位于新姚南路南侧，周边商业氛围一般，多为社区底商，人流量一般，商业繁华度一般</t>
  </si>
  <si>
    <t>估价对象周边道路密集程度高、周边一公里内有20路、206路等、地铁1号线桂花坪站。停车便捷程度好，综合评价交通便捷度好</t>
  </si>
  <si>
    <t>估价对象所在区域公共配套设施齐备度一般</t>
  </si>
  <si>
    <t>估价对象所在区域基础设施水平较好</t>
  </si>
  <si>
    <t>区域自然环境：周边有宜春社区公园等；人文环境：周边有盛砚砚博物馆等；综合评价环境状况较好</t>
  </si>
  <si>
    <t>城市次干道——友谊路</t>
  </si>
  <si>
    <t>零星有其他用地，基本不影响本宗地</t>
  </si>
  <si>
    <t>双面临街</t>
  </si>
  <si>
    <t>天心区桂花坪街道</t>
  </si>
  <si>
    <t>天心区大托镇先锋村</t>
  </si>
  <si>
    <t>雨花区韶山路以东、湘府路以北</t>
  </si>
  <si>
    <t>正常</t>
  </si>
  <si>
    <t>住宅、商业</t>
  </si>
  <si>
    <t>无配建</t>
  </si>
  <si>
    <r>
      <rPr>
        <sz val="11"/>
        <color indexed="8"/>
        <rFont val="宋体"/>
        <family val="3"/>
        <charset val="134"/>
      </rPr>
      <t>住宅</t>
    </r>
    <r>
      <rPr>
        <sz val="11"/>
        <color indexed="8"/>
        <rFont val="Arial"/>
        <family val="2"/>
      </rPr>
      <t>61.43</t>
    </r>
    <r>
      <rPr>
        <sz val="11"/>
        <color indexed="8"/>
        <rFont val="宋体"/>
        <family val="3"/>
        <charset val="134"/>
      </rPr>
      <t>、商业</t>
    </r>
    <r>
      <rPr>
        <sz val="11"/>
        <color indexed="8"/>
        <rFont val="Arial"/>
        <family val="2"/>
      </rPr>
      <t>31.41</t>
    </r>
    <phoneticPr fontId="31" type="noConversion"/>
  </si>
  <si>
    <t>一般</t>
  </si>
  <si>
    <t>——</t>
    <phoneticPr fontId="31" type="noConversion"/>
  </si>
  <si>
    <t>住宅</t>
    <phoneticPr fontId="31" type="noConversion"/>
  </si>
  <si>
    <t>有配建</t>
  </si>
  <si>
    <t>高速路</t>
  </si>
  <si>
    <t>快速路</t>
  </si>
  <si>
    <t>主干道</t>
  </si>
  <si>
    <t>次干道</t>
  </si>
  <si>
    <t>支路</t>
  </si>
  <si>
    <t>规则</t>
  </si>
  <si>
    <t>较规则</t>
  </si>
  <si>
    <t>较不规则</t>
  </si>
  <si>
    <t>不规则</t>
  </si>
  <si>
    <t>比例适宜</t>
  </si>
  <si>
    <t>比例较适宜</t>
  </si>
  <si>
    <t>比较较不适宜</t>
  </si>
  <si>
    <t>七通</t>
  </si>
  <si>
    <t>六通</t>
  </si>
  <si>
    <t>五通</t>
  </si>
  <si>
    <t>四通</t>
  </si>
  <si>
    <t>三通</t>
  </si>
  <si>
    <t>好</t>
  </si>
  <si>
    <t>较好</t>
  </si>
  <si>
    <t>较差</t>
  </si>
  <si>
    <t>差</t>
  </si>
  <si>
    <t>70/40</t>
  </si>
  <si>
    <t>估价对象周边居住用地比例较高、居住小区规模和社区发展完善程度较好，周边1公里内有金桂小区等住宅项目，综合评价居住社区成熟度较好</t>
  </si>
  <si>
    <t>估价对象位于万芙北路西侧，周边商业氛围较好，周边有长沙恒达世纪金融广场，人流量较好，商业繁华度较好</t>
  </si>
  <si>
    <t>办公集聚程度</t>
  </si>
  <si>
    <t>估价对象周边道路密集程度较高、周边一公里内有15路、103路等。停车便捷程度较好，综合评价交通便捷度较好</t>
  </si>
  <si>
    <t>区域自然环境：周边有长沙奥林匹克花园等；人文环境：周边有盛砚砚博物馆等；综合评价环境状况好</t>
  </si>
  <si>
    <t>估价对象所在区域公共配套设施齐备度较好</t>
  </si>
  <si>
    <t>城市次干道-万芙北路</t>
  </si>
  <si>
    <t>估价对象周边居住用地比例一般、居住小区规模和社区发展完善程度一般，周边1公里内有怡和山庄等住宅项目，综合评价居住社区成熟度一般</t>
  </si>
  <si>
    <t>估价对象位于芙蓉南路东侧，周边商业氛围一般，多为社区底商，人流量一般，商业繁华度一般</t>
  </si>
  <si>
    <t>估价对象周边道路密集程度较高、周边一公里内有125路、259路等。停车便捷程度较好，综合评价交通便捷度较好</t>
  </si>
  <si>
    <t>区域自然环境一般；人文环境：周边有湖南外贸职业学院等；综合评价环境状况一般</t>
  </si>
  <si>
    <t>城市次干道-芙蓉南路</t>
  </si>
  <si>
    <t>估价对象周边居住用地比例较高、居住小区规模和社区发展完善程度较好，周边1公里内有绿茵家园等住宅项目，综合评价居住社区成熟度较好</t>
  </si>
  <si>
    <t>估价对象位于中意一路东侧，周边商业氛围较好，有红星日用商品大市场等，人流量较好，商业繁华度较好</t>
  </si>
  <si>
    <t>估价对象周边道路密集程度较高、周边一公里内有7路、17路等。停车便捷程度较好，综合评价交通便捷度较好</t>
  </si>
  <si>
    <t>区域自然环境：湖南省森林植物园；人文环境：周边有湖南女子学院等；综合评价环境状况较好</t>
  </si>
  <si>
    <t>城市主干道-中意一路</t>
  </si>
  <si>
    <t>在建工程</t>
    <phoneticPr fontId="3" type="noConversion"/>
  </si>
  <si>
    <t>全部缴纳</t>
  </si>
  <si>
    <t>已包含在土地取得成本中</t>
  </si>
  <si>
    <t>已全部缴纳</t>
  </si>
  <si>
    <t>在建工程</t>
    <phoneticPr fontId="3" type="noConversion"/>
  </si>
  <si>
    <t>60-70（含）</t>
  </si>
  <si>
    <t>钢混</t>
  </si>
  <si>
    <t>精装修</t>
  </si>
  <si>
    <t>专业物业管理</t>
  </si>
  <si>
    <t>毛坯</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</si>
  <si>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</si>
  <si>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phoneticPr fontId="25" type="noConversion"/>
  </si>
  <si>
    <t>——</t>
    <phoneticPr fontId="25" type="noConversion"/>
  </si>
  <si>
    <t>高层住宅</t>
    <phoneticPr fontId="142" type="noConversion"/>
  </si>
  <si>
    <t>钢混</t>
    <phoneticPr fontId="142" type="noConversion"/>
  </si>
  <si>
    <t>精装修</t>
    <phoneticPr fontId="142" type="noConversion"/>
  </si>
  <si>
    <t>普通装修</t>
    <phoneticPr fontId="142" type="noConversion"/>
  </si>
  <si>
    <t>简单装修</t>
    <phoneticPr fontId="142" type="noConversion"/>
  </si>
  <si>
    <t>毛坯</t>
    <phoneticPr fontId="142" type="noConversion"/>
  </si>
  <si>
    <t>一般</t>
    <phoneticPr fontId="25" type="noConversion"/>
  </si>
  <si>
    <t>精装修</t>
    <phoneticPr fontId="142" type="noConversion"/>
  </si>
  <si>
    <t>普通装修</t>
    <phoneticPr fontId="142" type="noConversion"/>
  </si>
  <si>
    <t>简单装修</t>
    <phoneticPr fontId="142" type="noConversion"/>
  </si>
  <si>
    <t>毛坯</t>
    <phoneticPr fontId="142" type="noConversion"/>
  </si>
  <si>
    <t>成本法</t>
  </si>
  <si>
    <t>假设开发法</t>
  </si>
  <si>
    <t>小于50%</t>
  </si>
  <si>
    <t>大于50%</t>
  </si>
  <si>
    <t>商业占比</t>
  </si>
  <si>
    <t>克拉美丽</t>
  </si>
  <si>
    <t>长沙市天心区友谊路958号</t>
  </si>
  <si>
    <t>现房</t>
    <phoneticPr fontId="142" type="noConversion"/>
  </si>
  <si>
    <t>二手房</t>
    <phoneticPr fontId="142" type="noConversion"/>
  </si>
  <si>
    <t>特殊修正</t>
    <phoneticPr fontId="142" type="noConversion"/>
  </si>
  <si>
    <t>估价对象周边居住用地比例一般、居住小区规模和社区发展完善程度一般，周边1公里内有钱隆学府、新天小区等住宅项目，综合评价居住社区成熟度一般</t>
  </si>
  <si>
    <t>估价对象周边道路密集程度较高、周边一公里内有4路、134路等。停车便捷程度较好，综合评价交通便捷度较好</t>
  </si>
  <si>
    <t>区域自然环境：周边临近湘江；人文环境：周边有长沙机床厂职工学校；综合评价环境状况较好</t>
  </si>
  <si>
    <t>二手房</t>
  </si>
  <si>
    <t>——</t>
    <phoneticPr fontId="25" type="noConversion"/>
  </si>
  <si>
    <t>——</t>
    <phoneticPr fontId="25" type="noConversion"/>
  </si>
  <si>
    <r>
      <rPr>
        <b/>
        <sz val="11"/>
        <color indexed="8"/>
        <rFont val="宋体"/>
        <family val="3"/>
        <charset val="134"/>
      </rPr>
      <t>是否还建</t>
    </r>
    <r>
      <rPr>
        <b/>
        <sz val="11"/>
        <color indexed="8"/>
        <rFont val="Arial"/>
        <family val="2"/>
      </rPr>
      <t xml:space="preserve"> </t>
    </r>
    <phoneticPr fontId="31" type="noConversion"/>
  </si>
  <si>
    <t>20</t>
    <phoneticPr fontId="25" type="noConversion"/>
  </si>
  <si>
    <t>21</t>
    <phoneticPr fontId="25" type="noConversion"/>
  </si>
  <si>
    <t>成本比率</t>
  </si>
  <si>
    <r>
      <t>1</t>
    </r>
    <r>
      <rPr>
        <sz val="11"/>
        <color theme="1"/>
        <rFont val="宋体"/>
        <family val="3"/>
        <charset val="134"/>
        <scheme val="minor"/>
      </rPr>
      <t>7#</t>
    </r>
    <phoneticPr fontId="142" type="noConversion"/>
  </si>
  <si>
    <t>层次</t>
    <phoneticPr fontId="142" type="noConversion"/>
  </si>
  <si>
    <t>户室号</t>
    <phoneticPr fontId="142" type="noConversion"/>
  </si>
  <si>
    <t>建筑面积</t>
    <phoneticPr fontId="142" type="noConversion"/>
  </si>
  <si>
    <t>规划用途</t>
    <phoneticPr fontId="142" type="noConversion"/>
  </si>
  <si>
    <t>住宅</t>
    <phoneticPr fontId="142" type="noConversion"/>
  </si>
  <si>
    <t>住宅</t>
    <phoneticPr fontId="142" type="noConversion"/>
  </si>
  <si>
    <t>合计</t>
    <phoneticPr fontId="142" type="noConversion"/>
  </si>
  <si>
    <t>——</t>
    <phoneticPr fontId="142" type="noConversion"/>
  </si>
  <si>
    <r>
      <t>1</t>
    </r>
    <r>
      <rPr>
        <sz val="11"/>
        <color theme="1"/>
        <rFont val="宋体"/>
        <family val="3"/>
        <charset val="134"/>
        <scheme val="minor"/>
      </rPr>
      <t>8#</t>
    </r>
    <phoneticPr fontId="142" type="noConversion"/>
  </si>
  <si>
    <t>设备</t>
    <phoneticPr fontId="142" type="noConversion"/>
  </si>
  <si>
    <t>合计</t>
    <phoneticPr fontId="142" type="noConversion"/>
  </si>
  <si>
    <r>
      <t>1</t>
    </r>
    <r>
      <rPr>
        <sz val="11"/>
        <color theme="1"/>
        <rFont val="宋体"/>
        <family val="3"/>
        <charset val="134"/>
        <scheme val="minor"/>
      </rPr>
      <t>9#</t>
    </r>
    <phoneticPr fontId="142" type="noConversion"/>
  </si>
  <si>
    <r>
      <t>2</t>
    </r>
    <r>
      <rPr>
        <sz val="11"/>
        <color theme="1"/>
        <rFont val="宋体"/>
        <family val="3"/>
        <charset val="134"/>
        <scheme val="minor"/>
      </rPr>
      <t>0#</t>
    </r>
    <phoneticPr fontId="142" type="noConversion"/>
  </si>
  <si>
    <t>克拉项目需要解押明细表</t>
    <phoneticPr fontId="142" type="noConversion"/>
  </si>
  <si>
    <t>项目</t>
  </si>
  <si>
    <t>序号</t>
  </si>
  <si>
    <t>产品类型</t>
  </si>
  <si>
    <t>认购日期</t>
  </si>
  <si>
    <t>网签日期</t>
  </si>
  <si>
    <t>房号</t>
  </si>
  <si>
    <t>姓名</t>
  </si>
  <si>
    <t>付款方式</t>
  </si>
  <si>
    <t>面积</t>
  </si>
  <si>
    <t>合同总价</t>
  </si>
  <si>
    <t xml:space="preserve">已到帐金额 </t>
  </si>
  <si>
    <t>未回笼总金额</t>
  </si>
  <si>
    <t>17-1104</t>
    <phoneticPr fontId="142" type="noConversion"/>
  </si>
  <si>
    <t>不抵押面积</t>
    <phoneticPr fontId="142" type="noConversion"/>
  </si>
  <si>
    <t>克拉</t>
    <phoneticPr fontId="142" type="noConversion"/>
  </si>
  <si>
    <t>17-1202</t>
  </si>
  <si>
    <t>李永强</t>
  </si>
  <si>
    <t>一次性</t>
  </si>
  <si>
    <t>17#</t>
    <phoneticPr fontId="142" type="noConversion"/>
  </si>
  <si>
    <t>17-1204</t>
    <phoneticPr fontId="142" type="noConversion"/>
  </si>
  <si>
    <r>
      <t>1</t>
    </r>
    <r>
      <rPr>
        <sz val="11"/>
        <color theme="1"/>
        <rFont val="宋体"/>
        <family val="3"/>
        <charset val="134"/>
        <scheme val="minor"/>
      </rPr>
      <t>8#</t>
    </r>
    <phoneticPr fontId="142" type="noConversion"/>
  </si>
  <si>
    <t>17-1304</t>
    <phoneticPr fontId="142" type="noConversion"/>
  </si>
  <si>
    <t>17-1404</t>
    <phoneticPr fontId="142" type="noConversion"/>
  </si>
  <si>
    <r>
      <t>20#</t>
    </r>
    <r>
      <rPr>
        <sz val="11"/>
        <color theme="1"/>
        <rFont val="宋体"/>
        <family val="3"/>
        <charset val="134"/>
        <scheme val="minor"/>
      </rPr>
      <t/>
    </r>
  </si>
  <si>
    <t>17-1504</t>
    <phoneticPr fontId="142" type="noConversion"/>
  </si>
  <si>
    <t>17-1604</t>
    <phoneticPr fontId="142" type="noConversion"/>
  </si>
  <si>
    <t>17-1704</t>
    <phoneticPr fontId="142" type="noConversion"/>
  </si>
  <si>
    <t>克拉</t>
    <phoneticPr fontId="142" type="noConversion"/>
  </si>
  <si>
    <t>17-1802</t>
  </si>
  <si>
    <t>周艳红/肖久松</t>
  </si>
  <si>
    <t>17-1804</t>
    <phoneticPr fontId="142" type="noConversion"/>
  </si>
  <si>
    <t>17-1904</t>
    <phoneticPr fontId="142" type="noConversion"/>
  </si>
  <si>
    <t>克拉</t>
    <phoneticPr fontId="142" type="noConversion"/>
  </si>
  <si>
    <t>17-2002</t>
  </si>
  <si>
    <t>肖琼</t>
  </si>
  <si>
    <t>17-2102</t>
  </si>
  <si>
    <t>张金顺/黄海林</t>
    <phoneticPr fontId="3" type="noConversion"/>
  </si>
  <si>
    <t>一次性</t>
    <phoneticPr fontId="3" type="noConversion"/>
  </si>
  <si>
    <t>17-2202</t>
  </si>
  <si>
    <t>吴宇锋</t>
  </si>
  <si>
    <t>17-2204</t>
    <phoneticPr fontId="142" type="noConversion"/>
  </si>
  <si>
    <t>17-2401</t>
  </si>
  <si>
    <t>杨菊兰</t>
  </si>
  <si>
    <t>克拉</t>
    <phoneticPr fontId="142" type="noConversion"/>
  </si>
  <si>
    <t>17-2402</t>
  </si>
  <si>
    <t>吴立芳</t>
  </si>
  <si>
    <t>17-2502</t>
  </si>
  <si>
    <t>黄鑫/许炎</t>
  </si>
  <si>
    <t>17-2602</t>
  </si>
  <si>
    <t>陈盛</t>
  </si>
  <si>
    <t>17-2701</t>
  </si>
  <si>
    <t>吴炼</t>
    <phoneticPr fontId="3" type="noConversion"/>
  </si>
  <si>
    <t>一次性</t>
    <phoneticPr fontId="3" type="noConversion"/>
  </si>
  <si>
    <t>17-2702</t>
  </si>
  <si>
    <t>陈镜霆</t>
  </si>
  <si>
    <t>克拉</t>
    <phoneticPr fontId="142" type="noConversion"/>
  </si>
  <si>
    <t>17-2802</t>
  </si>
  <si>
    <t>谭希尧/李梦欣</t>
  </si>
  <si>
    <t>17-2804</t>
    <phoneticPr fontId="142" type="noConversion"/>
  </si>
  <si>
    <t>17-2902</t>
  </si>
  <si>
    <t>何晓玲</t>
  </si>
  <si>
    <t>17-3002</t>
  </si>
  <si>
    <t>罗婷</t>
    <phoneticPr fontId="3" type="noConversion"/>
  </si>
  <si>
    <t>一次性</t>
    <phoneticPr fontId="3" type="noConversion"/>
  </si>
  <si>
    <t>17-604</t>
    <phoneticPr fontId="142" type="noConversion"/>
  </si>
  <si>
    <t>17-904</t>
    <phoneticPr fontId="142" type="noConversion"/>
  </si>
  <si>
    <t>18-1003</t>
    <phoneticPr fontId="142" type="noConversion"/>
  </si>
  <si>
    <t>18-1004</t>
    <phoneticPr fontId="142" type="noConversion"/>
  </si>
  <si>
    <t>18-101</t>
    <phoneticPr fontId="142" type="noConversion"/>
  </si>
  <si>
    <t>克拉</t>
    <phoneticPr fontId="142" type="noConversion"/>
  </si>
  <si>
    <t>18-102</t>
  </si>
  <si>
    <t>段娜</t>
    <phoneticPr fontId="3" type="noConversion"/>
  </si>
  <si>
    <t>一次性</t>
    <phoneticPr fontId="3" type="noConversion"/>
  </si>
  <si>
    <t>18-103</t>
    <phoneticPr fontId="142" type="noConversion"/>
  </si>
  <si>
    <t>18-104</t>
    <phoneticPr fontId="142" type="noConversion"/>
  </si>
  <si>
    <t>18-1101</t>
    <phoneticPr fontId="142" type="noConversion"/>
  </si>
  <si>
    <t>18-1103</t>
    <phoneticPr fontId="142" type="noConversion"/>
  </si>
  <si>
    <t>18-1104</t>
    <phoneticPr fontId="142" type="noConversion"/>
  </si>
  <si>
    <t>18-1201</t>
    <phoneticPr fontId="142" type="noConversion"/>
  </si>
  <si>
    <t>18-1202</t>
  </si>
  <si>
    <t>李艳飞</t>
  </si>
  <si>
    <t>18-1203</t>
    <phoneticPr fontId="142" type="noConversion"/>
  </si>
  <si>
    <t>18-1204</t>
    <phoneticPr fontId="142" type="noConversion"/>
  </si>
  <si>
    <t>18-1301</t>
    <phoneticPr fontId="142" type="noConversion"/>
  </si>
  <si>
    <t>18-1302</t>
  </si>
  <si>
    <t>李志威</t>
  </si>
  <si>
    <t>18-1303</t>
    <phoneticPr fontId="142" type="noConversion"/>
  </si>
  <si>
    <t>18-1304</t>
    <phoneticPr fontId="142" type="noConversion"/>
  </si>
  <si>
    <t>18-1401</t>
    <phoneticPr fontId="142" type="noConversion"/>
  </si>
  <si>
    <t>18-1404</t>
    <phoneticPr fontId="142" type="noConversion"/>
  </si>
  <si>
    <t>18-1501</t>
    <phoneticPr fontId="142" type="noConversion"/>
  </si>
  <si>
    <t>18-1503</t>
    <phoneticPr fontId="142" type="noConversion"/>
  </si>
  <si>
    <t>18-1504</t>
    <phoneticPr fontId="142" type="noConversion"/>
  </si>
  <si>
    <t>18-1601</t>
    <phoneticPr fontId="142" type="noConversion"/>
  </si>
  <si>
    <t>18-1603</t>
    <phoneticPr fontId="142" type="noConversion"/>
  </si>
  <si>
    <t>18-1604</t>
    <phoneticPr fontId="142" type="noConversion"/>
  </si>
  <si>
    <t>18-1701</t>
    <phoneticPr fontId="142" type="noConversion"/>
  </si>
  <si>
    <t>18-1702</t>
  </si>
  <si>
    <t>戴树宏</t>
  </si>
  <si>
    <t>18-1703</t>
    <phoneticPr fontId="142" type="noConversion"/>
  </si>
  <si>
    <t>18-1704</t>
    <phoneticPr fontId="142" type="noConversion"/>
  </si>
  <si>
    <t>18-1901</t>
    <phoneticPr fontId="142" type="noConversion"/>
  </si>
  <si>
    <t>18-1902</t>
  </si>
  <si>
    <t>李松林</t>
  </si>
  <si>
    <t>18-1904</t>
    <phoneticPr fontId="142" type="noConversion"/>
  </si>
  <si>
    <t>18-2001</t>
    <phoneticPr fontId="142" type="noConversion"/>
  </si>
  <si>
    <t>18-2004</t>
    <phoneticPr fontId="142" type="noConversion"/>
  </si>
  <si>
    <t>18-201</t>
    <phoneticPr fontId="142" type="noConversion"/>
  </si>
  <si>
    <t>18-203</t>
    <phoneticPr fontId="142" type="noConversion"/>
  </si>
  <si>
    <t>18-204</t>
    <phoneticPr fontId="142" type="noConversion"/>
  </si>
  <si>
    <t>18-2101</t>
    <phoneticPr fontId="142" type="noConversion"/>
  </si>
  <si>
    <t>18-2102</t>
  </si>
  <si>
    <t>周喜生</t>
  </si>
  <si>
    <t>18-2104</t>
    <phoneticPr fontId="142" type="noConversion"/>
  </si>
  <si>
    <t>18-2204</t>
    <phoneticPr fontId="142" type="noConversion"/>
  </si>
  <si>
    <t>18-2301</t>
    <phoneticPr fontId="142" type="noConversion"/>
  </si>
  <si>
    <t>18-2302</t>
  </si>
  <si>
    <t>周剑良</t>
  </si>
  <si>
    <t>18-2304</t>
    <phoneticPr fontId="142" type="noConversion"/>
  </si>
  <si>
    <t>18-2401</t>
    <phoneticPr fontId="142" type="noConversion"/>
  </si>
  <si>
    <t>18-2501</t>
    <phoneticPr fontId="142" type="noConversion"/>
  </si>
  <si>
    <t>18-2504</t>
    <phoneticPr fontId="142" type="noConversion"/>
  </si>
  <si>
    <t>18-2601</t>
    <phoneticPr fontId="142" type="noConversion"/>
  </si>
  <si>
    <t>18-2604</t>
    <phoneticPr fontId="142" type="noConversion"/>
  </si>
  <si>
    <t>18-2701</t>
  </si>
  <si>
    <t>周冬生</t>
    <phoneticPr fontId="3" type="noConversion"/>
  </si>
  <si>
    <t>18-2703</t>
    <phoneticPr fontId="142" type="noConversion"/>
  </si>
  <si>
    <t>18-2704</t>
    <phoneticPr fontId="142" type="noConversion"/>
  </si>
  <si>
    <t>18-2801</t>
    <phoneticPr fontId="142" type="noConversion"/>
  </si>
  <si>
    <t>18-2804</t>
    <phoneticPr fontId="142" type="noConversion"/>
  </si>
  <si>
    <t>18-2901</t>
    <phoneticPr fontId="142" type="noConversion"/>
  </si>
  <si>
    <t>18-2903</t>
    <phoneticPr fontId="142" type="noConversion"/>
  </si>
  <si>
    <t>18-3003</t>
    <phoneticPr fontId="142" type="noConversion"/>
  </si>
  <si>
    <t>18-3004</t>
    <phoneticPr fontId="142" type="noConversion"/>
  </si>
  <si>
    <t>18-304</t>
    <phoneticPr fontId="142" type="noConversion"/>
  </si>
  <si>
    <t>18-3102</t>
  </si>
  <si>
    <t>谭莎</t>
  </si>
  <si>
    <t>18-3202</t>
  </si>
  <si>
    <t>郑春蓉/谭智</t>
  </si>
  <si>
    <t>省公积金</t>
  </si>
  <si>
    <t>18-503</t>
    <phoneticPr fontId="142" type="noConversion"/>
  </si>
  <si>
    <t>18-504</t>
    <phoneticPr fontId="142" type="noConversion"/>
  </si>
  <si>
    <t>18-601</t>
    <phoneticPr fontId="142" type="noConversion"/>
  </si>
  <si>
    <t>18-603</t>
    <phoneticPr fontId="142" type="noConversion"/>
  </si>
  <si>
    <t>18-604</t>
    <phoneticPr fontId="142" type="noConversion"/>
  </si>
  <si>
    <t>18-701</t>
    <phoneticPr fontId="142" type="noConversion"/>
  </si>
  <si>
    <t>18-703</t>
    <phoneticPr fontId="142" type="noConversion"/>
  </si>
  <si>
    <t>18-704</t>
    <phoneticPr fontId="142" type="noConversion"/>
  </si>
  <si>
    <t>18-801</t>
    <phoneticPr fontId="142" type="noConversion"/>
  </si>
  <si>
    <t>18-803</t>
    <phoneticPr fontId="142" type="noConversion"/>
  </si>
  <si>
    <t>18-804</t>
    <phoneticPr fontId="142" type="noConversion"/>
  </si>
  <si>
    <t>18-903</t>
    <phoneticPr fontId="142" type="noConversion"/>
  </si>
  <si>
    <t>18-904</t>
    <phoneticPr fontId="142" type="noConversion"/>
  </si>
  <si>
    <t>19-1002</t>
    <phoneticPr fontId="142" type="noConversion"/>
  </si>
  <si>
    <t>19-1003</t>
    <phoneticPr fontId="142" type="noConversion"/>
  </si>
  <si>
    <t>19-103</t>
    <phoneticPr fontId="142" type="noConversion"/>
  </si>
  <si>
    <t>19-1102</t>
    <phoneticPr fontId="142" type="noConversion"/>
  </si>
  <si>
    <t>19-1103</t>
    <phoneticPr fontId="142" type="noConversion"/>
  </si>
  <si>
    <t>19-1202</t>
    <phoneticPr fontId="142" type="noConversion"/>
  </si>
  <si>
    <t>19-1203</t>
    <phoneticPr fontId="142" type="noConversion"/>
  </si>
  <si>
    <t>19-1302</t>
    <phoneticPr fontId="142" type="noConversion"/>
  </si>
  <si>
    <t>19-1303</t>
    <phoneticPr fontId="142" type="noConversion"/>
  </si>
  <si>
    <t>19-1502</t>
    <phoneticPr fontId="142" type="noConversion"/>
  </si>
  <si>
    <t>19-1503</t>
    <phoneticPr fontId="142" type="noConversion"/>
  </si>
  <si>
    <t>19-1602</t>
    <phoneticPr fontId="142" type="noConversion"/>
  </si>
  <si>
    <t>19-1603</t>
    <phoneticPr fontId="142" type="noConversion"/>
  </si>
  <si>
    <t>19-1703</t>
    <phoneticPr fontId="142" type="noConversion"/>
  </si>
  <si>
    <t>19-1803</t>
    <phoneticPr fontId="142" type="noConversion"/>
  </si>
  <si>
    <t>19-2003</t>
    <phoneticPr fontId="142" type="noConversion"/>
  </si>
  <si>
    <t>19-2201</t>
  </si>
  <si>
    <t>周娜</t>
    <phoneticPr fontId="3" type="noConversion"/>
  </si>
  <si>
    <t>19-2202</t>
    <phoneticPr fontId="142" type="noConversion"/>
  </si>
  <si>
    <t>19-2303</t>
    <phoneticPr fontId="142" type="noConversion"/>
  </si>
  <si>
    <t>19-2604</t>
  </si>
  <si>
    <t>陈诚/刘霞</t>
  </si>
  <si>
    <t>19-2902</t>
    <phoneticPr fontId="142" type="noConversion"/>
  </si>
  <si>
    <t>19-3002</t>
    <phoneticPr fontId="142" type="noConversion"/>
  </si>
  <si>
    <t>19-503</t>
    <phoneticPr fontId="142" type="noConversion"/>
  </si>
  <si>
    <t>19-603</t>
    <phoneticPr fontId="142" type="noConversion"/>
  </si>
  <si>
    <t>19-703</t>
    <phoneticPr fontId="142" type="noConversion"/>
  </si>
  <si>
    <t>19-903</t>
    <phoneticPr fontId="142" type="noConversion"/>
  </si>
  <si>
    <t>20-1003</t>
    <phoneticPr fontId="142" type="noConversion"/>
  </si>
  <si>
    <t>20-1103</t>
    <phoneticPr fontId="142" type="noConversion"/>
  </si>
  <si>
    <t>20-1202</t>
    <phoneticPr fontId="142" type="noConversion"/>
  </si>
  <si>
    <t>20-1203</t>
    <phoneticPr fontId="142" type="noConversion"/>
  </si>
  <si>
    <t>20-1302</t>
    <phoneticPr fontId="142" type="noConversion"/>
  </si>
  <si>
    <t>20-1303</t>
    <phoneticPr fontId="142" type="noConversion"/>
  </si>
  <si>
    <t>20-1304</t>
    <phoneticPr fontId="142" type="noConversion"/>
  </si>
  <si>
    <t>20-1402</t>
    <phoneticPr fontId="142" type="noConversion"/>
  </si>
  <si>
    <t>20-1501</t>
    <phoneticPr fontId="142" type="noConversion"/>
  </si>
  <si>
    <t>20-1502</t>
    <phoneticPr fontId="142" type="noConversion"/>
  </si>
  <si>
    <t>20-1503</t>
    <phoneticPr fontId="142" type="noConversion"/>
  </si>
  <si>
    <t>20-1504</t>
    <phoneticPr fontId="142" type="noConversion"/>
  </si>
  <si>
    <t>20-1601</t>
    <phoneticPr fontId="142" type="noConversion"/>
  </si>
  <si>
    <t>20-1602</t>
    <phoneticPr fontId="142" type="noConversion"/>
  </si>
  <si>
    <t>20-1603</t>
    <phoneticPr fontId="142" type="noConversion"/>
  </si>
  <si>
    <t>20-1604</t>
    <phoneticPr fontId="142" type="noConversion"/>
  </si>
  <si>
    <t>20-1701</t>
    <phoneticPr fontId="142" type="noConversion"/>
  </si>
  <si>
    <t>20-1702</t>
    <phoneticPr fontId="142" type="noConversion"/>
  </si>
  <si>
    <t>20-1703</t>
    <phoneticPr fontId="142" type="noConversion"/>
  </si>
  <si>
    <t>20-1704</t>
    <phoneticPr fontId="142" type="noConversion"/>
  </si>
  <si>
    <t>20-1803</t>
    <phoneticPr fontId="142" type="noConversion"/>
  </si>
  <si>
    <t>20-1901</t>
    <phoneticPr fontId="142" type="noConversion"/>
  </si>
  <si>
    <t>20-1902</t>
    <phoneticPr fontId="142" type="noConversion"/>
  </si>
  <si>
    <t>20-1903</t>
    <phoneticPr fontId="142" type="noConversion"/>
  </si>
  <si>
    <t>20-1904</t>
    <phoneticPr fontId="142" type="noConversion"/>
  </si>
  <si>
    <t>20-2001</t>
  </si>
  <si>
    <t>刘建新</t>
  </si>
  <si>
    <t>20-2002</t>
    <phoneticPr fontId="142" type="noConversion"/>
  </si>
  <si>
    <t>20-2003</t>
    <phoneticPr fontId="142" type="noConversion"/>
  </si>
  <si>
    <t>20-2004</t>
    <phoneticPr fontId="142" type="noConversion"/>
  </si>
  <si>
    <t>20-2101</t>
  </si>
  <si>
    <t>周敏/吴江慧</t>
  </si>
  <si>
    <t>20-2103</t>
    <phoneticPr fontId="142" type="noConversion"/>
  </si>
  <si>
    <t>20-2104</t>
    <phoneticPr fontId="142" type="noConversion"/>
  </si>
  <si>
    <t>20-2201</t>
  </si>
  <si>
    <t>许勇/欧阳芳</t>
  </si>
  <si>
    <t>20-2202</t>
    <phoneticPr fontId="142" type="noConversion"/>
  </si>
  <si>
    <t>20-2203</t>
    <phoneticPr fontId="142" type="noConversion"/>
  </si>
  <si>
    <t>20-2303</t>
    <phoneticPr fontId="142" type="noConversion"/>
  </si>
  <si>
    <t>20-2404</t>
  </si>
  <si>
    <t>李康俊/杨昕悦</t>
  </si>
  <si>
    <t>20-2601</t>
  </si>
  <si>
    <t>王智娟</t>
  </si>
  <si>
    <t>20-2603</t>
    <phoneticPr fontId="142" type="noConversion"/>
  </si>
  <si>
    <t>20-2803</t>
    <phoneticPr fontId="142" type="noConversion"/>
  </si>
  <si>
    <t>20-2804</t>
  </si>
  <si>
    <t>吴赛/吴婷</t>
  </si>
  <si>
    <t>20-302</t>
    <phoneticPr fontId="142" type="noConversion"/>
  </si>
  <si>
    <t>20-3201</t>
  </si>
  <si>
    <t>陈红斌</t>
  </si>
  <si>
    <t>20-702</t>
    <phoneticPr fontId="142" type="noConversion"/>
  </si>
  <si>
    <t>20-803</t>
    <phoneticPr fontId="142" type="noConversion"/>
  </si>
  <si>
    <t>20-903</t>
    <phoneticPr fontId="142" type="noConversion"/>
  </si>
  <si>
    <t>住宅</t>
    <phoneticPr fontId="142" type="noConversion"/>
  </si>
  <si>
    <t>住宅</t>
    <phoneticPr fontId="142" type="noConversion"/>
  </si>
  <si>
    <t>住宅</t>
    <phoneticPr fontId="142" type="noConversion"/>
  </si>
  <si>
    <t>住宅</t>
    <phoneticPr fontId="142" type="noConversion"/>
  </si>
  <si>
    <t>抵押面积</t>
    <phoneticPr fontId="142" type="noConversion"/>
  </si>
  <si>
    <t>抵押面积</t>
    <phoneticPr fontId="142" type="noConversion"/>
  </si>
  <si>
    <t>抵押面积</t>
    <phoneticPr fontId="142" type="noConversion"/>
  </si>
  <si>
    <t>住宅、商业</t>
    <phoneticPr fontId="31"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</si>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</sst>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color indexed="8"/>
      <name val="仿宋_GB2312"/>
      <family val="3"/>
      <charset val="134"/>
    </font>
    <font>
      <sz val="10"/>
      <name val="新宋体"/>
      <family val="3"/>
      <charset val="134"/>
    </font>
    <font>
      <sz val="9"/>
      <color indexed="8"/>
      <name val="宋体"/>
      <family val="3"/>
      <charset val="134"/>
      <scheme val="major"/>
    </font>
    <font>
      <sz val="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s>
  <cellStyleXfs count="16">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36" fillId="0" borderId="0">
      <alignment vertical="center"/>
    </xf>
    <xf numFmtId="0" fontId="193" fillId="0" borderId="0">
      <alignment vertical="center"/>
    </xf>
    <xf numFmtId="0" fontId="55" fillId="0" borderId="0"/>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53" xfId="0" applyFont="1" applyFill="1" applyBorder="1" applyAlignment="1" applyProtection="1">
      <alignment horizontal="center" vertical="center" wrapText="1"/>
    </xf>
    <xf numFmtId="0" fontId="52" fillId="6" borderId="34"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6" borderId="17" xfId="0" applyFont="1" applyFill="1" applyBorder="1" applyAlignment="1" applyProtection="1">
      <alignment horizontal="left" vertical="center" wrapText="1"/>
    </xf>
    <xf numFmtId="0" fontId="55" fillId="5" borderId="17"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right"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34" xfId="0" applyFont="1" applyFill="1" applyBorder="1" applyAlignment="1" applyProtection="1">
      <alignment vertical="center"/>
    </xf>
    <xf numFmtId="0" fontId="52"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51" fillId="12" borderId="126" xfId="9" applyFont="1" applyFill="1" applyBorder="1" applyAlignment="1" applyProtection="1">
      <alignment vertical="center" wrapText="1"/>
    </xf>
    <xf numFmtId="0" fontId="151" fillId="12" borderId="155" xfId="9" applyFont="1" applyFill="1" applyBorder="1" applyAlignment="1" applyProtection="1">
      <alignment vertical="center" wrapText="1"/>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51" fillId="12" borderId="126" xfId="9" applyFont="1" applyFill="1" applyBorder="1" applyAlignment="1" applyProtection="1">
      <alignment horizontal="center" vertical="center" wrapText="1"/>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0" fontId="151" fillId="12" borderId="155" xfId="9" applyFont="1" applyFill="1" applyBorder="1" applyAlignment="1" applyProtection="1">
      <alignment horizontal="center" vertical="center" wrapText="1"/>
    </xf>
    <xf numFmtId="192" fontId="125" fillId="0" borderId="1" xfId="5" applyNumberFormat="1" applyFont="1" applyFill="1" applyBorder="1" applyAlignment="1">
      <alignment horizontal="right" vertical="center"/>
    </xf>
    <xf numFmtId="0" fontId="151" fillId="12" borderId="126" xfId="9" applyFont="1" applyFill="1" applyBorder="1" applyAlignment="1" applyProtection="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8" fillId="7" borderId="71" xfId="0" applyFont="1" applyFill="1" applyBorder="1" applyAlignment="1" applyProtection="1">
      <alignment horizontal="left" vertical="center" wrapText="1"/>
      <protection locked="0"/>
    </xf>
    <xf numFmtId="0" fontId="48" fillId="7" borderId="43" xfId="0" applyFont="1" applyFill="1" applyBorder="1" applyAlignment="1" applyProtection="1">
      <alignment horizontal="left" vertical="center" wrapText="1"/>
      <protection locked="0"/>
    </xf>
    <xf numFmtId="0" fontId="136" fillId="0" borderId="5" xfId="0" applyFont="1" applyFill="1" applyBorder="1" applyAlignment="1" applyProtection="1">
      <alignment horizontal="center" vertical="center" wrapText="1"/>
      <protection locked="0"/>
    </xf>
    <xf numFmtId="0" fontId="136" fillId="0" borderId="37" xfId="0" applyNumberFormat="1" applyFont="1" applyFill="1" applyBorder="1" applyAlignment="1" applyProtection="1">
      <alignment horizontal="center" vertical="center" wrapText="1"/>
      <protection locked="0"/>
    </xf>
    <xf numFmtId="0" fontId="0" fillId="0" borderId="0" xfId="0" applyAlignment="1">
      <alignment horizontal="left" vertical="center"/>
    </xf>
    <xf numFmtId="0" fontId="98" fillId="0" borderId="1" xfId="0" applyFont="1" applyBorder="1" applyAlignment="1">
      <alignment horizontal="left" vertical="center"/>
    </xf>
    <xf numFmtId="0" fontId="0" fillId="0" borderId="1" xfId="0" applyBorder="1" applyAlignment="1">
      <alignment horizontal="left" vertical="center"/>
    </xf>
    <xf numFmtId="0" fontId="98" fillId="5" borderId="1" xfId="0" applyFont="1" applyFill="1" applyBorder="1" applyAlignment="1">
      <alignment horizontal="left" vertical="center"/>
    </xf>
    <xf numFmtId="0" fontId="19" fillId="7" borderId="13" xfId="13" applyFont="1" applyFill="1" applyBorder="1" applyAlignment="1">
      <alignment horizontal="center" vertical="center" wrapText="1"/>
    </xf>
    <xf numFmtId="196" fontId="19" fillId="7" borderId="13" xfId="13" applyNumberFormat="1" applyFont="1" applyFill="1" applyBorder="1" applyAlignment="1">
      <alignment horizontal="center" vertical="center" wrapText="1"/>
    </xf>
    <xf numFmtId="0" fontId="19" fillId="7" borderId="13" xfId="13" applyNumberFormat="1" applyFont="1" applyFill="1" applyBorder="1" applyAlignment="1">
      <alignment horizontal="center" vertical="center" wrapText="1"/>
    </xf>
    <xf numFmtId="0" fontId="3" fillId="7" borderId="13" xfId="13" applyFont="1" applyFill="1" applyBorder="1" applyAlignment="1">
      <alignment horizontal="center" vertical="center" wrapText="1"/>
    </xf>
    <xf numFmtId="0" fontId="3" fillId="7" borderId="13" xfId="13" applyNumberFormat="1" applyFont="1" applyFill="1" applyBorder="1" applyAlignment="1">
      <alignment horizontal="center" vertical="center" wrapText="1"/>
    </xf>
    <xf numFmtId="179" fontId="3" fillId="7" borderId="13" xfId="13" applyNumberFormat="1" applyFont="1" applyFill="1" applyBorder="1" applyAlignment="1">
      <alignment horizontal="center" vertical="center" wrapText="1"/>
    </xf>
    <xf numFmtId="179" fontId="19" fillId="7" borderId="13" xfId="13" applyNumberFormat="1" applyFont="1" applyFill="1" applyBorder="1" applyAlignment="1">
      <alignment horizontal="center" vertical="center" wrapText="1"/>
    </xf>
    <xf numFmtId="197" fontId="19" fillId="7" borderId="13" xfId="13" applyNumberFormat="1" applyFont="1" applyFill="1" applyBorder="1" applyAlignment="1">
      <alignment horizontal="center" vertical="center" wrapText="1"/>
    </xf>
    <xf numFmtId="197" fontId="19" fillId="7" borderId="1" xfId="13" applyNumberFormat="1" applyFont="1" applyFill="1" applyBorder="1" applyAlignment="1">
      <alignment horizontal="center" vertical="center" wrapText="1"/>
    </xf>
    <xf numFmtId="0" fontId="0" fillId="0" borderId="1" xfId="0" applyBorder="1">
      <alignment vertical="center"/>
    </xf>
    <xf numFmtId="0" fontId="0" fillId="0" borderId="1" xfId="0" applyNumberFormat="1" applyBorder="1">
      <alignment vertical="center"/>
    </xf>
    <xf numFmtId="0" fontId="100" fillId="0" borderId="1" xfId="0" applyFont="1" applyBorder="1">
      <alignment vertical="center"/>
    </xf>
    <xf numFmtId="0" fontId="0" fillId="0" borderId="0" xfId="0" applyAlignment="1">
      <alignment horizontal="center" vertical="center"/>
    </xf>
    <xf numFmtId="0" fontId="98" fillId="0" borderId="0" xfId="0" applyFont="1" applyAlignment="1">
      <alignment horizontal="center" vertical="center"/>
    </xf>
    <xf numFmtId="0" fontId="19" fillId="7" borderId="1" xfId="13" applyFont="1" applyFill="1" applyBorder="1" applyAlignment="1">
      <alignment horizontal="center" vertical="center"/>
    </xf>
    <xf numFmtId="0" fontId="129" fillId="7" borderId="1" xfId="14" applyFont="1" applyFill="1" applyBorder="1" applyAlignment="1">
      <alignment horizontal="center" vertical="center"/>
    </xf>
    <xf numFmtId="14" fontId="3" fillId="0" borderId="1" xfId="0" applyNumberFormat="1" applyFont="1" applyBorder="1" applyAlignment="1">
      <alignment horizontal="center" vertical="center"/>
    </xf>
    <xf numFmtId="0" fontId="255" fillId="0" borderId="1" xfId="2" applyNumberFormat="1" applyFont="1" applyFill="1" applyBorder="1" applyAlignment="1">
      <alignment horizontal="center" vertical="center"/>
    </xf>
    <xf numFmtId="0" fontId="3" fillId="0" borderId="1" xfId="0" applyFont="1" applyBorder="1" applyAlignment="1">
      <alignment horizontal="center" vertical="center"/>
    </xf>
    <xf numFmtId="179" fontId="3" fillId="0" borderId="1" xfId="0" applyNumberFormat="1" applyFont="1" applyBorder="1" applyAlignment="1">
      <alignment horizontal="center" vertical="center"/>
    </xf>
    <xf numFmtId="197" fontId="129" fillId="7" borderId="1" xfId="14" applyNumberFormat="1" applyFont="1" applyFill="1" applyBorder="1" applyAlignment="1">
      <alignment horizontal="center" vertical="center"/>
    </xf>
    <xf numFmtId="0" fontId="0" fillId="0" borderId="156" xfId="0" applyBorder="1">
      <alignment vertical="center"/>
    </xf>
    <xf numFmtId="0" fontId="0" fillId="0" borderId="157" xfId="0" applyBorder="1">
      <alignment vertical="center"/>
    </xf>
    <xf numFmtId="179" fontId="0" fillId="0" borderId="0" xfId="0" applyNumberFormat="1" applyAlignment="1">
      <alignment horizontal="center" vertical="center"/>
    </xf>
    <xf numFmtId="0" fontId="0" fillId="0" borderId="157" xfId="0" applyNumberFormat="1" applyBorder="1">
      <alignment vertical="center"/>
    </xf>
    <xf numFmtId="0" fontId="100" fillId="0" borderId="157" xfId="0" applyFont="1" applyBorder="1">
      <alignment vertical="center"/>
    </xf>
    <xf numFmtId="0" fontId="19" fillId="7" borderId="157" xfId="13" applyFont="1" applyFill="1" applyBorder="1" applyAlignment="1">
      <alignment horizontal="center" vertical="center"/>
    </xf>
    <xf numFmtId="0" fontId="129" fillId="7" borderId="157" xfId="14" applyFont="1" applyFill="1" applyBorder="1" applyAlignment="1">
      <alignment horizontal="center" vertical="center"/>
    </xf>
    <xf numFmtId="14" fontId="3" fillId="0" borderId="157" xfId="0" applyNumberFormat="1" applyFont="1" applyBorder="1" applyAlignment="1">
      <alignment horizontal="center" vertical="center"/>
    </xf>
    <xf numFmtId="0" fontId="129" fillId="7" borderId="157" xfId="14" applyNumberFormat="1" applyFont="1" applyFill="1" applyBorder="1" applyAlignment="1">
      <alignment horizontal="center" vertical="center"/>
    </xf>
    <xf numFmtId="0" fontId="3" fillId="0" borderId="157" xfId="0" applyFont="1" applyBorder="1" applyAlignment="1">
      <alignment horizontal="center" vertical="center"/>
    </xf>
    <xf numFmtId="179" fontId="3" fillId="0" borderId="157" xfId="0" applyNumberFormat="1" applyFont="1" applyBorder="1" applyAlignment="1">
      <alignment horizontal="center" vertical="center"/>
    </xf>
    <xf numFmtId="197" fontId="129" fillId="7" borderId="157" xfId="14" applyNumberFormat="1" applyFont="1" applyFill="1" applyBorder="1" applyAlignment="1">
      <alignment horizontal="center" vertical="center"/>
    </xf>
    <xf numFmtId="0" fontId="256" fillId="0" borderId="157" xfId="0" applyFont="1" applyFill="1" applyBorder="1" applyAlignment="1" applyProtection="1">
      <alignment horizontal="center" vertical="center"/>
      <protection locked="0"/>
    </xf>
    <xf numFmtId="0" fontId="3" fillId="0" borderId="156" xfId="0" applyFont="1" applyBorder="1" applyAlignment="1">
      <alignment horizontal="center" vertical="center"/>
    </xf>
    <xf numFmtId="0" fontId="255" fillId="0" borderId="157" xfId="2" applyNumberFormat="1" applyFont="1" applyFill="1" applyBorder="1" applyAlignment="1">
      <alignment horizontal="center" vertical="center"/>
    </xf>
    <xf numFmtId="0" fontId="0" fillId="0" borderId="0" xfId="0" applyNumberFormat="1">
      <alignment vertical="center"/>
    </xf>
    <xf numFmtId="0" fontId="100" fillId="0" borderId="0" xfId="0" applyFont="1">
      <alignment vertical="center"/>
    </xf>
    <xf numFmtId="0" fontId="19" fillId="7" borderId="0" xfId="13" applyFont="1" applyFill="1" applyBorder="1" applyAlignment="1">
      <alignment horizontal="center" vertical="center"/>
    </xf>
    <xf numFmtId="0" fontId="129" fillId="7" borderId="0" xfId="14" applyFont="1" applyFill="1" applyBorder="1" applyAlignment="1">
      <alignment horizontal="center" vertical="center"/>
    </xf>
    <xf numFmtId="14" fontId="3" fillId="0" borderId="0" xfId="0" applyNumberFormat="1" applyFont="1" applyBorder="1" applyAlignment="1">
      <alignment horizontal="center" vertical="center"/>
    </xf>
    <xf numFmtId="0" fontId="3" fillId="0" borderId="0" xfId="0" applyFont="1" applyBorder="1" applyAlignment="1">
      <alignment horizontal="center" vertical="center"/>
    </xf>
    <xf numFmtId="179" fontId="3" fillId="0" borderId="0" xfId="0" applyNumberFormat="1" applyFont="1" applyBorder="1" applyAlignment="1">
      <alignment horizontal="center" vertical="center"/>
    </xf>
    <xf numFmtId="197" fontId="129" fillId="7" borderId="0" xfId="14" applyNumberFormat="1" applyFont="1" applyFill="1" applyBorder="1" applyAlignment="1">
      <alignment horizontal="center" vertical="center"/>
    </xf>
    <xf numFmtId="0" fontId="98" fillId="0" borderId="0" xfId="0" applyFont="1">
      <alignment vertical="center"/>
    </xf>
    <xf numFmtId="14"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179" fontId="3" fillId="0" borderId="0" xfId="0" applyNumberFormat="1" applyFont="1" applyFill="1" applyBorder="1" applyAlignment="1">
      <alignment horizontal="center" vertical="center"/>
    </xf>
    <xf numFmtId="0" fontId="239" fillId="0" borderId="0" xfId="15" applyFont="1" applyFill="1" applyBorder="1" applyAlignment="1">
      <alignment horizontal="center" vertical="center" wrapText="1"/>
    </xf>
    <xf numFmtId="0" fontId="19" fillId="7" borderId="0" xfId="13" applyNumberFormat="1" applyFont="1" applyFill="1" applyBorder="1" applyAlignment="1">
      <alignment horizontal="center" vertical="center"/>
    </xf>
    <xf numFmtId="0" fontId="257" fillId="7" borderId="0" xfId="13" applyFont="1" applyFill="1" applyBorder="1" applyAlignment="1">
      <alignment horizontal="center" vertical="center"/>
    </xf>
    <xf numFmtId="0" fontId="3" fillId="7" borderId="0" xfId="13" applyFont="1" applyFill="1" applyBorder="1" applyAlignment="1">
      <alignment horizontal="center" vertical="center"/>
    </xf>
    <xf numFmtId="176" fontId="79" fillId="7" borderId="0" xfId="13" applyNumberFormat="1" applyFont="1" applyFill="1" applyBorder="1" applyAlignment="1">
      <alignment horizontal="center" vertical="center"/>
    </xf>
    <xf numFmtId="186" fontId="79" fillId="7" borderId="0" xfId="13" applyNumberFormat="1" applyFont="1" applyFill="1" applyBorder="1" applyAlignment="1">
      <alignment horizontal="center" vertical="center"/>
    </xf>
    <xf numFmtId="0" fontId="0" fillId="5" borderId="1" xfId="0" applyFill="1" applyBorder="1" applyAlignment="1">
      <alignment horizontal="left" vertical="center"/>
    </xf>
    <xf numFmtId="0" fontId="98" fillId="0" borderId="0" xfId="0" applyFont="1" applyAlignment="1">
      <alignment horizontal="left" vertical="center"/>
    </xf>
    <xf numFmtId="0" fontId="0" fillId="0" borderId="1" xfId="0" applyFill="1" applyBorder="1" applyAlignment="1">
      <alignment horizontal="left" vertical="center"/>
    </xf>
    <xf numFmtId="0" fontId="98" fillId="0" borderId="1" xfId="0" applyFont="1" applyFill="1" applyBorder="1" applyAlignment="1">
      <alignment horizontal="left" vertical="center"/>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3"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3"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132" fillId="6" borderId="23" xfId="0" applyFont="1" applyFill="1" applyBorder="1" applyProtection="1">
      <alignment vertical="center"/>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6"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24"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52"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4" fillId="0" borderId="0" xfId="9" applyFont="1" applyAlignment="1">
      <alignment horizontal="center" vertical="center"/>
    </xf>
    <xf numFmtId="0" fontId="107" fillId="0" borderId="0" xfId="9" applyFont="1" applyAlignment="1">
      <alignment horizontal="center" vertical="center"/>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8" fillId="5" borderId="1" xfId="0" applyFont="1" applyFill="1" applyBorder="1" applyAlignment="1">
      <alignment horizontal="left" vertical="center"/>
    </xf>
    <xf numFmtId="0" fontId="127" fillId="0" borderId="60" xfId="0" applyFont="1" applyBorder="1" applyAlignment="1">
      <alignment horizontal="center" vertical="center"/>
    </xf>
  </cellXfs>
  <cellStyles count="16">
    <cellStyle name="常规" xfId="0" builtinId="0"/>
    <cellStyle name="常规 16" xfId="10"/>
    <cellStyle name="常规 2" xfId="1"/>
    <cellStyle name="常规 2 2" xfId="8"/>
    <cellStyle name="常规 3" xfId="2"/>
    <cellStyle name="常规 3 2" xfId="3"/>
    <cellStyle name="常规 3 2 2 2_6-14周会(剔除挞定退房) 22" xfId="13"/>
    <cellStyle name="常规 4" xfId="4"/>
    <cellStyle name="常规 44 5 3" xfId="14"/>
    <cellStyle name="常规 5" xfId="5"/>
    <cellStyle name="常规 6" xfId="6"/>
    <cellStyle name="常规 6 2" xfId="9"/>
    <cellStyle name="常规 7" xfId="7"/>
    <cellStyle name="常规 8" xfId="11"/>
    <cellStyle name="常规 9" xfId="12"/>
    <cellStyle name="常规_Sheet1" xfId="15"/>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湖南省长沙市出让国有建设用地使用权及在建建筑物抵押价格预评估</v>
      </c>
    </row>
    <row r="3" spans="1:2" s="1595" customFormat="1">
      <c r="A3" s="1593" t="s">
        <v>1217</v>
      </c>
      <c r="B3" s="1594" t="str">
        <f>'预评函-封皮'!B40</f>
        <v>大业信托</v>
      </c>
    </row>
    <row r="4" spans="1:2" s="1595" customFormat="1">
      <c r="A4" s="1593" t="s">
        <v>1218</v>
      </c>
      <c r="B4" s="1594" t="str">
        <f ca="1">'预评函-封皮'!B46</f>
        <v>王鹏（注册号：1120050019)、崔锴（注册号：1120100036)</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受贵公司委托，我公司对湖南省长沙市出让国有建设用地使用权及在建建筑物房地产抵押价值进行了预评估。</v>
      </c>
    </row>
    <row r="7" spans="1:2" s="1595" customFormat="1">
      <c r="A7" s="1593" t="s">
        <v>1260</v>
      </c>
      <c r="B7" s="1594" t="str">
        <f>'预评函-1'!A7</f>
        <v>估价对象为湖南省长沙市出让国有建设用地使用权及在建建筑物房地产，为湖南正昊置业发展有限公司所有。根据《国土证》，估价对象（分摊）出让国有建设用地使用权面积为6969.29平方米，建筑面积为44412.45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湖南省长沙市出让国有建设用地使用权及在建建筑物房地产,属湖南正昊置业发展有限公司开发建设的居住项目，该项目尚在开发建设中。根据《国土证》，估价对象（分摊）出让国有建设用地使用权面积为6969.29平方米，规划建筑面积为44412.45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湖南正昊置业发展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2018年8月9日（评估专业人员实地查勘之日）</v>
      </c>
    </row>
    <row r="13" spans="1:2" s="1595" customFormat="1">
      <c r="A13" s="1593" t="s">
        <v>1223</v>
      </c>
      <c r="B13" s="1594" t="str">
        <f>'预评函-1'!A18</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31281</v>
      </c>
    </row>
    <row r="21" spans="1:2" s="1595" customFormat="1">
      <c r="A21" s="1593" t="s">
        <v>1231</v>
      </c>
      <c r="B21" s="1594">
        <f ca="1">'预评函-2'!D7</f>
        <v>7043</v>
      </c>
    </row>
    <row r="22" spans="1:2" s="1595" customFormat="1">
      <c r="A22" s="1593" t="s">
        <v>1232</v>
      </c>
      <c r="B22" s="1594" t="str">
        <f ca="1">'预评函-2'!D6</f>
        <v>叁亿壹仟贰佰捌拾壹万元整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31281</v>
      </c>
    </row>
    <row r="31" spans="1:2" s="1595" customFormat="1">
      <c r="A31" s="1593" t="s">
        <v>1270</v>
      </c>
      <c r="B31" s="1594">
        <f ca="1">'预评函-2'!D15</f>
        <v>7043</v>
      </c>
    </row>
    <row r="32" spans="1:2" s="1595" customFormat="1">
      <c r="A32" s="1593" t="s">
        <v>1237</v>
      </c>
      <c r="B32" s="1594" t="str">
        <f ca="1">'预评函-2'!D14</f>
        <v>叁亿壹仟贰佰捌拾壹万元整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湖南省长沙市出让国有建设用地使用权及在建建筑物房地产</v>
      </c>
    </row>
    <row r="42" spans="1:2" s="1595" customFormat="1">
      <c r="A42" s="1593" t="s">
        <v>1284</v>
      </c>
      <c r="B42" s="1594" t="str">
        <f>'预评函-3'!B2</f>
        <v>建筑面积</v>
      </c>
    </row>
    <row r="43" spans="1:2" s="1595" customFormat="1">
      <c r="A43" s="1593" t="s">
        <v>1285</v>
      </c>
      <c r="B43" s="1594">
        <f>'预评函-3'!B4</f>
        <v>44412.450000000026</v>
      </c>
    </row>
    <row r="44" spans="1:2" s="1595" customFormat="1">
      <c r="A44" s="1593" t="s">
        <v>1269</v>
      </c>
      <c r="B44" s="1594" t="str">
        <f>'预评函-3'!C2</f>
        <v>(分摊)土地面积</v>
      </c>
    </row>
    <row r="45" spans="1:2" s="1595" customFormat="1">
      <c r="A45" s="1593" t="s">
        <v>1241</v>
      </c>
      <c r="B45" s="1594">
        <f>'预评函-3'!C4</f>
        <v>6969.29</v>
      </c>
    </row>
    <row r="46" spans="1:2" s="1595" customFormat="1">
      <c r="A46" s="1593" t="s">
        <v>1267</v>
      </c>
      <c r="B46" s="1594" t="str">
        <f>'预评函-3'!D2</f>
        <v>出让国有建设用地使用权价值</v>
      </c>
    </row>
    <row r="47" spans="1:2" s="1595" customFormat="1">
      <c r="A47" s="1593" t="s">
        <v>1242</v>
      </c>
      <c r="B47" s="1594">
        <f ca="1">'预评函-3'!D4</f>
        <v>22710</v>
      </c>
    </row>
    <row r="48" spans="1:2" s="1595" customFormat="1">
      <c r="A48" s="1593" t="s">
        <v>1243</v>
      </c>
      <c r="B48" s="1594">
        <f ca="1">'预评函-3'!E4</f>
        <v>5113</v>
      </c>
    </row>
    <row r="49" spans="1:2" s="1595" customFormat="1">
      <c r="A49" s="1593" t="s">
        <v>1244</v>
      </c>
      <c r="B49" s="1594" t="str">
        <f ca="1">'预评函-3'!D5</f>
        <v>贰亿贰仟柒佰壹拾万元整</v>
      </c>
    </row>
    <row r="50" spans="1:2" s="1595" customFormat="1">
      <c r="A50" s="1593" t="s">
        <v>1268</v>
      </c>
      <c r="B50" s="1594" t="str">
        <f>'预评函-3'!F2</f>
        <v>在建建筑物价值</v>
      </c>
    </row>
    <row r="51" spans="1:2" s="1595" customFormat="1">
      <c r="A51" s="1593" t="s">
        <v>1245</v>
      </c>
      <c r="B51" s="1594">
        <f ca="1">'预评函-3'!F4</f>
        <v>8571</v>
      </c>
    </row>
    <row r="52" spans="1:2" s="1595" customFormat="1">
      <c r="A52" s="1593" t="s">
        <v>1246</v>
      </c>
      <c r="B52" s="1594">
        <f ca="1">'预评函-3'!G4</f>
        <v>1930</v>
      </c>
    </row>
    <row r="53" spans="1:2" s="1595" customFormat="1">
      <c r="A53" s="1593" t="s">
        <v>1274</v>
      </c>
      <c r="B53" s="1594" t="str">
        <f ca="1">'预评函-3'!F5</f>
        <v>捌仟伍佰柒拾壹万元整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王鹏</v>
      </c>
    </row>
    <row r="71" spans="1:2">
      <c r="A71" s="1593" t="s">
        <v>1257</v>
      </c>
      <c r="B71" s="1594">
        <f ca="1">'预评函-4'!B4</f>
        <v>1120050019</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3" sqref="Z13"/>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1703</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3003</v>
      </c>
      <c r="B3" s="2019"/>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6" t="s">
        <v>1719</v>
      </c>
      <c r="C4" s="2017" t="s">
        <v>761</v>
      </c>
      <c r="D4" s="2018" t="s">
        <v>867</v>
      </c>
      <c r="E4" s="2018" t="s">
        <v>1720</v>
      </c>
      <c r="F4" s="2018" t="s">
        <v>1721</v>
      </c>
      <c r="G4" s="2018">
        <v>70</v>
      </c>
      <c r="H4" s="2018" t="s">
        <v>1721</v>
      </c>
      <c r="I4" s="2018" t="s">
        <v>1722</v>
      </c>
      <c r="K4" s="2018" t="s">
        <v>1723</v>
      </c>
      <c r="L4" s="2018" t="s">
        <v>1723</v>
      </c>
      <c r="M4" s="2018" t="s">
        <v>1723</v>
      </c>
      <c r="N4" s="2018" t="s">
        <v>1723</v>
      </c>
      <c r="O4" s="2018" t="s">
        <v>1723</v>
      </c>
      <c r="P4" s="2018" t="s">
        <v>1723</v>
      </c>
      <c r="Q4" s="2018" t="s">
        <v>1723</v>
      </c>
      <c r="R4" s="2018" t="s">
        <v>1140</v>
      </c>
      <c r="S4" s="2018" t="s">
        <v>1723</v>
      </c>
      <c r="T4" s="2018" t="s">
        <v>1724</v>
      </c>
      <c r="U4" s="2018" t="s">
        <v>1723</v>
      </c>
      <c r="W4" s="2018" t="s">
        <v>1723</v>
      </c>
    </row>
    <row r="5" spans="1:23">
      <c r="A5" s="2016"/>
      <c r="B5" s="2016"/>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9"/>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为估价委托人在向大业信托办理贷款手续过程中，确定房地产抵押贷款额度提供参考依据而评估房地产抵押价值。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南正昊置业发展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63"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3"/>
      <c r="B54" s="2024" t="s">
        <v>863</v>
      </c>
      <c r="C54" s="2021" t="s">
        <v>1277</v>
      </c>
    </row>
    <row r="55" spans="1:4">
      <c r="A55" s="3063"/>
      <c r="B55" s="2024" t="s">
        <v>864</v>
      </c>
      <c r="C55" s="2021" t="s">
        <v>1278</v>
      </c>
    </row>
    <row r="56" spans="1:4">
      <c r="A56" s="3063"/>
      <c r="B56" s="2024" t="s">
        <v>865</v>
      </c>
      <c r="C56" s="2021" t="s">
        <v>1282</v>
      </c>
    </row>
    <row r="57" spans="1:4">
      <c r="A57" s="3063"/>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2034" customWidth="1"/>
    <col min="2" max="2" width="10" style="2034" customWidth="1"/>
    <col min="3" max="3" width="14.12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1739</v>
      </c>
      <c r="B1" s="3072" t="str">
        <f>IF(B10="北京市","北京市",C10)&amp;F10&amp;IF(结果表!G1="在建","出让国有建设用地使用权及在建建筑物",IF(结果表!G1="土地","出让国有建设用地使用权",))&amp;B9&amp;"预评估"</f>
        <v>湖南省长沙市出让国有建设用地使用权及在建建筑物抵押价格预评估</v>
      </c>
      <c r="C1" s="3073"/>
      <c r="D1" s="3073"/>
      <c r="E1" s="3073"/>
      <c r="F1" s="3073"/>
      <c r="G1" s="3073"/>
      <c r="H1" s="3073"/>
      <c r="I1" s="307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湖南省长沙市出让国有建设用地使用权及在建建筑物房地产抵押价值</v>
      </c>
    </row>
    <row r="2" spans="1:19" ht="18" customHeight="1">
      <c r="A2" s="2028" t="s">
        <v>1740</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湖南省长沙市出让国有建设用地使用权及在建建筑物房地产</v>
      </c>
    </row>
    <row r="3" spans="1:19" ht="18" customHeight="1">
      <c r="A3" s="2037" t="s">
        <v>1741</v>
      </c>
      <c r="B3" s="2038">
        <v>43321</v>
      </c>
      <c r="C3" s="2039" t="s">
        <v>1742</v>
      </c>
      <c r="D3" s="2038">
        <f>B3</f>
        <v>43321</v>
      </c>
      <c r="E3" s="2028"/>
      <c r="F3" s="2028"/>
      <c r="G3" s="2028"/>
      <c r="H3" s="2028"/>
      <c r="I3" s="2028"/>
      <c r="J3" s="2028"/>
      <c r="K3" s="2029"/>
      <c r="L3" s="2030"/>
      <c r="M3" s="2030"/>
      <c r="N3" s="2031"/>
      <c r="O3" s="2032"/>
      <c r="P3" s="2031"/>
      <c r="Q3" s="2031"/>
      <c r="R3" s="2031"/>
      <c r="S3" s="2033"/>
    </row>
    <row r="4" spans="1:19" ht="18" customHeight="1" thickBot="1">
      <c r="A4" s="2040" t="s">
        <v>1743</v>
      </c>
      <c r="B4" s="2041" t="s">
        <v>3004</v>
      </c>
      <c r="C4" s="1040">
        <f ca="1">SUMIF(注册房地产估价师,B4,估价师及机构信息!B3:B24)</f>
        <v>1120050019</v>
      </c>
      <c r="D4" s="2041" t="s">
        <v>3005</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王鹏（注册号：1120050019)、崔锴（注册号：1120100036)</v>
      </c>
      <c r="L4" s="2030"/>
      <c r="M4" s="2030"/>
      <c r="N4" s="2031"/>
      <c r="O4" s="2032"/>
      <c r="P4" s="2031"/>
      <c r="Q4" s="2031"/>
      <c r="R4" s="2031"/>
      <c r="S4" s="2033"/>
    </row>
    <row r="5" spans="1:19" ht="18" customHeight="1" thickTop="1">
      <c r="A5" s="2046" t="s">
        <v>1744</v>
      </c>
      <c r="B5" s="2047" t="s">
        <v>3006</v>
      </c>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1745</v>
      </c>
      <c r="B6" s="2051" t="s">
        <v>3006</v>
      </c>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1746</v>
      </c>
      <c r="B7" s="2055" t="s">
        <v>3007</v>
      </c>
      <c r="C7" s="2052"/>
      <c r="D7" s="2053"/>
      <c r="E7" s="2036"/>
      <c r="F7" s="2044"/>
      <c r="G7" s="2044"/>
      <c r="H7" s="2044"/>
      <c r="I7" s="2044"/>
      <c r="J7" s="2044"/>
      <c r="K7" s="2056"/>
      <c r="L7" s="2030"/>
      <c r="M7" s="2030"/>
      <c r="N7" s="2031"/>
      <c r="O7" s="2032"/>
      <c r="P7" s="2031"/>
      <c r="Q7" s="2031"/>
      <c r="R7" s="2031"/>
    </row>
    <row r="8" spans="1:19" ht="18" customHeight="1">
      <c r="A8" s="2050" t="s">
        <v>1747</v>
      </c>
      <c r="B8" s="2057" t="s">
        <v>3008</v>
      </c>
      <c r="C8" s="2058"/>
      <c r="D8" s="3075" t="s">
        <v>1748</v>
      </c>
      <c r="E8" s="2059" t="s">
        <v>3010</v>
      </c>
      <c r="F8" s="2060"/>
      <c r="G8" s="2028"/>
      <c r="H8" s="2028"/>
      <c r="I8" s="2028"/>
      <c r="J8" s="2044"/>
      <c r="K8" s="2045"/>
      <c r="L8" s="2030"/>
      <c r="M8" s="2030"/>
      <c r="N8" s="2031"/>
      <c r="O8" s="2032"/>
      <c r="P8" s="2031"/>
      <c r="Q8" s="2031"/>
      <c r="R8" s="2031"/>
    </row>
    <row r="9" spans="1:19" ht="18" customHeight="1" thickBot="1">
      <c r="A9" s="2042" t="s">
        <v>1749</v>
      </c>
      <c r="B9" s="2061" t="s">
        <v>3009</v>
      </c>
      <c r="C9" s="2062"/>
      <c r="D9" s="3076"/>
      <c r="E9" s="2061"/>
      <c r="F9" s="2063"/>
      <c r="G9" s="2064"/>
      <c r="H9" s="2064"/>
      <c r="I9" s="2064"/>
      <c r="J9" s="2044"/>
      <c r="K9" s="2056"/>
      <c r="L9" s="2030"/>
      <c r="M9" s="2030"/>
      <c r="N9" s="2031"/>
      <c r="O9" s="2032"/>
      <c r="P9" s="2031"/>
      <c r="Q9" s="2031"/>
      <c r="R9" s="2031"/>
    </row>
    <row r="10" spans="1:19" ht="18" customHeight="1" thickTop="1">
      <c r="A10" s="2065" t="s">
        <v>1750</v>
      </c>
      <c r="B10" s="2066" t="s">
        <v>3011</v>
      </c>
      <c r="C10" s="2067" t="s">
        <v>3013</v>
      </c>
      <c r="D10" s="2049"/>
      <c r="E10" s="2068" t="s">
        <v>1751</v>
      </c>
      <c r="F10" s="2069"/>
      <c r="G10" s="2070"/>
      <c r="H10" s="2071"/>
      <c r="I10" s="2049"/>
      <c r="J10" s="2044"/>
      <c r="K10" s="2056"/>
      <c r="L10" s="2030"/>
      <c r="M10" s="2030"/>
      <c r="N10" s="2031"/>
      <c r="O10" s="2032"/>
      <c r="P10" s="2031"/>
      <c r="Q10" s="2031"/>
      <c r="R10" s="2031"/>
    </row>
    <row r="11" spans="1:19" ht="18" customHeight="1">
      <c r="A11" s="2072" t="s">
        <v>1752</v>
      </c>
      <c r="B11" s="2073" t="s">
        <v>3012</v>
      </c>
      <c r="C11" s="2074" t="s">
        <v>3007</v>
      </c>
      <c r="D11" s="2075"/>
      <c r="E11" s="2044"/>
      <c r="F11" s="2044"/>
      <c r="G11" s="2044"/>
      <c r="H11" s="2044"/>
      <c r="I11" s="2044"/>
      <c r="J11" s="2044"/>
      <c r="K11" s="2056"/>
      <c r="L11" s="2030"/>
      <c r="M11" s="2030"/>
      <c r="N11" s="2031"/>
      <c r="O11" s="2032"/>
      <c r="P11" s="2031"/>
      <c r="Q11" s="2031"/>
      <c r="R11" s="2031"/>
    </row>
    <row r="12" spans="1:19" ht="18" customHeight="1">
      <c r="A12" s="2076" t="s">
        <v>1753</v>
      </c>
      <c r="B12" s="2073" t="s">
        <v>3014</v>
      </c>
      <c r="C12" s="2077" t="s">
        <v>1754</v>
      </c>
      <c r="D12" s="2078" t="s">
        <v>1755</v>
      </c>
      <c r="E12" s="2078" t="s">
        <v>1756</v>
      </c>
      <c r="F12" s="2078" t="s">
        <v>1757</v>
      </c>
      <c r="G12" s="2078" t="s">
        <v>1758</v>
      </c>
      <c r="H12" s="2078" t="s">
        <v>1759</v>
      </c>
      <c r="I12" s="2078" t="s">
        <v>1760</v>
      </c>
      <c r="J12" s="2044"/>
      <c r="K12" s="2056"/>
      <c r="L12" s="2030"/>
      <c r="M12" s="2030"/>
      <c r="N12" s="2031"/>
      <c r="O12" s="2032"/>
      <c r="P12" s="2031"/>
      <c r="Q12" s="2031"/>
      <c r="R12" s="2031"/>
    </row>
    <row r="13" spans="1:19" ht="18" customHeight="1">
      <c r="A13" s="2079"/>
      <c r="B13" s="2080"/>
      <c r="C13" s="2081" t="s">
        <v>1761</v>
      </c>
      <c r="D13" s="2082">
        <v>65744</v>
      </c>
      <c r="E13" s="2082">
        <v>54787</v>
      </c>
      <c r="F13" s="2082"/>
      <c r="G13" s="2082"/>
      <c r="H13" s="2082"/>
      <c r="I13" s="1050"/>
      <c r="J13" s="2044"/>
      <c r="K13" s="2056"/>
      <c r="L13" s="2030"/>
      <c r="M13" s="2030"/>
      <c r="N13" s="2031"/>
      <c r="O13" s="2032"/>
      <c r="P13" s="2031"/>
      <c r="Q13" s="2031"/>
      <c r="R13" s="2031"/>
    </row>
    <row r="14" spans="1:19" ht="18" customHeight="1">
      <c r="A14" s="2079"/>
      <c r="B14" s="2080"/>
      <c r="C14" s="2081" t="s">
        <v>1762</v>
      </c>
      <c r="D14" s="1053">
        <v>70</v>
      </c>
      <c r="E14" s="1053">
        <v>40</v>
      </c>
      <c r="F14" s="1053"/>
      <c r="G14" s="1053"/>
      <c r="H14" s="1053"/>
      <c r="I14" s="1053"/>
      <c r="J14" s="2044"/>
      <c r="K14" s="2083"/>
      <c r="L14" s="2030"/>
      <c r="M14" s="2030"/>
      <c r="N14" s="2031"/>
      <c r="O14" s="2032"/>
      <c r="P14" s="2031"/>
      <c r="Q14" s="2031"/>
      <c r="R14" s="2031"/>
    </row>
    <row r="15" spans="1:19" ht="18" customHeight="1">
      <c r="A15" s="2065"/>
      <c r="B15" s="2084"/>
      <c r="C15" s="2081" t="s">
        <v>1763</v>
      </c>
      <c r="D15" s="1052">
        <f>IF(B12="出让",IF(D13="","",ROUNDDOWN(MIN((D13-$D$3)/365,D14),2)),D14)</f>
        <v>61.43</v>
      </c>
      <c r="E15" s="1052">
        <f>IF(B12="出让",IF(E13="","",ROUNDDOWN(MIN((E13-$D$3)/365,E14),2)),E14)</f>
        <v>31.41</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1764</v>
      </c>
      <c r="B16" s="3082"/>
      <c r="C16" s="3083"/>
      <c r="D16" s="3084"/>
      <c r="E16" s="2088" t="s">
        <v>1765</v>
      </c>
      <c r="F16" s="3085"/>
      <c r="G16" s="3086"/>
      <c r="H16" s="3086"/>
      <c r="I16" s="3087"/>
      <c r="J16" s="2031"/>
      <c r="K16" s="2085"/>
      <c r="L16" s="2086"/>
      <c r="M16" s="2086"/>
      <c r="N16" s="2087"/>
      <c r="O16" s="2086"/>
      <c r="P16" s="2087"/>
      <c r="Q16" s="2031"/>
      <c r="R16" s="2031"/>
    </row>
    <row r="17" spans="1:22" ht="18" customHeight="1">
      <c r="A17" s="2089" t="s">
        <v>1766</v>
      </c>
      <c r="B17" s="2037" t="s">
        <v>1767</v>
      </c>
      <c r="C17" s="1057">
        <f>'数据-汇总表'!E3</f>
        <v>44412.450000000026</v>
      </c>
      <c r="D17" s="2090" t="s">
        <v>1768</v>
      </c>
      <c r="E17" s="3088" t="s">
        <v>3018</v>
      </c>
      <c r="F17" s="3089"/>
      <c r="G17" s="3089"/>
      <c r="H17" s="3089"/>
      <c r="I17" s="3090"/>
      <c r="J17" s="2031"/>
      <c r="K17" s="2091"/>
      <c r="L17" s="2086"/>
      <c r="M17" s="2086"/>
      <c r="N17" s="2087"/>
      <c r="O17" s="2086"/>
      <c r="P17" s="2087"/>
      <c r="Q17" s="2031"/>
      <c r="R17" s="2031"/>
      <c r="S17" s="2031"/>
      <c r="T17" s="2031"/>
      <c r="U17" s="2031"/>
      <c r="V17" s="2031"/>
    </row>
    <row r="18" spans="1:22" ht="36" customHeight="1" thickBot="1">
      <c r="A18" s="2092" t="s">
        <v>1769</v>
      </c>
      <c r="B18" s="2040" t="s">
        <v>1770</v>
      </c>
      <c r="C18" s="1447">
        <f>'数据-汇总表'!D3</f>
        <v>6969.29</v>
      </c>
      <c r="D18" s="2093" t="s">
        <v>1768</v>
      </c>
      <c r="E18" s="3091" t="s">
        <v>3019</v>
      </c>
      <c r="F18" s="3092"/>
      <c r="G18" s="3092"/>
      <c r="H18" s="3092"/>
      <c r="I18" s="3093"/>
      <c r="J18" s="2031"/>
      <c r="K18" s="2091"/>
      <c r="L18" s="2086"/>
      <c r="M18" s="2086"/>
      <c r="N18" s="2087"/>
      <c r="O18" s="2086"/>
      <c r="P18" s="2087"/>
      <c r="Q18" s="2031"/>
      <c r="R18" s="2031"/>
      <c r="S18" s="2031"/>
      <c r="T18" s="2031"/>
      <c r="U18" s="2031"/>
      <c r="V18" s="2031"/>
    </row>
    <row r="19" spans="1:22" ht="37.5" customHeight="1" thickTop="1" thickBot="1">
      <c r="A19" s="373" t="s">
        <v>1771</v>
      </c>
      <c r="B19" s="352" t="s">
        <v>1772</v>
      </c>
      <c r="C19" s="2094" t="s">
        <v>3016</v>
      </c>
      <c r="D19" s="2095" t="s">
        <v>1773</v>
      </c>
      <c r="E19" s="2096" t="s">
        <v>70</v>
      </c>
      <c r="F19" s="2097" t="str">
        <f>IF(AND(C19="是",E19="否"),"是否提供他项权证或相关说明","")</f>
        <v/>
      </c>
      <c r="G19" s="2098" t="s">
        <v>70</v>
      </c>
      <c r="H19" s="2044"/>
      <c r="I19" s="2044"/>
      <c r="J19" s="2044"/>
      <c r="K19" s="2056"/>
      <c r="L19" s="2030"/>
      <c r="M19" s="2030"/>
      <c r="N19" s="2087"/>
      <c r="O19" s="2086"/>
      <c r="P19" s="2087"/>
      <c r="Q19" s="2031"/>
      <c r="R19" s="2031"/>
      <c r="S19" s="2031"/>
      <c r="T19" s="2031"/>
      <c r="U19" s="2031"/>
      <c r="V19" s="2031"/>
    </row>
    <row r="20" spans="1:22" ht="18" customHeight="1">
      <c r="A20" s="2099" t="s">
        <v>1774</v>
      </c>
      <c r="B20" s="3078" t="s">
        <v>1775</v>
      </c>
      <c r="C20" s="3079"/>
      <c r="D20" s="3080" t="s">
        <v>1776</v>
      </c>
      <c r="E20" s="3081"/>
      <c r="F20" s="2100" t="s">
        <v>1777</v>
      </c>
      <c r="G20" s="2044"/>
      <c r="H20" s="2044"/>
      <c r="I20" s="2044"/>
      <c r="J20" s="2044"/>
      <c r="K20" s="3077" t="s">
        <v>1778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7"/>
      <c r="O20" s="2086"/>
      <c r="P20" s="2087"/>
      <c r="Q20" s="2031"/>
      <c r="R20" s="2031"/>
      <c r="S20" s="2031"/>
      <c r="T20" s="2031"/>
      <c r="U20" s="2031"/>
      <c r="V20" s="2031"/>
    </row>
    <row r="21" spans="1:22" ht="24.75" customHeight="1">
      <c r="A21" s="2099"/>
      <c r="B21" s="2101" t="s">
        <v>1779</v>
      </c>
      <c r="C21" s="2102" t="s">
        <v>3017</v>
      </c>
      <c r="D21" s="2103" t="s">
        <v>1780</v>
      </c>
      <c r="E21" s="2104" t="s">
        <v>70</v>
      </c>
      <c r="F21" s="2105"/>
      <c r="G21" s="2044"/>
      <c r="H21" s="2044"/>
      <c r="I21" s="2044"/>
      <c r="J21" s="2044"/>
      <c r="K21" s="307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1781</v>
      </c>
      <c r="C22" s="2102" t="s">
        <v>1782</v>
      </c>
      <c r="D22" s="2028"/>
      <c r="E22" s="2028"/>
      <c r="F22" s="2107"/>
      <c r="G22" s="2044"/>
      <c r="H22" s="2044"/>
      <c r="I22" s="2044"/>
      <c r="J22" s="2044"/>
      <c r="K22" s="307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1783</v>
      </c>
      <c r="B23" s="183" t="s">
        <v>1784</v>
      </c>
      <c r="C23" s="2109"/>
      <c r="D23" s="2110" t="s">
        <v>1784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1785</v>
      </c>
      <c r="C24" s="2114"/>
      <c r="D24" s="2108" t="s">
        <v>1785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1786</v>
      </c>
      <c r="C25" s="2114"/>
      <c r="D25" s="2108" t="s">
        <v>1786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1787</v>
      </c>
      <c r="C26" s="2118"/>
      <c r="D26" s="2119" t="s">
        <v>1788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65" t="s">
        <v>1789</v>
      </c>
      <c r="B27" s="2065" t="s">
        <v>1790</v>
      </c>
      <c r="C27" s="2122" t="s">
        <v>3027</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65"/>
      <c r="B28" s="2037" t="s">
        <v>1791</v>
      </c>
      <c r="C28" s="2124" t="s">
        <v>3028</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65"/>
      <c r="B29" s="2037" t="s">
        <v>1792</v>
      </c>
      <c r="C29" s="2127" t="s">
        <v>3015</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66"/>
      <c r="B30" s="2037" t="s">
        <v>1793</v>
      </c>
      <c r="C30" s="3067"/>
      <c r="D30" s="3068"/>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69" t="s">
        <v>1794</v>
      </c>
      <c r="B31" s="2129" t="s">
        <v>3026</v>
      </c>
      <c r="C31" s="2130" t="str">
        <f>IF(B31="现房","成新及维护状况正常否",IF(B31="在建","工程状态是否正常",IF(B31="土地","是否闲置","-")))</f>
        <v>工程状态是否正常</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70"/>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70"/>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1795</v>
      </c>
      <c r="B34" s="2136" t="s">
        <v>3020</v>
      </c>
      <c r="C34" s="2136" t="s">
        <v>3021</v>
      </c>
      <c r="D34" s="2136" t="s">
        <v>3022</v>
      </c>
      <c r="E34" s="2136" t="s">
        <v>3023</v>
      </c>
      <c r="F34" s="2136" t="s">
        <v>3024</v>
      </c>
      <c r="G34" s="2136" t="s">
        <v>3025</v>
      </c>
      <c r="H34" s="2136"/>
      <c r="I34" s="2044"/>
      <c r="J34" s="2044"/>
      <c r="K34" s="1797">
        <f>COUNTIF(B34:H34,"——")</f>
        <v>0</v>
      </c>
      <c r="L34" s="2077" t="s">
        <v>1796</v>
      </c>
      <c r="M34" s="2077" t="s">
        <v>1797</v>
      </c>
      <c r="N34" s="2077" t="s">
        <v>1798</v>
      </c>
      <c r="O34" s="2077" t="s">
        <v>1799</v>
      </c>
      <c r="P34" s="2077" t="s">
        <v>1800</v>
      </c>
      <c r="Q34" s="2077" t="s">
        <v>1801</v>
      </c>
      <c r="R34" s="2077" t="s">
        <v>1802</v>
      </c>
      <c r="S34" s="3064" t="s">
        <v>1803</v>
      </c>
      <c r="T34" s="2137" t="str">
        <f>NUMBERSTRING(7-K34,1)&amp;"通"</f>
        <v>七通</v>
      </c>
      <c r="U34" s="2031"/>
      <c r="V34" s="2031"/>
    </row>
    <row r="35" spans="1:22" ht="18" customHeight="1">
      <c r="A35" s="2138"/>
      <c r="B35" s="3071" t="s">
        <v>1804</v>
      </c>
      <c r="C35" s="3071"/>
      <c r="D35" s="3071"/>
      <c r="E35" s="3071"/>
      <c r="F35" s="2139" t="str">
        <f>C10</f>
        <v>湖南省长沙市</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通路、通电、通讯、通上水、燃气</v>
      </c>
      <c r="Q35" s="48" t="str">
        <f>B34&amp;"、"&amp;C34&amp;"、"&amp;D34&amp;"、"&amp;E34&amp;"、"&amp;F34&amp;"、"&amp;G34</f>
        <v>通路、通电、通讯、通上水、燃气、平整</v>
      </c>
      <c r="R35" s="48" t="str">
        <f>B34&amp;"、"&amp;C34&amp;"、"&amp;D34&amp;"、"&amp;E34&amp;"、"&amp;F34&amp;"、"&amp;G34&amp;"、"&amp;H34</f>
        <v>通路、通电、通讯、通上水、燃气、平整、</v>
      </c>
      <c r="S35" s="3064"/>
      <c r="T35" s="48" t="str">
        <f>IF(T34="一通",L35,IF(T34="二通",M35,IF(T34="三通",N35,IF(T34="四通",O35,IF(T34="五通",P35,IF(T34="六通",Q35,R35))))))</f>
        <v>通路、通电、通讯、通上水、燃气、平整、</v>
      </c>
      <c r="U35" s="2031"/>
      <c r="V35" s="2031"/>
    </row>
    <row r="36" spans="1:22" ht="18" customHeight="1">
      <c r="A36" s="2140"/>
      <c r="B36" s="2139" t="s">
        <v>1805</v>
      </c>
      <c r="C36" s="2139" t="s">
        <v>1806</v>
      </c>
      <c r="D36" s="2139" t="s">
        <v>1807</v>
      </c>
      <c r="E36" s="2139" t="s">
        <v>1808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1809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1810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1811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1812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1813</v>
      </c>
      <c r="B42" s="1797" t="s">
        <v>1814</v>
      </c>
      <c r="C42" s="1797" t="s">
        <v>1815</v>
      </c>
      <c r="D42" s="1797" t="s">
        <v>1816</v>
      </c>
      <c r="E42" s="1797" t="s">
        <v>1817</v>
      </c>
      <c r="F42" s="1797" t="s">
        <v>1818</v>
      </c>
      <c r="G42" s="1797" t="s">
        <v>1819</v>
      </c>
      <c r="H42" s="1797" t="s">
        <v>1820</v>
      </c>
      <c r="I42" s="1797" t="s">
        <v>1821</v>
      </c>
      <c r="J42" s="2155" t="s">
        <v>1822</v>
      </c>
      <c r="K42" s="2078" t="s">
        <v>1823</v>
      </c>
      <c r="L42" s="2078" t="s">
        <v>1824</v>
      </c>
      <c r="M42" s="2078" t="s">
        <v>1825</v>
      </c>
      <c r="N42" s="1797" t="s">
        <v>1826</v>
      </c>
      <c r="O42" s="1797" t="s">
        <v>1827</v>
      </c>
      <c r="P42" s="1797" t="s">
        <v>1828</v>
      </c>
      <c r="Q42" s="2077" t="s">
        <v>1829</v>
      </c>
      <c r="R42" s="2077" t="s">
        <v>1830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1833</v>
      </c>
      <c r="B2" s="11" t="s">
        <v>1834</v>
      </c>
      <c r="C2" s="11" t="s">
        <v>1835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1836</v>
      </c>
      <c r="AZ2" s="1273" t="s">
        <v>1837</v>
      </c>
      <c r="BA2" s="11" t="s">
        <v>1838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2942.43+3449.1+3662.81</f>
        <v>10054.34</v>
      </c>
      <c r="B3" s="14">
        <f>IF(C3="否",G5-AT5,G5)</f>
        <v>64072.220000000016</v>
      </c>
      <c r="C3" s="2171" t="s">
        <v>1839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1840</v>
      </c>
      <c r="B5" s="1805"/>
      <c r="C5" s="1805"/>
      <c r="D5" s="1808"/>
      <c r="E5" s="16" t="s">
        <v>1</v>
      </c>
      <c r="F5" s="16">
        <f>SUM(F13:F587)</f>
        <v>0</v>
      </c>
      <c r="G5" s="16">
        <f>SUM(G13:G587)</f>
        <v>64072.220000000016</v>
      </c>
      <c r="H5" s="16">
        <f t="shared" ref="H5:AT5" si="0">SUM(H13:H656)</f>
        <v>62816.540000000023</v>
      </c>
      <c r="I5" s="16">
        <f t="shared" si="0"/>
        <v>62816.540000000023</v>
      </c>
      <c r="J5" s="16">
        <f t="shared" si="0"/>
        <v>19659.769999999993</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1255.68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1255.68</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44412.450000000026</v>
      </c>
      <c r="BA5" s="18">
        <f t="shared" si="1"/>
        <v>43156.770000000026</v>
      </c>
      <c r="BB5" s="18">
        <f t="shared" si="1"/>
        <v>43156.770000000026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1255.68</v>
      </c>
      <c r="BM5" s="18">
        <f t="shared" si="1"/>
        <v>0</v>
      </c>
      <c r="BN5" s="18">
        <f t="shared" si="1"/>
        <v>0</v>
      </c>
      <c r="BO5" s="18">
        <f t="shared" si="1"/>
        <v>0</v>
      </c>
      <c r="BP5" s="18">
        <f t="shared" si="1"/>
        <v>0</v>
      </c>
      <c r="BQ5" s="18">
        <f t="shared" si="1"/>
        <v>0</v>
      </c>
      <c r="BR5" s="18">
        <f t="shared" si="1"/>
        <v>1255.68</v>
      </c>
      <c r="BS5" s="18">
        <f t="shared" si="1"/>
        <v>0</v>
      </c>
      <c r="BT5" s="19">
        <f t="shared" si="1"/>
        <v>0</v>
      </c>
    </row>
    <row r="6" spans="1:72" s="2180" customFormat="1" ht="12.75">
      <c r="A6" s="15" t="s">
        <v>1841</v>
      </c>
      <c r="B6" s="2177"/>
      <c r="C6" s="2177"/>
      <c r="D6" s="2178"/>
      <c r="E6" s="16">
        <f>H6+AC6+AT6</f>
        <v>10054.34</v>
      </c>
      <c r="F6" s="16" t="s">
        <v>1</v>
      </c>
      <c r="G6" s="16" t="s">
        <v>2</v>
      </c>
      <c r="H6" s="20">
        <f>SUMIF(I$12:AB$12,"总值",I6:AB6)</f>
        <v>9857.2999999999993</v>
      </c>
      <c r="I6" s="16">
        <f t="shared" ref="I6:AB6" si="2">ROUND($A$3*I5/$B$3,2)</f>
        <v>9857.2999999999993</v>
      </c>
      <c r="J6" s="16">
        <f t="shared" si="2"/>
        <v>3085.05</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197.04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197.04</v>
      </c>
      <c r="AO6" s="16">
        <f t="shared" si="3"/>
        <v>0</v>
      </c>
      <c r="AP6" s="16">
        <f t="shared" si="3"/>
        <v>0</v>
      </c>
      <c r="AQ6" s="16">
        <f t="shared" si="3"/>
        <v>0</v>
      </c>
      <c r="AR6" s="16">
        <f t="shared" si="3"/>
        <v>0</v>
      </c>
      <c r="AS6" s="16">
        <f t="shared" si="3"/>
        <v>0</v>
      </c>
      <c r="AT6" s="20">
        <f>IF(C3="是",ROUND($A$3*AT5/$B$3,2),0)</f>
        <v>0</v>
      </c>
      <c r="AU6" s="2179"/>
      <c r="AV6" s="15" t="s">
        <v>1841</v>
      </c>
      <c r="AW6" s="2177"/>
      <c r="AX6" s="2177"/>
      <c r="AY6" s="21">
        <f>IF(AY3&gt;0,AY3,ROUND($A$3*AZ5/$B$3,2))</f>
        <v>6969.29</v>
      </c>
      <c r="AZ6" s="16" t="s">
        <v>3</v>
      </c>
      <c r="BA6" s="16">
        <f>ROUND($AY$6*BA5/$AZ$5,2)</f>
        <v>6772.25</v>
      </c>
      <c r="BB6" s="16">
        <f>ROUND($AY$6*BB5/$AZ$5,2)</f>
        <v>6772.25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197.04</v>
      </c>
      <c r="BM6" s="16">
        <f t="shared" si="5"/>
        <v>0</v>
      </c>
      <c r="BN6" s="16">
        <f t="shared" si="5"/>
        <v>0</v>
      </c>
      <c r="BO6" s="16">
        <f t="shared" si="5"/>
        <v>0</v>
      </c>
      <c r="BP6" s="16">
        <f t="shared" si="5"/>
        <v>0</v>
      </c>
      <c r="BQ6" s="16">
        <f t="shared" si="5"/>
        <v>0</v>
      </c>
      <c r="BR6" s="16">
        <f t="shared" si="5"/>
        <v>197.04</v>
      </c>
      <c r="BS6" s="16">
        <f t="shared" si="5"/>
        <v>0</v>
      </c>
      <c r="BT6" s="22">
        <f t="shared" si="5"/>
        <v>0</v>
      </c>
    </row>
    <row r="7" spans="1:72" s="2170" customFormat="1" ht="24.75">
      <c r="A7" s="2112" t="s">
        <v>1842</v>
      </c>
      <c r="B7" s="2112" t="s">
        <v>1843</v>
      </c>
      <c r="C7" s="2112" t="s">
        <v>1844</v>
      </c>
      <c r="D7" s="2112" t="s">
        <v>1845</v>
      </c>
      <c r="E7" s="2112" t="s">
        <v>1846</v>
      </c>
      <c r="F7" s="2112" t="s">
        <v>1847</v>
      </c>
      <c r="G7" s="2181" t="s">
        <v>1848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1849</v>
      </c>
      <c r="AV7" s="23" t="s">
        <v>1850</v>
      </c>
      <c r="AW7" s="2169" t="s">
        <v>1851</v>
      </c>
      <c r="AX7" s="23" t="s">
        <v>1844</v>
      </c>
      <c r="AY7" s="1805" t="s">
        <v>1852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1853</v>
      </c>
      <c r="H8" s="2187" t="s">
        <v>1854</v>
      </c>
      <c r="I8" s="2188"/>
      <c r="J8" s="1820"/>
      <c r="K8" s="1820"/>
      <c r="L8" s="1820"/>
      <c r="M8" s="1820"/>
      <c r="N8" s="1820"/>
      <c r="O8" s="1820"/>
      <c r="P8" s="1820"/>
      <c r="Q8" s="1820"/>
      <c r="R8" s="1820"/>
      <c r="S8" s="1820"/>
      <c r="T8" s="1820"/>
      <c r="U8" s="1820"/>
      <c r="V8" s="2189"/>
      <c r="W8" s="1820"/>
      <c r="X8" s="1820"/>
      <c r="Y8" s="1820"/>
      <c r="Z8" s="1820"/>
      <c r="AA8" s="2189"/>
      <c r="AB8" s="2190"/>
      <c r="AC8" s="984" t="s">
        <v>1855</v>
      </c>
      <c r="AD8" s="2191"/>
      <c r="AE8" s="2183"/>
      <c r="AF8" s="1820"/>
      <c r="AG8" s="1820"/>
      <c r="AH8" s="1820"/>
      <c r="AI8" s="1820"/>
      <c r="AJ8" s="1820"/>
      <c r="AK8" s="1820"/>
      <c r="AL8" s="1820"/>
      <c r="AM8" s="1820"/>
      <c r="AN8" s="1820"/>
      <c r="AO8" s="1820"/>
      <c r="AP8" s="1820"/>
      <c r="AQ8" s="1820"/>
      <c r="AR8" s="1820"/>
      <c r="AS8" s="1820"/>
      <c r="AT8" s="1295" t="s">
        <v>1856</v>
      </c>
      <c r="AU8" s="2185" t="s">
        <v>1857</v>
      </c>
      <c r="AV8" s="1295"/>
      <c r="AW8" s="2168"/>
      <c r="AX8" s="1295"/>
      <c r="AY8" s="2169"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1860</v>
      </c>
      <c r="I9" s="2194" t="s">
        <v>3033</v>
      </c>
      <c r="J9" s="984"/>
      <c r="K9" s="2194"/>
      <c r="L9" s="984"/>
      <c r="M9" s="2194"/>
      <c r="N9" s="984"/>
      <c r="O9" s="2194"/>
      <c r="P9" s="984"/>
      <c r="Q9" s="2194"/>
      <c r="R9" s="984"/>
      <c r="S9" s="2194"/>
      <c r="T9" s="984"/>
      <c r="U9" s="2194"/>
      <c r="V9" s="984"/>
      <c r="W9" s="2194"/>
      <c r="X9" s="2195"/>
      <c r="Y9" s="2194"/>
      <c r="Z9" s="984"/>
      <c r="AA9" s="2194"/>
      <c r="AB9" s="984"/>
      <c r="AC9" s="2186" t="s">
        <v>1860</v>
      </c>
      <c r="AD9" s="15" t="s">
        <v>1861</v>
      </c>
      <c r="AE9" s="1301"/>
      <c r="AF9" s="15" t="s">
        <v>1862</v>
      </c>
      <c r="AG9" s="1301"/>
      <c r="AH9" s="15" t="s">
        <v>1861</v>
      </c>
      <c r="AI9" s="1301"/>
      <c r="AJ9" s="15" t="s">
        <v>1862</v>
      </c>
      <c r="AK9" s="1301"/>
      <c r="AL9" s="15" t="s">
        <v>1861</v>
      </c>
      <c r="AM9" s="1301"/>
      <c r="AN9" s="15" t="s">
        <v>1862</v>
      </c>
      <c r="AO9" s="1301"/>
      <c r="AP9" s="15" t="s">
        <v>1861</v>
      </c>
      <c r="AQ9" s="1301"/>
      <c r="AR9" s="15" t="s">
        <v>1862</v>
      </c>
      <c r="AS9" s="2196"/>
      <c r="AT9" s="2185"/>
      <c r="AU9" s="2185" t="s">
        <v>1863</v>
      </c>
      <c r="AV9" s="1295"/>
      <c r="AW9" s="2168"/>
      <c r="AX9" s="1295"/>
      <c r="AY9" s="28"/>
      <c r="AZ9" s="28" t="s">
        <v>1853</v>
      </c>
      <c r="BA9" s="2197" t="s">
        <v>1864</v>
      </c>
      <c r="BB9" s="2198"/>
      <c r="BC9" s="1341"/>
      <c r="BD9" s="1341"/>
      <c r="BE9" s="1341"/>
      <c r="BF9" s="1341"/>
      <c r="BG9" s="1341"/>
      <c r="BH9" s="1341"/>
      <c r="BI9" s="1341"/>
      <c r="BJ9" s="1341"/>
      <c r="BK9" s="2199"/>
      <c r="BL9" s="15" t="s">
        <v>1865</v>
      </c>
      <c r="BM9" s="1820"/>
      <c r="BN9" s="2188"/>
      <c r="BO9" s="1820"/>
      <c r="BP9" s="1820"/>
      <c r="BQ9" s="1820"/>
      <c r="BR9" s="1820"/>
      <c r="BS9" s="1820"/>
      <c r="BT9" s="26"/>
    </row>
    <row r="10" spans="1:72" s="2192" customFormat="1" ht="12.75">
      <c r="A10" s="2185"/>
      <c r="B10" s="2185"/>
      <c r="C10" s="2185"/>
      <c r="D10" s="2185"/>
      <c r="E10" s="2185"/>
      <c r="F10" s="2185"/>
      <c r="G10" s="1295"/>
      <c r="H10" s="28"/>
      <c r="I10" s="2194" t="s">
        <v>3034</v>
      </c>
      <c r="J10" s="984"/>
      <c r="K10" s="2200"/>
      <c r="L10" s="984"/>
      <c r="M10" s="2200"/>
      <c r="N10" s="984"/>
      <c r="O10" s="2200"/>
      <c r="P10" s="984"/>
      <c r="Q10" s="2200"/>
      <c r="R10" s="984"/>
      <c r="S10" s="2200"/>
      <c r="T10" s="984"/>
      <c r="U10" s="2200"/>
      <c r="V10" s="984"/>
      <c r="W10" s="2200"/>
      <c r="X10" s="984"/>
      <c r="Y10" s="2200"/>
      <c r="Z10" s="984"/>
      <c r="AA10" s="2200"/>
      <c r="AB10" s="984"/>
      <c r="AC10" s="1295"/>
      <c r="AD10" s="15" t="s">
        <v>1866</v>
      </c>
      <c r="AE10" s="2201"/>
      <c r="AF10" s="15" t="s">
        <v>1866</v>
      </c>
      <c r="AG10" s="2201"/>
      <c r="AH10" s="15" t="s">
        <v>1867</v>
      </c>
      <c r="AI10" s="2201"/>
      <c r="AJ10" s="15" t="s">
        <v>1867</v>
      </c>
      <c r="AK10" s="2201"/>
      <c r="AL10" s="15" t="s">
        <v>1868</v>
      </c>
      <c r="AM10" s="1301"/>
      <c r="AN10" s="15" t="s">
        <v>1868</v>
      </c>
      <c r="AO10" s="1301"/>
      <c r="AP10" s="15" t="s">
        <v>1869</v>
      </c>
      <c r="AQ10" s="1301"/>
      <c r="AR10" s="15" t="s">
        <v>1869</v>
      </c>
      <c r="AS10" s="1301"/>
      <c r="AT10" s="2185"/>
      <c r="AU10" s="2185"/>
      <c r="AV10" s="1295"/>
      <c r="AW10" s="2168"/>
      <c r="AX10" s="1295"/>
      <c r="AY10" s="28"/>
      <c r="AZ10" s="28"/>
      <c r="BA10" s="2202" t="s">
        <v>1860</v>
      </c>
      <c r="BB10" s="2203"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3002</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1870</v>
      </c>
      <c r="AE11" s="1821"/>
      <c r="AF11" s="2207" t="s">
        <v>1870</v>
      </c>
      <c r="AG11" s="1821"/>
      <c r="AH11" s="2207" t="s">
        <v>1871</v>
      </c>
      <c r="AI11" s="2208"/>
      <c r="AJ11" s="2207" t="s">
        <v>1871</v>
      </c>
      <c r="AK11" s="1821"/>
      <c r="AL11" s="1819"/>
      <c r="AM11" s="1821"/>
      <c r="AN11" s="1819"/>
      <c r="AO11" s="1821"/>
      <c r="AP11" s="1819"/>
      <c r="AQ11" s="1821"/>
      <c r="AR11" s="1819"/>
      <c r="AS11" s="1821"/>
      <c r="AT11" s="2168"/>
      <c r="AU11" s="2185"/>
      <c r="AV11" s="1295"/>
      <c r="AW11" s="2168"/>
      <c r="AX11" s="1295"/>
      <c r="AY11" s="28"/>
      <c r="AZ11" s="28"/>
      <c r="BA11" s="28"/>
      <c r="BB11" s="2190" t="str">
        <f>I10</f>
        <v>住宅</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12"/>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10" t="s">
        <v>1873</v>
      </c>
      <c r="AT12" s="2213"/>
      <c r="AU12" s="2210"/>
      <c r="AV12" s="31"/>
      <c r="AW12" s="2169"/>
      <c r="AX12" s="31"/>
      <c r="AY12" s="2214"/>
      <c r="AZ12" s="28"/>
      <c r="BA12" s="2202"/>
      <c r="BB12" s="24" t="str">
        <f>I11</f>
        <v>高层住宅用房</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t="s">
        <v>3029</v>
      </c>
      <c r="D13" s="2216" t="s">
        <v>3016</v>
      </c>
      <c r="E13" s="16">
        <f>IF($C$3="是",ROUND($A$3*G13/$B$3,2),ROUND($A$3*(G13-AT13)/$B$3,2))</f>
        <v>2373.71</v>
      </c>
      <c r="F13" s="32"/>
      <c r="G13" s="33">
        <f>H13+AC13+AT13</f>
        <v>15126.660000000003</v>
      </c>
      <c r="H13" s="20">
        <f>SUMIF(I$12:AB$12,"总值",I13:AB13)</f>
        <v>15126.660000000003</v>
      </c>
      <c r="I13" s="2217">
        <f>测绘面积!E135</f>
        <v>15126.660000000003</v>
      </c>
      <c r="J13" s="2217">
        <v>3035.3</v>
      </c>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17#</v>
      </c>
      <c r="AY13" s="1808">
        <f>ROUND($AY$6*AZ13/$AZ$5,2)</f>
        <v>1897.4</v>
      </c>
      <c r="AZ13" s="16">
        <f>BA13+BL13</f>
        <v>12091.360000000004</v>
      </c>
      <c r="BA13" s="16">
        <f>SUM(BB13:BK13)</f>
        <v>12091.360000000004</v>
      </c>
      <c r="BB13" s="16">
        <f>IF($D13="是",I13-J13,0)</f>
        <v>12091.360000000004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t="s">
        <v>3030</v>
      </c>
      <c r="D14" s="2216" t="s">
        <v>3016</v>
      </c>
      <c r="E14" s="16">
        <f>IF($C$3="是",ROUND($A$3*G14/$B$3,2),ROUND($A$3*(G14-AT14)/$B$3,2))</f>
        <v>2396.3200000000002</v>
      </c>
      <c r="F14" s="32"/>
      <c r="G14" s="33">
        <f>H14+AC14+AT14</f>
        <v>15270.760000000026</v>
      </c>
      <c r="H14" s="20">
        <f>SUMIF(I$12:AB$12,"总值",I14:AB14)</f>
        <v>14641.040000000026</v>
      </c>
      <c r="I14" s="2217">
        <f>测绘面积!J145-AN14</f>
        <v>14641.040000000026</v>
      </c>
      <c r="J14" s="2217">
        <f>不抵押面积!S6</f>
        <v>8069.2299999999959</v>
      </c>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629.72</v>
      </c>
      <c r="AD14" s="2218"/>
      <c r="AE14" s="2218"/>
      <c r="AF14" s="2218"/>
      <c r="AG14" s="2218"/>
      <c r="AH14" s="2218"/>
      <c r="AI14" s="2218"/>
      <c r="AJ14" s="2218"/>
      <c r="AK14" s="2218"/>
      <c r="AL14" s="2218"/>
      <c r="AM14" s="2218"/>
      <c r="AN14" s="2218">
        <f>测绘面积!J4+测绘面积!J5+测绘面积!J6+测绘面积!J7+测绘面积!J8+测绘面积!J10+测绘面积!J9+测绘面积!J11+测绘面积!J12</f>
        <v>629.72</v>
      </c>
      <c r="AO14" s="2218"/>
      <c r="AP14" s="2218"/>
      <c r="AQ14" s="2218"/>
      <c r="AR14" s="2218"/>
      <c r="AS14" s="2218"/>
      <c r="AT14" s="2219"/>
      <c r="AU14" s="2220"/>
      <c r="AV14" s="11">
        <f t="shared" si="6"/>
        <v>0</v>
      </c>
      <c r="AW14" s="11">
        <f t="shared" si="6"/>
        <v>0</v>
      </c>
      <c r="AX14" s="11" t="str">
        <f t="shared" si="6"/>
        <v>18#</v>
      </c>
      <c r="AY14" s="1808">
        <f>ROUND($AY$6*AZ14/$AZ$5,2)</f>
        <v>1130.08</v>
      </c>
      <c r="AZ14" s="16">
        <f>BA14+BL14</f>
        <v>7201.5300000000307</v>
      </c>
      <c r="BA14" s="16">
        <f>SUM(BB14:BK14)</f>
        <v>6571.8100000000304</v>
      </c>
      <c r="BB14" s="16">
        <f>IF($D14="是",I14-J14,0)</f>
        <v>6571.8100000000304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629.72</v>
      </c>
      <c r="BM14" s="16">
        <f>IF($D14="是",AD14-AE14,0)</f>
        <v>0</v>
      </c>
      <c r="BN14" s="16">
        <f>IF($D14="是",AF14-AG14,0)</f>
        <v>0</v>
      </c>
      <c r="BO14" s="16">
        <f>IF($D14="是",AH14-AI14,0)</f>
        <v>0</v>
      </c>
      <c r="BP14" s="16">
        <f>IF($D14="是",AJ14-AK14,0)</f>
        <v>0</v>
      </c>
      <c r="BQ14" s="16">
        <f>IF($D14="是",AL14-AM14,0)</f>
        <v>0</v>
      </c>
      <c r="BR14" s="16">
        <f>IF($D14="是",AN14-AO14,0)</f>
        <v>629.72</v>
      </c>
      <c r="BS14" s="16">
        <f>IF($D14="是",AP14-AQ14,0)</f>
        <v>0</v>
      </c>
      <c r="BT14" s="22">
        <f>IF($D14="是",AR14-AS14,0)</f>
        <v>0</v>
      </c>
    </row>
    <row r="15" spans="1:72" s="2170" customFormat="1" ht="12.75">
      <c r="A15" s="1275"/>
      <c r="B15" s="1275"/>
      <c r="C15" s="1275" t="s">
        <v>3031</v>
      </c>
      <c r="D15" s="2216" t="s">
        <v>3016</v>
      </c>
      <c r="E15" s="16">
        <f>IF($C$3="是",ROUND($A$3*G15/$B$3,2),ROUND($A$3*(G15-AT15)/$B$3,2))</f>
        <v>2658.03</v>
      </c>
      <c r="F15" s="32"/>
      <c r="G15" s="33">
        <f>H15+AC15+AT15</f>
        <v>16938.51999999999</v>
      </c>
      <c r="H15" s="20">
        <f>SUMIF(I$12:AB$12,"总值",I15:AB15)</f>
        <v>16312.55999999999</v>
      </c>
      <c r="I15" s="2217">
        <f>测绘面积!O144-AN15</f>
        <v>16312.55999999999</v>
      </c>
      <c r="J15" s="2217">
        <f>不抵押面积!S7</f>
        <v>2897.5999999999985</v>
      </c>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625.96</v>
      </c>
      <c r="AD15" s="2218"/>
      <c r="AE15" s="2218"/>
      <c r="AF15" s="2218"/>
      <c r="AG15" s="2218"/>
      <c r="AH15" s="2218"/>
      <c r="AI15" s="2218"/>
      <c r="AJ15" s="2218"/>
      <c r="AK15" s="2218"/>
      <c r="AL15" s="2218"/>
      <c r="AM15" s="2218"/>
      <c r="AN15" s="2218">
        <f>测绘面积!O4+测绘面积!O5+测绘面积!O6+测绘面积!O8+测绘面积!O7+测绘面积!O9+测绘面积!O10+测绘面积!O11</f>
        <v>625.96</v>
      </c>
      <c r="AO15" s="2218"/>
      <c r="AP15" s="2218"/>
      <c r="AQ15" s="2218"/>
      <c r="AR15" s="2218"/>
      <c r="AS15" s="2218"/>
      <c r="AT15" s="2219"/>
      <c r="AU15" s="2220"/>
      <c r="AV15" s="11">
        <f t="shared" si="6"/>
        <v>0</v>
      </c>
      <c r="AW15" s="11">
        <f t="shared" si="6"/>
        <v>0</v>
      </c>
      <c r="AX15" s="11" t="str">
        <f t="shared" si="6"/>
        <v>19#</v>
      </c>
      <c r="AY15" s="1808">
        <f>ROUND($AY$6*AZ15/$AZ$5,2)</f>
        <v>2203.33</v>
      </c>
      <c r="AZ15" s="16">
        <f>BA15+BL15</f>
        <v>14040.919999999991</v>
      </c>
      <c r="BA15" s="16">
        <f>SUM(BB15:BK15)</f>
        <v>13414.959999999992</v>
      </c>
      <c r="BB15" s="16">
        <f>IF($D15="是",I15-J15,0)</f>
        <v>13414.959999999992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625.96</v>
      </c>
      <c r="BM15" s="16">
        <f>IF($D15="是",AD15-AE15,0)</f>
        <v>0</v>
      </c>
      <c r="BN15" s="16">
        <f>IF($D15="是",AF15-AG15,0)</f>
        <v>0</v>
      </c>
      <c r="BO15" s="16">
        <f>IF($D15="是",AH15-AI15,0)</f>
        <v>0</v>
      </c>
      <c r="BP15" s="16">
        <f>IF($D15="是",AJ15-AK15,0)</f>
        <v>0</v>
      </c>
      <c r="BQ15" s="16">
        <f>IF($D15="是",AL15-AM15,0)</f>
        <v>0</v>
      </c>
      <c r="BR15" s="16">
        <f>IF($D15="是",AN15-AO15,0)</f>
        <v>625.96</v>
      </c>
      <c r="BS15" s="16">
        <f>IF($D15="是",AP15-AQ15,0)</f>
        <v>0</v>
      </c>
      <c r="BT15" s="22">
        <f>IF($D15="是",AR15-AS15,0)</f>
        <v>0</v>
      </c>
    </row>
    <row r="16" spans="1:72" s="2170" customFormat="1" ht="12.75">
      <c r="A16" s="1275"/>
      <c r="B16" s="1275"/>
      <c r="C16" s="2156" t="s">
        <v>3032</v>
      </c>
      <c r="D16" s="2216" t="s">
        <v>3016</v>
      </c>
      <c r="E16" s="16">
        <f>IF($C$3="是",ROUND($A$3*G16/$B$3,2),ROUND($A$3*(G16-AT16)/$B$3,2))</f>
        <v>2626.29</v>
      </c>
      <c r="F16" s="32"/>
      <c r="G16" s="33">
        <f>H16+AC16+AT16</f>
        <v>16736.28</v>
      </c>
      <c r="H16" s="20">
        <f>SUMIF(I$12:AB$12,"总值",I16:AB16)</f>
        <v>16736.28</v>
      </c>
      <c r="I16" s="2217">
        <f>测绘面积!T136</f>
        <v>16736.28</v>
      </c>
      <c r="J16" s="2217">
        <f>不抵押面积!S8</f>
        <v>5657.6399999999994</v>
      </c>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20#</v>
      </c>
      <c r="AY16" s="1808">
        <f>ROUND($AY$6*AZ16/$AZ$5,2)</f>
        <v>1738.48</v>
      </c>
      <c r="AZ16" s="16">
        <f>BA16+BL16</f>
        <v>11078.64</v>
      </c>
      <c r="BA16" s="16">
        <f>SUM(BB16:BK16)</f>
        <v>11078.64</v>
      </c>
      <c r="BB16" s="16">
        <f>IF($D16="是",I16-J16,0)</f>
        <v>11078.64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4" t="s">
        <v>0</v>
      </c>
      <c r="B1" s="3094" t="s">
        <v>4</v>
      </c>
      <c r="C1" s="3094" t="s">
        <v>5</v>
      </c>
      <c r="D1" s="3095" t="s">
        <v>53</v>
      </c>
      <c r="E1" s="3095" t="s">
        <v>54</v>
      </c>
      <c r="F1" s="3095"/>
      <c r="G1" s="3095"/>
      <c r="H1" s="3095"/>
      <c r="I1" s="3095"/>
      <c r="J1" s="3095"/>
      <c r="K1" s="3095"/>
      <c r="L1" s="3095"/>
      <c r="M1" s="3095"/>
    </row>
    <row r="2" spans="1:13" ht="27" customHeight="1">
      <c r="A2" s="3094"/>
      <c r="B2" s="3094"/>
      <c r="C2" s="3094"/>
      <c r="D2" s="3095"/>
      <c r="E2" s="3095" t="s">
        <v>37</v>
      </c>
      <c r="F2" s="3095" t="s">
        <v>38</v>
      </c>
      <c r="G2" s="3095"/>
      <c r="H2" s="3095"/>
      <c r="I2" s="3095"/>
      <c r="J2" s="3095" t="s">
        <v>39</v>
      </c>
      <c r="K2" s="3095"/>
      <c r="L2" s="3095"/>
      <c r="M2" s="3095"/>
    </row>
    <row r="3" spans="1:13" ht="28.5">
      <c r="A3" s="3094"/>
      <c r="B3" s="3094"/>
      <c r="C3" s="3094"/>
      <c r="D3" s="3095"/>
      <c r="E3" s="30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5" t="s">
        <v>55</v>
      </c>
      <c r="B9" s="3095"/>
      <c r="C9" s="30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1899</v>
      </c>
      <c r="B1" s="1395"/>
      <c r="C1" s="1395"/>
      <c r="D1" s="1395"/>
      <c r="E1" s="1395"/>
      <c r="F1" s="1395"/>
      <c r="G1" s="1395"/>
      <c r="H1" s="1395"/>
      <c r="I1" s="1395"/>
      <c r="J1" s="1395"/>
      <c r="K1" s="1395"/>
      <c r="L1" s="1395"/>
      <c r="M1" s="1395"/>
      <c r="N1" s="1395"/>
      <c r="O1" s="1395"/>
      <c r="P1" s="1395"/>
    </row>
    <row r="2" spans="1:16" ht="15">
      <c r="A2" s="3105" t="s">
        <v>1900</v>
      </c>
      <c r="B2" s="3105"/>
      <c r="C2" s="3105"/>
      <c r="D2" s="970" t="s">
        <v>1876</v>
      </c>
      <c r="E2" s="2230" t="s">
        <v>1877</v>
      </c>
      <c r="F2" s="1395"/>
      <c r="G2" s="2231"/>
      <c r="H2" s="2232"/>
      <c r="I2" s="2233" t="s">
        <v>1901</v>
      </c>
      <c r="J2" s="1395"/>
      <c r="K2" s="1395"/>
      <c r="L2" s="1395"/>
      <c r="M2" s="1395"/>
      <c r="N2" s="1430"/>
      <c r="O2" s="1395"/>
      <c r="P2" s="1395"/>
    </row>
    <row r="3" spans="1:16" ht="15.75" thickBot="1">
      <c r="A3" s="3106" t="s">
        <v>1874</v>
      </c>
      <c r="B3" s="3106"/>
      <c r="C3" s="3106"/>
      <c r="D3" s="46">
        <f>'数据-基础表'!AY6</f>
        <v>6969.29</v>
      </c>
      <c r="E3" s="46">
        <f>'数据-基础表'!AZ5</f>
        <v>44412.450000000026</v>
      </c>
      <c r="F3" s="1395"/>
      <c r="G3" s="1402"/>
      <c r="H3" s="1250" t="s">
        <v>1875</v>
      </c>
      <c r="I3" s="55">
        <f>ROUND('数据-基础表'!B3/'数据-基础表'!A3,2)</f>
        <v>6.37</v>
      </c>
      <c r="J3" s="1395"/>
      <c r="K3" s="1395"/>
      <c r="L3" s="1395"/>
      <c r="M3" s="1395"/>
      <c r="N3" s="1430"/>
      <c r="O3" s="1395"/>
      <c r="P3" s="1395"/>
    </row>
    <row r="4" spans="1:16" ht="15">
      <c r="A4" s="3107"/>
      <c r="B4" s="3108"/>
      <c r="C4" s="3109"/>
      <c r="D4" s="2234" t="s">
        <v>1876</v>
      </c>
      <c r="E4" s="2235" t="s">
        <v>1877</v>
      </c>
      <c r="F4" s="1395"/>
      <c r="G4" s="2236" t="s">
        <v>1902</v>
      </c>
      <c r="H4" s="1250" t="s">
        <v>1882</v>
      </c>
      <c r="I4" s="55">
        <f>ROUND(SUMIF('数据-基础表'!I9:AS9,"地上",'数据-基础表'!I5:AS5)/'数据-基础表'!A3,2)</f>
        <v>6.25</v>
      </c>
      <c r="J4" s="1395"/>
      <c r="K4" s="1395"/>
      <c r="L4" s="1395"/>
      <c r="M4" s="1395"/>
      <c r="N4" s="1430"/>
      <c r="O4" s="1395"/>
      <c r="P4" s="1395"/>
    </row>
    <row r="5" spans="1:16">
      <c r="A5" s="47" t="s">
        <v>1878</v>
      </c>
      <c r="B5" s="3110" t="s">
        <v>1879</v>
      </c>
      <c r="C5" s="3110"/>
      <c r="D5" s="48">
        <f>ROUND($D$3*E5/$E$3,2)</f>
        <v>6772.25</v>
      </c>
      <c r="E5" s="49">
        <f>SUMIF('数据-基础表'!$11:$11,"住宅",'数据-基础表'!$5:$5)</f>
        <v>43156.770000000026</v>
      </c>
      <c r="F5" s="1395"/>
      <c r="G5" s="1402"/>
      <c r="H5" s="1250" t="s">
        <v>1875</v>
      </c>
      <c r="I5" s="55">
        <f>ROUND(E31/D31,2)</f>
        <v>6.37</v>
      </c>
      <c r="J5" s="1395"/>
      <c r="K5" s="1395"/>
      <c r="L5" s="1395"/>
      <c r="M5" s="1395"/>
      <c r="N5" s="1395"/>
      <c r="O5" s="1395"/>
      <c r="P5" s="1395"/>
    </row>
    <row r="6" spans="1:16" ht="15" thickBot="1">
      <c r="A6" s="2237"/>
      <c r="B6" s="3110" t="s">
        <v>1880</v>
      </c>
      <c r="C6" s="3110"/>
      <c r="D6" s="48">
        <f>ROUND($D$3*E6/$E$3,2)</f>
        <v>197.04</v>
      </c>
      <c r="E6" s="49">
        <f>E3-E5</f>
        <v>1255.6800000000003</v>
      </c>
      <c r="F6" s="1395"/>
      <c r="G6" s="2238" t="s">
        <v>1881</v>
      </c>
      <c r="H6" s="1402" t="s">
        <v>1882</v>
      </c>
      <c r="I6" s="942">
        <f>ROUND(F31/D31,2)</f>
        <v>6.19</v>
      </c>
      <c r="J6" s="1395"/>
      <c r="K6" s="1395"/>
      <c r="L6" s="1395"/>
      <c r="M6" s="1395"/>
      <c r="N6" s="1395"/>
      <c r="O6" s="1395"/>
      <c r="P6" s="1395"/>
    </row>
    <row r="7" spans="1:16" ht="15">
      <c r="A7" s="3102"/>
      <c r="B7" s="3103"/>
      <c r="C7" s="3104"/>
      <c r="D7" s="2234" t="s">
        <v>1876</v>
      </c>
      <c r="E7" s="2239" t="s">
        <v>1883</v>
      </c>
      <c r="F7" s="1395"/>
      <c r="G7" s="2231" t="s">
        <v>1884</v>
      </c>
      <c r="H7" s="64"/>
      <c r="I7" s="420"/>
      <c r="J7" s="1395"/>
      <c r="K7" s="1395"/>
      <c r="L7" s="1395"/>
      <c r="M7" s="1395"/>
      <c r="N7" s="1395"/>
      <c r="O7" s="1395"/>
      <c r="P7" s="1395"/>
    </row>
    <row r="8" spans="1:16">
      <c r="A8" s="47" t="s">
        <v>1885</v>
      </c>
      <c r="B8" s="50" t="s">
        <v>1886</v>
      </c>
      <c r="C8" s="48" t="s">
        <v>1887</v>
      </c>
      <c r="D8" s="48">
        <f t="shared" ref="D8:D15" si="0">ROUND($D$3*E8/$E$3,2)</f>
        <v>6772.25</v>
      </c>
      <c r="E8" s="51">
        <f>SUMIF('数据-基础表'!BB10:BK10,"地上",'数据-基础表'!BB5:BK5)</f>
        <v>43156.770000000026</v>
      </c>
      <c r="F8" s="1395"/>
      <c r="G8" s="2240"/>
      <c r="H8" s="2240"/>
      <c r="I8" s="1395"/>
      <c r="J8" s="1395"/>
      <c r="K8" s="1395"/>
      <c r="L8" s="1395"/>
      <c r="M8" s="1395"/>
      <c r="N8" s="1395"/>
      <c r="O8" s="1395"/>
      <c r="P8" s="1395"/>
    </row>
    <row r="9" spans="1:16">
      <c r="A9" s="2241"/>
      <c r="B9" s="2242"/>
      <c r="C9" s="48" t="s">
        <v>1888</v>
      </c>
      <c r="D9" s="48">
        <f t="shared" si="0"/>
        <v>0</v>
      </c>
      <c r="E9" s="52">
        <v>0</v>
      </c>
      <c r="F9" s="1395"/>
      <c r="G9" s="2240"/>
      <c r="H9" s="2240"/>
      <c r="I9" s="1395"/>
      <c r="J9" s="1395"/>
      <c r="K9" s="1395"/>
      <c r="L9" s="1395"/>
      <c r="M9" s="1395"/>
      <c r="N9" s="1395"/>
      <c r="O9" s="1395"/>
      <c r="P9" s="1395"/>
    </row>
    <row r="10" spans="1:16">
      <c r="A10" s="2241"/>
      <c r="B10" s="2242"/>
      <c r="C10" s="48" t="s">
        <v>1897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1889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1890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1891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1903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1898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1892</v>
      </c>
      <c r="D16" s="50">
        <f>SUM(D8:D15)</f>
        <v>6772.25</v>
      </c>
      <c r="E16" s="53">
        <f>SUM(E8:E15)</f>
        <v>43156.770000000026</v>
      </c>
      <c r="F16" s="1395"/>
      <c r="G16" s="2240"/>
      <c r="H16" s="2243" t="s">
        <v>1904</v>
      </c>
      <c r="I16" s="2244"/>
      <c r="J16" s="1395"/>
      <c r="K16" s="3099" t="s">
        <v>1904</v>
      </c>
      <c r="L16" s="3100"/>
      <c r="M16" s="3100"/>
      <c r="N16" s="3100"/>
      <c r="O16" s="3100"/>
      <c r="P16" s="3101"/>
    </row>
    <row r="17" spans="1:19" ht="15">
      <c r="A17" s="2245" t="s">
        <v>1905</v>
      </c>
      <c r="B17" s="2246" t="s">
        <v>1906</v>
      </c>
      <c r="C17" s="2247" t="s">
        <v>1907</v>
      </c>
      <c r="D17" s="2248" t="s">
        <v>1895</v>
      </c>
      <c r="E17" s="2249" t="s">
        <v>1896</v>
      </c>
      <c r="F17" s="2250"/>
      <c r="G17" s="2251"/>
      <c r="H17" s="2252" t="s">
        <v>1908</v>
      </c>
      <c r="I17" s="2253" t="s">
        <v>1893</v>
      </c>
      <c r="J17" s="1395"/>
      <c r="K17" s="3096" t="s">
        <v>1909</v>
      </c>
      <c r="L17" s="3097"/>
      <c r="M17" s="3098"/>
      <c r="N17" s="3096" t="s">
        <v>1910</v>
      </c>
      <c r="O17" s="3097"/>
      <c r="P17" s="3098"/>
      <c r="R17" s="2231" t="s">
        <v>1911</v>
      </c>
      <c r="S17" s="64"/>
    </row>
    <row r="18" spans="1:19" ht="15">
      <c r="A18" s="2241"/>
      <c r="B18" s="2254"/>
      <c r="C18" s="2255"/>
      <c r="D18" s="2256"/>
      <c r="E18" s="2257" t="s">
        <v>1912</v>
      </c>
      <c r="F18" s="2258" t="s">
        <v>1913</v>
      </c>
      <c r="G18" s="2259" t="s">
        <v>1914</v>
      </c>
      <c r="H18" s="1265" t="s">
        <v>1915</v>
      </c>
      <c r="I18" s="2260" t="s">
        <v>1916</v>
      </c>
      <c r="J18" s="1395"/>
      <c r="K18" s="1265" t="s">
        <v>1917</v>
      </c>
      <c r="L18" s="2261" t="s">
        <v>1918</v>
      </c>
      <c r="M18" s="1049" t="s">
        <v>1919</v>
      </c>
      <c r="N18" s="1265" t="s">
        <v>1917</v>
      </c>
      <c r="O18" s="2261" t="s">
        <v>1918</v>
      </c>
      <c r="P18" s="1049" t="s">
        <v>1919</v>
      </c>
      <c r="R18" s="1250" t="s">
        <v>1920</v>
      </c>
      <c r="S18" s="1250" t="s">
        <v>1921</v>
      </c>
    </row>
    <row r="19" spans="1:19">
      <c r="A19" s="2262"/>
      <c r="B19" s="50" t="s">
        <v>1894</v>
      </c>
      <c r="C19" s="2263" t="str">
        <f>定义!A3</f>
        <v>高层住宅用房</v>
      </c>
      <c r="D19" s="48">
        <f>ROUND($D$3*E19/$E$3,2)</f>
        <v>6772.25</v>
      </c>
      <c r="E19" s="56">
        <f t="shared" ref="E19:E26" si="1">SUM(F19:G19)</f>
        <v>43156.770000000033</v>
      </c>
      <c r="F19" s="57">
        <f>'数据-基础表'!I5-'数据-基础表'!J5</f>
        <v>43156.770000000033</v>
      </c>
      <c r="G19" s="58"/>
      <c r="H19" s="723">
        <f>ROUND($D$3*I19/$E$3,2)</f>
        <v>197.04</v>
      </c>
      <c r="I19" s="51">
        <f t="shared" ref="I19:I26" si="2">IF($I$17="自定义",P19,M19)</f>
        <v>1255.68</v>
      </c>
      <c r="J19" s="1395"/>
      <c r="K19" s="1394">
        <f t="shared" ref="K19:K26" si="3">ROUND(E$28*E19/E$27,2)</f>
        <v>1255.68</v>
      </c>
      <c r="L19" s="1250">
        <f t="shared" ref="L19:L26" si="4">ROUND(IF(COUNTIF(C19,"*住宅*")&gt;0,E$29*E19/E$32,0),2)</f>
        <v>0</v>
      </c>
      <c r="M19" s="1406">
        <f>K19+L19</f>
        <v>1255.68</v>
      </c>
      <c r="N19" s="2264"/>
      <c r="O19" s="2265"/>
      <c r="P19" s="1406">
        <f>N19+O19</f>
        <v>0</v>
      </c>
      <c r="R19" s="1250">
        <f t="shared" ref="R19:S26" si="5">D19+H19</f>
        <v>6969.29</v>
      </c>
      <c r="S19" s="1251">
        <f t="shared" si="5"/>
        <v>44412.450000000033</v>
      </c>
    </row>
    <row r="20" spans="1:19">
      <c r="A20" s="2266"/>
      <c r="B20" s="50" t="s">
        <v>1922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1922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1922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1922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1922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1922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1922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1923</v>
      </c>
      <c r="D27" s="1396">
        <f>SUM(D19:D26)</f>
        <v>6772.25</v>
      </c>
      <c r="E27" s="1397">
        <f>IF(SUM(E19:E26)='数据-基础表'!BA5,SUM(E19:E26),IF(F27="地上面积有误","面积有误","地下面积有误"))</f>
        <v>43156.770000000033</v>
      </c>
      <c r="F27" s="1396">
        <f>IF(SUM(F19:F26)=E8,SUM(F19:F26),"地上面积有误")</f>
        <v>43156.770000000033</v>
      </c>
      <c r="G27" s="1398">
        <f>SUM(G19:G26)</f>
        <v>0</v>
      </c>
      <c r="H27" s="1399">
        <f>SUM(H19:H26)</f>
        <v>197.04</v>
      </c>
      <c r="I27" s="1400">
        <f>SUM(I19:I26)</f>
        <v>1255.68</v>
      </c>
      <c r="J27" s="1395"/>
      <c r="K27" s="1403">
        <f>SUM(K19:K26)</f>
        <v>1255.68</v>
      </c>
      <c r="L27" s="1404">
        <f>SUM(L19:L26)</f>
        <v>0</v>
      </c>
      <c r="M27" s="1407">
        <f>SUM(M19:M26)</f>
        <v>1255.68</v>
      </c>
      <c r="N27" s="1403">
        <f t="shared" ref="N27:O27" si="10">SUM(N19:N26)</f>
        <v>0</v>
      </c>
      <c r="O27" s="1404">
        <f t="shared" si="10"/>
        <v>0</v>
      </c>
      <c r="P27" s="1405">
        <f>SUM(P19:P26)</f>
        <v>0</v>
      </c>
      <c r="R27" s="1252">
        <f>IF(SUM(R19:R26)=$D$3,SUM(R19:R26),SUM(R19:R26)&amp;"误差"&amp;ROUND(SUM(R19:R26)-$D$3,2))</f>
        <v>6969.29</v>
      </c>
      <c r="S27" s="1250">
        <f>IF(SUM(S19:S26)=$E$3,SUM(S19:S26),SUM(S19:S26)&amp;"误差"&amp;ROUND(SUM(S19:S26)-E3,2))</f>
        <v>44412.450000000033</v>
      </c>
    </row>
    <row r="28" spans="1:19">
      <c r="A28" s="2266"/>
      <c r="B28" s="50" t="s">
        <v>1924</v>
      </c>
      <c r="C28" s="1262" t="s">
        <v>1925</v>
      </c>
      <c r="D28" s="48">
        <f>ROUND($D$3*E28/$E$3,2)</f>
        <v>197.04</v>
      </c>
      <c r="E28" s="56">
        <f>SUM(F28:G28)</f>
        <v>1255.68</v>
      </c>
      <c r="F28" s="64">
        <f>'数据-基础表'!BQ5+'数据-基础表'!BS5</f>
        <v>0</v>
      </c>
      <c r="G28" s="65">
        <f>'数据-基础表'!BR5+'数据-基础表'!BT5</f>
        <v>1255.68</v>
      </c>
      <c r="H28" s="1395"/>
      <c r="I28" s="1395"/>
      <c r="J28" s="1395"/>
      <c r="K28" s="1395"/>
      <c r="L28" s="1395"/>
      <c r="M28" s="1395"/>
      <c r="N28" s="1395"/>
      <c r="O28" s="1395"/>
      <c r="P28" s="1395"/>
    </row>
    <row r="29" spans="1:19">
      <c r="A29" s="2266"/>
      <c r="B29" s="50" t="s">
        <v>1924</v>
      </c>
      <c r="C29" s="2270" t="s">
        <v>1926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1923</v>
      </c>
      <c r="D30" s="1396">
        <f>SUM(D28:D29)</f>
        <v>197.04</v>
      </c>
      <c r="E30" s="1396">
        <f>SUM(E28:E29)</f>
        <v>1255.68</v>
      </c>
      <c r="F30" s="1396">
        <f>SUM(F28:F29)</f>
        <v>0</v>
      </c>
      <c r="G30" s="1398">
        <f>SUM(G28:G29)</f>
        <v>1255.68</v>
      </c>
      <c r="H30" s="1395"/>
      <c r="I30" s="1395"/>
      <c r="J30" s="1395"/>
      <c r="K30" s="1395"/>
      <c r="L30" s="1395"/>
      <c r="M30" s="1395"/>
      <c r="N30" s="1395"/>
      <c r="O30" s="1395"/>
      <c r="P30" s="1395"/>
    </row>
    <row r="31" spans="1:19" ht="15.75" thickBot="1">
      <c r="A31" s="2272"/>
      <c r="B31" s="2273"/>
      <c r="C31" s="1010" t="s">
        <v>1927</v>
      </c>
      <c r="D31" s="729">
        <f>D27+D30</f>
        <v>6969.29</v>
      </c>
      <c r="E31" s="729">
        <f>E27+E30</f>
        <v>44412.450000000033</v>
      </c>
      <c r="F31" s="730">
        <f>F27+F30</f>
        <v>43156.770000000033</v>
      </c>
      <c r="G31" s="731">
        <f>G27+G30</f>
        <v>1255.68</v>
      </c>
      <c r="H31" s="1395"/>
      <c r="I31" s="1395"/>
      <c r="J31" s="1395"/>
      <c r="K31" s="1395"/>
      <c r="L31" s="1395"/>
      <c r="M31" s="1395"/>
      <c r="N31" s="1395"/>
      <c r="O31" s="1395"/>
      <c r="P31" s="1395"/>
    </row>
    <row r="32" spans="1:19">
      <c r="A32" s="2236"/>
      <c r="B32" s="2236" t="s">
        <v>1928</v>
      </c>
      <c r="C32" s="2236"/>
      <c r="D32" s="2236"/>
      <c r="E32" s="1277">
        <f>SUMIF(C19:C26,"*住宅*",E19:E26)</f>
        <v>43156.770000000033</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1929</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1930</v>
      </c>
      <c r="B2" s="1269">
        <f>项目基本情况!D3</f>
        <v>43321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1931</v>
      </c>
      <c r="B4" s="2284"/>
      <c r="C4" s="2285"/>
      <c r="D4" s="2286"/>
      <c r="E4" s="2285" t="s">
        <v>1932</v>
      </c>
      <c r="F4" s="2285"/>
      <c r="G4" s="2285"/>
      <c r="H4" s="2285"/>
      <c r="I4" s="2285"/>
      <c r="J4" s="2287"/>
      <c r="K4" s="2288"/>
      <c r="L4" s="2289"/>
      <c r="M4" s="2285"/>
      <c r="N4" s="2285" t="s">
        <v>1933</v>
      </c>
      <c r="O4" s="2285"/>
      <c r="P4" s="2285"/>
      <c r="Q4" s="2285"/>
      <c r="R4" s="2285"/>
      <c r="S4" s="2287"/>
      <c r="T4" s="2290" t="str">
        <f>'数据-汇总表'!I17</f>
        <v>按面积比例</v>
      </c>
      <c r="U4" s="2284" t="s">
        <v>1934</v>
      </c>
      <c r="V4" s="2285"/>
      <c r="W4" s="2285"/>
      <c r="X4" s="2285"/>
      <c r="Y4" s="2287"/>
      <c r="Z4" s="2247" t="s">
        <v>1935</v>
      </c>
      <c r="AA4" s="2247"/>
      <c r="AB4" s="2247"/>
      <c r="AC4" s="2247"/>
      <c r="AD4" s="2247"/>
      <c r="AE4" s="2245" t="s">
        <v>1936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1937</v>
      </c>
      <c r="B5" s="2293" t="s">
        <v>1938</v>
      </c>
      <c r="C5" s="2294" t="s">
        <v>1939</v>
      </c>
      <c r="D5" s="2295" t="s">
        <v>1940</v>
      </c>
      <c r="E5" s="1271" t="s">
        <v>1941</v>
      </c>
      <c r="F5" s="2296" t="s">
        <v>1942</v>
      </c>
      <c r="G5" s="1271" t="s">
        <v>1943</v>
      </c>
      <c r="H5" s="1271" t="s">
        <v>1944</v>
      </c>
      <c r="I5" s="1271" t="s">
        <v>1945</v>
      </c>
      <c r="J5" s="2297" t="s">
        <v>1946</v>
      </c>
      <c r="K5" s="2298" t="s">
        <v>1947</v>
      </c>
      <c r="L5" s="2299" t="s">
        <v>1948</v>
      </c>
      <c r="M5" s="2300" t="s">
        <v>1949</v>
      </c>
      <c r="N5" s="2301" t="s">
        <v>1950</v>
      </c>
      <c r="O5" s="2299" t="s">
        <v>1951</v>
      </c>
      <c r="P5" s="2302" t="s">
        <v>1952</v>
      </c>
      <c r="Q5" s="69" t="s">
        <v>1953</v>
      </c>
      <c r="R5" s="2303" t="s">
        <v>1954</v>
      </c>
      <c r="S5" s="2304" t="s">
        <v>1955</v>
      </c>
      <c r="T5" s="2305" t="s">
        <v>1956</v>
      </c>
      <c r="U5" s="1270" t="s">
        <v>1957</v>
      </c>
      <c r="V5" s="1271" t="s">
        <v>1958</v>
      </c>
      <c r="W5" s="1271" t="s">
        <v>1959</v>
      </c>
      <c r="X5" s="71"/>
      <c r="Y5" s="70" t="s">
        <v>1960</v>
      </c>
      <c r="Z5" s="2306" t="s">
        <v>1957</v>
      </c>
      <c r="AA5" s="1271" t="s">
        <v>1958</v>
      </c>
      <c r="AB5" s="1271" t="s">
        <v>1959</v>
      </c>
      <c r="AC5" s="71"/>
      <c r="AD5" s="71" t="s">
        <v>1960</v>
      </c>
      <c r="AE5" s="1270" t="s">
        <v>1961</v>
      </c>
      <c r="AF5" s="1271" t="s">
        <v>1962</v>
      </c>
      <c r="AG5" s="70" t="s">
        <v>1963</v>
      </c>
      <c r="AH5" s="1270" t="s">
        <v>1964</v>
      </c>
      <c r="AI5" s="2306" t="s">
        <v>1965</v>
      </c>
      <c r="AJ5" s="2306" t="s">
        <v>1966</v>
      </c>
      <c r="AK5" s="1271" t="s">
        <v>1967</v>
      </c>
      <c r="AL5" s="1271" t="s">
        <v>1968</v>
      </c>
      <c r="AM5" s="70" t="s">
        <v>1969</v>
      </c>
      <c r="AN5" s="2307" t="s">
        <v>1970</v>
      </c>
      <c r="AO5" s="2077" t="s">
        <v>1971</v>
      </c>
      <c r="AP5" s="1252" t="s">
        <v>1972</v>
      </c>
      <c r="AQ5" s="2308" t="s">
        <v>1973</v>
      </c>
      <c r="AR5" s="2308" t="s">
        <v>1974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高层住宅用房</v>
      </c>
      <c r="B6" s="2310" t="str">
        <f>IF(A6=0,"","经营性")</f>
        <v>经营性</v>
      </c>
      <c r="C6" s="2311" t="s">
        <v>3034</v>
      </c>
      <c r="D6" s="1054">
        <f>SUMIF(项目基本情况!D$12:I$12,C6,项目基本情况!D$14:I$14)</f>
        <v>70</v>
      </c>
      <c r="E6" s="1051">
        <f>IF(B6="","",SUMIF(项目基本情况!D$12:I$12,C6,项目基本情况!D$13:I$13))</f>
        <v>65744</v>
      </c>
      <c r="F6" s="72">
        <f>SUMIF(项目基本情况!D$12:I$12,C6,项目基本情况!D$15:I$15)</f>
        <v>61.43</v>
      </c>
      <c r="G6" s="73">
        <f>IF(ISERROR(ROUND(POWER(1+H6,D6-F6)*(POWER(1+H6,F6)-1)/(POWER(1+H6,D6)-1),3)),0,ROUND(POWER(1+H6,D6-F6)*(POWER(1+H6,F6)-1)/(POWER(1+H6,D6)-1),3))</f>
        <v>0.97299999999999998</v>
      </c>
      <c r="H6" s="802">
        <v>0.04</v>
      </c>
      <c r="I6" s="802">
        <v>0.05</v>
      </c>
      <c r="J6" s="74">
        <v>8.5000000000000006E-2</v>
      </c>
      <c r="K6" s="1254">
        <f>SUMIF('数据-汇总表'!C$19:C$33,A6,'数据-汇总表'!E$19:E$33)</f>
        <v>43156.770000000033</v>
      </c>
      <c r="L6" s="803">
        <v>2500</v>
      </c>
      <c r="M6" s="75">
        <f t="shared" ref="M6:M14" si="0">ROUND(K6*L6/10000,0)</f>
        <v>10789</v>
      </c>
      <c r="N6" s="801">
        <v>0.6</v>
      </c>
      <c r="O6" s="75">
        <f>IF($N$5="成新度","——",ROUND(M6*N6,0))</f>
        <v>6473</v>
      </c>
      <c r="P6" s="76">
        <f>IF($N$5="成新度","——",M6-O6)</f>
        <v>4316</v>
      </c>
      <c r="Q6" s="804">
        <v>0.1</v>
      </c>
      <c r="R6" s="77">
        <f ca="1">SUMIF('数据-汇总表'!C$19:C$33,A6,'数据-汇总表'!R$19:R$27)</f>
        <v>6969.29</v>
      </c>
      <c r="S6" s="54">
        <f>IF('数据-汇总表'!$I$17="按面积比例",SUMIF('数据-汇总表'!C$19:C$33,A6,'数据-汇总表'!K$19:K$33),SUMIF('数据-汇总表'!C$19:C$33,A6,'数据-汇总表'!N$19:N$33))</f>
        <v>1255.68</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v>1.4999999999999999E-2</v>
      </c>
      <c r="AL6" s="88">
        <v>2E-3</v>
      </c>
      <c r="AM6" s="89">
        <v>0.02</v>
      </c>
      <c r="AN6" s="2312"/>
      <c r="AO6" s="55" t="e">
        <f ca="1">SUMIF(INDIRECT("'"&amp;AN6&amp;"'"&amp;"!A:A"),"总价",INDIRECT("'"&amp;AN6&amp;"'"&amp;"!B:B"))</f>
        <v>#REF!</v>
      </c>
      <c r="AP6" s="2313">
        <f>IF(C6="住宅",K6*L6,0)</f>
        <v>107891925.00000009</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1975</v>
      </c>
      <c r="B14" s="2310" t="s">
        <v>1976</v>
      </c>
      <c r="C14" s="2315" t="s">
        <v>1975</v>
      </c>
      <c r="D14" s="1054"/>
      <c r="E14" s="1051"/>
      <c r="F14" s="72"/>
      <c r="G14" s="73"/>
      <c r="H14" s="1253"/>
      <c r="I14" s="1253"/>
      <c r="J14" s="1253"/>
      <c r="K14" s="1254">
        <f>SUMIF('数据-汇总表'!C$19:C$33,A14,'数据-汇总表'!E$19:E$33)</f>
        <v>1255.68</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1977</v>
      </c>
      <c r="B15" s="2310" t="s">
        <v>1976</v>
      </c>
      <c r="C15" s="2315" t="s">
        <v>1978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1979</v>
      </c>
      <c r="B16" s="97"/>
      <c r="C16" s="1008"/>
      <c r="D16" s="2317"/>
      <c r="E16" s="97"/>
      <c r="F16" s="97"/>
      <c r="G16" s="98">
        <f>ROUND(SUMPRODUCT(G6:G13,K6:K13)/SUMPRODUCT((G6:G13&gt;0)*(K6:K13)),3)</f>
        <v>0.97299999999999998</v>
      </c>
      <c r="H16" s="99">
        <f>ROUND(SUMPRODUCT(H6:H13,K6:K13)/SUMPRODUCT((H6:H13&gt;0)*(K6:K13)),3)</f>
        <v>0.04</v>
      </c>
      <c r="I16" s="100"/>
      <c r="J16" s="100"/>
      <c r="K16" s="101">
        <f>SUM(K6:K15)</f>
        <v>44412.450000000033</v>
      </c>
      <c r="L16" s="102">
        <f>ROUND(M16*10000/SUM(K6:K14),0)</f>
        <v>2429</v>
      </c>
      <c r="M16" s="102">
        <f>SUM(M6:M14)</f>
        <v>10789</v>
      </c>
      <c r="N16" s="103">
        <f>ROUND(SUMPRODUCT(M6:M14,N6:N14)/M16,3)</f>
        <v>0.6</v>
      </c>
      <c r="O16" s="102">
        <f>SUM(O6:O14)</f>
        <v>6473</v>
      </c>
      <c r="P16" s="102">
        <f>SUM(P6:P14)</f>
        <v>4316</v>
      </c>
      <c r="Q16" s="104">
        <f>ROUND(SUMPRODUCT(Q6:Q13,K6:K13)/SUMPRODUCT((Q6:Q13&gt;0)*(K6:K13)),2)</f>
        <v>0.1</v>
      </c>
      <c r="R16" s="1258">
        <f ca="1">SUM(R6:R13)</f>
        <v>6969.29</v>
      </c>
      <c r="S16" s="105">
        <f>SUM(S6:S13)</f>
        <v>1255.68</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1980</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1981</v>
      </c>
      <c r="B19" s="112">
        <v>0</v>
      </c>
      <c r="C19" s="2280" t="s">
        <v>1982</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1983</v>
      </c>
      <c r="B20" s="113">
        <v>2</v>
      </c>
      <c r="C20" s="2280" t="s">
        <v>1984</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1985</v>
      </c>
      <c r="B21" s="113">
        <v>1</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1986</v>
      </c>
      <c r="B22" s="114">
        <f>B19+B20</f>
        <v>2</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1987</v>
      </c>
      <c r="B23" s="114">
        <f>B19+B21</f>
        <v>1</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1988</v>
      </c>
      <c r="B24" s="115">
        <f>B20-B21</f>
        <v>1</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1989</v>
      </c>
      <c r="B26" s="2323" t="s">
        <v>1990</v>
      </c>
      <c r="C26" s="2324" t="s">
        <v>1991</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1992</v>
      </c>
      <c r="B27" s="116">
        <v>120</v>
      </c>
      <c r="C27" s="1766" t="s">
        <v>1993</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1994</v>
      </c>
      <c r="B28" s="119">
        <v>160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1995</v>
      </c>
      <c r="B29" s="121">
        <f ca="1">成本法!C9+成本法!C10</f>
        <v>538</v>
      </c>
      <c r="C29" s="1766" t="s">
        <v>1996</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1997</v>
      </c>
      <c r="B30" s="724">
        <v>150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1998</v>
      </c>
      <c r="B31" s="120">
        <f>B30-B32</f>
        <v>150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1999</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2000</v>
      </c>
      <c r="B33" s="726">
        <v>0.05</v>
      </c>
      <c r="C33" s="1765" t="s">
        <v>2001</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2002</v>
      </c>
      <c r="B34" s="122">
        <v>0.03</v>
      </c>
      <c r="C34" s="1765" t="s">
        <v>2003</v>
      </c>
      <c r="D34" s="2281" t="s">
        <v>2004</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2005</v>
      </c>
      <c r="B35" s="119">
        <v>200</v>
      </c>
      <c r="C35" s="1765" t="s">
        <v>2006</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2007</v>
      </c>
      <c r="B36" s="123">
        <v>1.4999999999999999E-2</v>
      </c>
      <c r="C36" s="1765" t="s">
        <v>2008</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2009</v>
      </c>
      <c r="B37" s="124">
        <v>0.02</v>
      </c>
      <c r="C37" s="1765" t="s">
        <v>2010</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2011</v>
      </c>
      <c r="B38" s="122">
        <v>0.02</v>
      </c>
      <c r="C38" s="1765" t="s">
        <v>2010</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2012</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2013</v>
      </c>
      <c r="B40" s="1303">
        <f ca="1">存贷款利率!G1</f>
        <v>4.7500000000000001E-2</v>
      </c>
      <c r="C40" s="1765" t="s">
        <v>2014</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2015</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2016</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2017</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2018</v>
      </c>
      <c r="B44" s="128">
        <v>7.0000000000000007E-2</v>
      </c>
      <c r="C44" s="1765" t="s">
        <v>2019</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2020</v>
      </c>
      <c r="B45" s="126">
        <v>0.03</v>
      </c>
      <c r="C45" s="1766" t="s">
        <v>2021</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2022</v>
      </c>
      <c r="B46" s="126">
        <v>0.02</v>
      </c>
      <c r="C46" s="1766" t="s">
        <v>2023</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2024</v>
      </c>
      <c r="B47" s="129">
        <v>0</v>
      </c>
      <c r="C47" s="1766" t="s">
        <v>2025</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2026</v>
      </c>
      <c r="B48" s="130">
        <v>0.04</v>
      </c>
      <c r="C48" s="1773" t="s">
        <v>2027</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2028</v>
      </c>
      <c r="B49" s="126">
        <v>5.0000000000000001E-4</v>
      </c>
      <c r="C49" s="1773" t="s">
        <v>2029</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2030</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2031</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2032</v>
      </c>
      <c r="B52" s="133">
        <f>SUMIF(A54:A63,B53,B54:B63)</f>
        <v>16</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2033</v>
      </c>
      <c r="B53" s="2339" t="s">
        <v>137</v>
      </c>
      <c r="C53" s="1430" t="s">
        <v>2034</v>
      </c>
      <c r="D53" s="2340" t="s">
        <v>2035</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2036</v>
      </c>
      <c r="B54" s="84"/>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2037</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2038</v>
      </c>
      <c r="B56" s="84"/>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2039</v>
      </c>
      <c r="B57" s="84">
        <v>16</v>
      </c>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2040</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2041</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2042</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2043</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2044</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2045</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20" sqref="J2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111" t="s">
        <v>2046</v>
      </c>
      <c r="B1" s="3112"/>
      <c r="C1" s="3112"/>
      <c r="D1" s="3112"/>
      <c r="E1" s="3112"/>
      <c r="F1" s="3112"/>
      <c r="G1" s="311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2047</v>
      </c>
      <c r="D2" s="2369"/>
      <c r="E2" s="2370"/>
      <c r="F2" s="2289"/>
      <c r="G2" s="2368" t="s">
        <v>2048</v>
      </c>
      <c r="H2" s="2371"/>
      <c r="I2" s="2371"/>
      <c r="J2" s="2371"/>
      <c r="K2" s="2371"/>
      <c r="L2" s="2371"/>
      <c r="M2" s="2371"/>
      <c r="N2" s="2371"/>
      <c r="O2" s="2371"/>
      <c r="P2" s="2371"/>
      <c r="Q2" s="2371"/>
      <c r="R2" s="2371"/>
    </row>
    <row r="3" spans="1:29" ht="85.5">
      <c r="A3" s="415" t="s">
        <v>2049</v>
      </c>
      <c r="B3" s="1271" t="s">
        <v>2050</v>
      </c>
      <c r="C3" s="2373" t="s">
        <v>3035</v>
      </c>
      <c r="D3" s="2374"/>
      <c r="E3" s="431" t="s">
        <v>2049</v>
      </c>
      <c r="F3" s="2375" t="s">
        <v>2051</v>
      </c>
      <c r="G3" s="2376"/>
      <c r="H3" s="2371"/>
      <c r="I3" s="2371"/>
      <c r="J3" s="2371"/>
      <c r="K3" s="2371"/>
      <c r="L3" s="2371"/>
      <c r="M3" s="2371"/>
      <c r="N3" s="2371"/>
      <c r="O3" s="2371"/>
      <c r="P3" s="2371"/>
      <c r="Q3" s="2371"/>
      <c r="R3" s="2371"/>
    </row>
    <row r="4" spans="1:29" ht="57">
      <c r="A4" s="431"/>
      <c r="B4" s="1797" t="s">
        <v>2052</v>
      </c>
      <c r="C4" s="2377" t="s">
        <v>3036</v>
      </c>
      <c r="D4" s="2374"/>
      <c r="E4" s="2378"/>
      <c r="F4" s="42" t="s">
        <v>2053</v>
      </c>
      <c r="G4" s="2379"/>
      <c r="H4" s="2371"/>
      <c r="I4" s="2371"/>
      <c r="J4" s="2371"/>
      <c r="K4" s="2371"/>
      <c r="L4" s="2371"/>
      <c r="M4" s="2371"/>
      <c r="N4" s="2371"/>
      <c r="O4" s="2371"/>
      <c r="P4" s="2371"/>
      <c r="Q4" s="2371"/>
      <c r="R4" s="2371"/>
    </row>
    <row r="5" spans="1:29" ht="15">
      <c r="A5" s="431"/>
      <c r="B5" s="1797" t="s">
        <v>2054</v>
      </c>
      <c r="C5" s="2377"/>
      <c r="D5" s="2374"/>
      <c r="E5" s="2378"/>
      <c r="F5" s="1797" t="s">
        <v>2055</v>
      </c>
      <c r="G5" s="2379"/>
      <c r="H5" s="2371"/>
      <c r="I5" s="2371"/>
      <c r="J5" s="2371"/>
      <c r="K5" s="2371"/>
      <c r="L5" s="2371"/>
      <c r="M5" s="2371"/>
      <c r="N5" s="2371"/>
      <c r="O5" s="2371"/>
      <c r="P5" s="2371"/>
      <c r="Q5" s="2371"/>
      <c r="R5" s="2371"/>
    </row>
    <row r="6" spans="1:29" ht="71.25">
      <c r="A6" s="431"/>
      <c r="B6" s="1797" t="s">
        <v>2056</v>
      </c>
      <c r="C6" s="2379" t="s">
        <v>3037</v>
      </c>
      <c r="D6" s="2374"/>
      <c r="E6" s="2378"/>
      <c r="F6" s="1797" t="s">
        <v>2057</v>
      </c>
      <c r="G6" s="2379"/>
      <c r="H6" s="2371"/>
      <c r="I6" s="2371"/>
      <c r="J6" s="2371"/>
      <c r="K6" s="2371"/>
      <c r="L6" s="2371"/>
      <c r="M6" s="2371"/>
      <c r="N6" s="2371"/>
      <c r="O6" s="2371"/>
      <c r="P6" s="2371"/>
      <c r="Q6" s="2371"/>
      <c r="R6" s="2371"/>
    </row>
    <row r="7" spans="1:29" ht="29.25" thickBot="1">
      <c r="A7" s="431"/>
      <c r="B7" s="1797" t="s">
        <v>2055</v>
      </c>
      <c r="C7" s="2379" t="s">
        <v>3038</v>
      </c>
      <c r="D7" s="2380"/>
      <c r="E7" s="2381"/>
      <c r="F7" s="2382" t="s">
        <v>2058</v>
      </c>
      <c r="G7" s="2383"/>
      <c r="H7" s="2371"/>
      <c r="I7" s="2371"/>
      <c r="J7" s="2371"/>
      <c r="K7" s="2371"/>
      <c r="L7" s="2371"/>
      <c r="M7" s="2371"/>
      <c r="N7" s="2371"/>
      <c r="O7" s="2371"/>
      <c r="P7" s="2371"/>
      <c r="Q7" s="2371"/>
      <c r="R7" s="2371"/>
    </row>
    <row r="8" spans="1:29" ht="28.5">
      <c r="A8" s="431"/>
      <c r="B8" s="1797" t="s">
        <v>2057</v>
      </c>
      <c r="C8" s="2379" t="s">
        <v>3039</v>
      </c>
      <c r="D8" s="2380"/>
      <c r="E8" s="2380"/>
      <c r="F8" s="1136"/>
      <c r="G8" s="1136"/>
      <c r="H8" s="2371"/>
      <c r="I8" s="2371"/>
      <c r="J8" s="2371"/>
      <c r="K8" s="2371"/>
      <c r="L8" s="2371"/>
      <c r="M8" s="2371"/>
      <c r="N8" s="2371"/>
      <c r="O8" s="2371"/>
      <c r="P8" s="2371"/>
      <c r="Q8" s="2371"/>
      <c r="R8" s="2371"/>
    </row>
    <row r="9" spans="1:29" ht="57">
      <c r="A9" s="431"/>
      <c r="B9" s="1797" t="s">
        <v>2059</v>
      </c>
      <c r="C9" s="2377" t="s">
        <v>3040</v>
      </c>
      <c r="D9" s="2374"/>
      <c r="E9" s="2380"/>
      <c r="F9" s="1136"/>
      <c r="G9" s="1136"/>
      <c r="H9" s="2371"/>
      <c r="I9" s="2371"/>
      <c r="J9" s="2371"/>
      <c r="K9" s="2371"/>
      <c r="L9" s="2371"/>
      <c r="M9" s="2371"/>
      <c r="N9" s="2371"/>
      <c r="O9" s="2371"/>
      <c r="P9" s="2371"/>
      <c r="Q9" s="2371"/>
      <c r="R9" s="2371"/>
    </row>
    <row r="10" spans="1:29" s="117" customFormat="1" ht="15.75" thickBot="1">
      <c r="A10" s="2384"/>
      <c r="B10" s="2385" t="s">
        <v>2060</v>
      </c>
      <c r="C10" s="2386" t="s">
        <v>3041</v>
      </c>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2061</v>
      </c>
      <c r="B13" s="2391"/>
      <c r="C13" s="2391"/>
      <c r="D13" s="2398"/>
      <c r="E13" s="2391"/>
      <c r="F13" s="2391"/>
      <c r="G13" s="2391"/>
    </row>
    <row r="14" spans="1:29" ht="15.75" thickBot="1">
      <c r="A14" s="2402"/>
      <c r="B14" s="2403"/>
      <c r="C14" s="2404" t="s">
        <v>2062</v>
      </c>
      <c r="D14" s="2374"/>
      <c r="E14" s="2405"/>
      <c r="F14" s="2405"/>
      <c r="G14" s="2368" t="s">
        <v>2063</v>
      </c>
    </row>
    <row r="15" spans="1:29" ht="85.5">
      <c r="A15" s="68" t="s">
        <v>2064</v>
      </c>
      <c r="B15" s="1270" t="s">
        <v>2050</v>
      </c>
      <c r="C15" s="2406" t="str">
        <f>C3</f>
        <v>估价对象周边居住用地比例较高、居住小区规模和社区发展完善程度较好，周边1公里内有水墨林溪等住宅项目，综合评价居住社区成熟度一般</v>
      </c>
      <c r="D15" s="2374"/>
      <c r="E15" s="2407" t="s">
        <v>2065</v>
      </c>
      <c r="F15" s="1270" t="s">
        <v>2066</v>
      </c>
      <c r="G15" s="135">
        <f>G3</f>
        <v>0</v>
      </c>
    </row>
    <row r="16" spans="1:29" ht="57">
      <c r="A16" s="645"/>
      <c r="B16" s="2408" t="s">
        <v>2052</v>
      </c>
      <c r="C16" s="2409" t="str">
        <f>C4</f>
        <v>估价对象位于新姚南路南侧，周边商业氛围一般，多为社区底商，人流量一般，商业繁华度一般</v>
      </c>
      <c r="D16" s="2374"/>
      <c r="E16" s="2410"/>
      <c r="F16" s="2411" t="s">
        <v>2053</v>
      </c>
      <c r="G16" s="136">
        <f>G4</f>
        <v>0</v>
      </c>
    </row>
    <row r="17" spans="1:18" ht="15">
      <c r="A17" s="645"/>
      <c r="B17" s="2408" t="s">
        <v>2054</v>
      </c>
      <c r="C17" s="2409">
        <f>C5</f>
        <v>0</v>
      </c>
      <c r="D17" s="2380"/>
      <c r="E17" s="2410"/>
      <c r="F17" s="2411" t="s">
        <v>2067</v>
      </c>
      <c r="G17" s="1571"/>
    </row>
    <row r="18" spans="1:18" ht="71.25">
      <c r="A18" s="645"/>
      <c r="B18" s="2411" t="s">
        <v>2056</v>
      </c>
      <c r="C18" s="136" t="str">
        <f>C6</f>
        <v>估价对象周边道路密集程度高、周边一公里内有20路、206路等、地铁1号线桂花坪站。停车便捷程度好，综合评价交通便捷度好</v>
      </c>
      <c r="D18" s="2380"/>
      <c r="E18" s="2410"/>
      <c r="F18" s="2411" t="s">
        <v>2058</v>
      </c>
      <c r="G18" s="136">
        <f>G7</f>
        <v>0</v>
      </c>
    </row>
    <row r="19" spans="1:18" ht="28.5">
      <c r="A19" s="645"/>
      <c r="B19" s="2411" t="s">
        <v>2068</v>
      </c>
      <c r="C19" s="1571" t="s">
        <v>3042</v>
      </c>
      <c r="D19" s="2374"/>
      <c r="E19" s="2410"/>
      <c r="F19" s="1797" t="s">
        <v>2055</v>
      </c>
      <c r="G19" s="136">
        <f>G5</f>
        <v>0</v>
      </c>
    </row>
    <row r="20" spans="1:18" ht="57">
      <c r="A20" s="645"/>
      <c r="B20" s="2411" t="s">
        <v>2069</v>
      </c>
      <c r="C20" s="2409" t="str">
        <f>C9</f>
        <v>区域自然环境：周边有宜春社区公园等；人文环境：周边有盛砚砚博物馆等；综合评价环境状况较好</v>
      </c>
      <c r="D20" s="2380"/>
      <c r="E20" s="2410"/>
      <c r="F20" s="1797" t="s">
        <v>2070</v>
      </c>
      <c r="G20" s="136">
        <f>G6</f>
        <v>0</v>
      </c>
    </row>
    <row r="21" spans="1:18" ht="28.5">
      <c r="A21" s="645"/>
      <c r="B21" s="1797" t="s">
        <v>2055</v>
      </c>
      <c r="C21" s="136" t="str">
        <f>C7</f>
        <v>估价对象所在区域公共配套设施齐备度一般</v>
      </c>
      <c r="D21" s="2374"/>
      <c r="E21" s="2410"/>
      <c r="F21" s="2411" t="s">
        <v>2071</v>
      </c>
      <c r="G21" s="2412"/>
    </row>
    <row r="22" spans="1:18" ht="13.5" customHeight="1">
      <c r="A22" s="645"/>
      <c r="B22" s="1797" t="s">
        <v>2057</v>
      </c>
      <c r="C22" s="136" t="str">
        <f>C8</f>
        <v>估价对象所在区域基础设施水平较好</v>
      </c>
      <c r="D22" s="2374"/>
      <c r="E22" s="2410"/>
      <c r="F22" s="2411" t="s">
        <v>2060</v>
      </c>
      <c r="G22" s="1571"/>
    </row>
    <row r="23" spans="1:18" s="2371" customFormat="1" ht="15.75" thickBot="1">
      <c r="A23" s="645"/>
      <c r="B23" s="2411" t="s">
        <v>2071</v>
      </c>
      <c r="C23" s="2412" t="s">
        <v>3043</v>
      </c>
      <c r="D23" s="2399"/>
      <c r="E23" s="2413"/>
      <c r="F23" s="2414" t="s">
        <v>2072</v>
      </c>
      <c r="G23" s="2415"/>
      <c r="H23" s="2399"/>
      <c r="I23" s="2400"/>
      <c r="J23" s="2399"/>
      <c r="K23" s="2399"/>
      <c r="L23" s="2400"/>
      <c r="M23" s="2399"/>
      <c r="N23" s="2399"/>
      <c r="O23" s="2400"/>
      <c r="P23" s="2399"/>
      <c r="Q23" s="2399"/>
      <c r="R23" s="2401"/>
    </row>
    <row r="24" spans="1:18" s="2371" customFormat="1" ht="15.75" thickBot="1">
      <c r="A24" s="2416"/>
      <c r="B24" s="2414" t="s">
        <v>2073</v>
      </c>
      <c r="C24" s="137" t="str">
        <f>C10</f>
        <v>城市次干道——友谊路</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44412.450000000026</v>
      </c>
      <c r="C1" s="1744"/>
      <c r="D1" s="1744"/>
      <c r="E1" s="1744"/>
      <c r="F1" s="1744"/>
      <c r="G1" s="1742"/>
    </row>
    <row r="2" spans="1:10" ht="16.5">
      <c r="A2" s="1745" t="s">
        <v>1349</v>
      </c>
      <c r="B2" s="1745">
        <f>SUM(C14:C23)</f>
        <v>6969.29</v>
      </c>
      <c r="C2" s="1744"/>
      <c r="D2" s="1744"/>
      <c r="E2" s="1744"/>
      <c r="F2" s="1744"/>
      <c r="G2" s="1742"/>
    </row>
    <row r="3" spans="1:10" ht="16.5">
      <c r="A3" s="1745" t="s">
        <v>1358</v>
      </c>
      <c r="B3" s="1746">
        <f>项目基本情况!D3</f>
        <v>43321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31281</v>
      </c>
      <c r="C5" s="1745">
        <f ca="1">ROUND(B5*10000/$B$1,0)</f>
        <v>7043</v>
      </c>
      <c r="D5" s="1745">
        <f ca="1">ROUND(B5*10000/$B$2,0)</f>
        <v>44884</v>
      </c>
      <c r="E5" s="1744"/>
      <c r="F5" s="1742"/>
      <c r="G5" s="1742"/>
    </row>
    <row r="6" spans="1:10" ht="16.5">
      <c r="A6" s="1745" t="s">
        <v>1352</v>
      </c>
      <c r="B6" s="1745">
        <f ca="1">SUM(G14:G23)</f>
        <v>31281</v>
      </c>
      <c r="C6" s="1745">
        <f ca="1">ROUND(B6*10000/$B$1,0)</f>
        <v>7043</v>
      </c>
      <c r="D6" s="1745">
        <f ca="1">ROUND(B6*10000/$B$2,0)</f>
        <v>44884</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44412.450000000026</v>
      </c>
      <c r="C14" s="1743">
        <f>结果表!C118</f>
        <v>6969.29</v>
      </c>
      <c r="D14" s="1743">
        <f ca="1">结果表!H118</f>
        <v>31281</v>
      </c>
      <c r="E14" s="1743">
        <f ca="1">ROUND(D14*10000/B14,0)</f>
        <v>7043</v>
      </c>
      <c r="F14" s="1743">
        <f ca="1">ROUND(D14*10000/C14,0)</f>
        <v>44884</v>
      </c>
      <c r="G14" s="1743">
        <f ca="1">结果表!D122</f>
        <v>31281</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3" zoomScaleNormal="100" zoomScaleSheetLayoutView="100" zoomScalePageLayoutView="80" workbookViewId="0">
      <selection activeCell="H119" sqref="H119:I11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2074</v>
      </c>
      <c r="B1" s="2422"/>
      <c r="C1" s="2423"/>
      <c r="D1" s="2422"/>
      <c r="E1" s="2422"/>
      <c r="F1" s="2424" t="s">
        <v>2075</v>
      </c>
      <c r="G1" s="2073" t="s">
        <v>2076</v>
      </c>
      <c r="H1" s="2425" t="str">
        <f>IF(G1="现房","——","估价对象范围")</f>
        <v>估价对象范围</v>
      </c>
      <c r="I1" s="2426"/>
    </row>
    <row r="2" spans="1:12" ht="21.75" customHeight="1" thickBot="1">
      <c r="A2" s="3146" t="str">
        <f>项目基本情况!S2</f>
        <v>湖南省长沙市出让国有建设用地使用权及在建建筑物房地产</v>
      </c>
      <c r="B2" s="3147"/>
      <c r="C2" s="3147"/>
      <c r="D2" s="3147"/>
      <c r="E2" s="3147"/>
      <c r="F2" s="3147"/>
      <c r="G2" s="3147"/>
      <c r="H2" s="3147"/>
      <c r="I2" s="3148"/>
    </row>
    <row r="3" spans="1:12" ht="12.75">
      <c r="A3" s="3150" t="s">
        <v>2077</v>
      </c>
      <c r="B3" s="3151"/>
      <c r="C3" s="3151"/>
      <c r="D3" s="3151"/>
      <c r="E3" s="3151"/>
      <c r="F3" s="3151"/>
      <c r="G3" s="3151"/>
      <c r="H3" s="3151"/>
      <c r="I3" s="3151"/>
    </row>
    <row r="4" spans="1:12" ht="14.25">
      <c r="A4" s="2429" t="s">
        <v>2078</v>
      </c>
      <c r="B4" s="2430" t="s">
        <v>2079</v>
      </c>
      <c r="C4" s="2431" t="s">
        <v>3118</v>
      </c>
      <c r="D4" s="2431" t="s">
        <v>3119</v>
      </c>
      <c r="E4" s="3143" t="s">
        <v>2080</v>
      </c>
      <c r="F4" s="3144"/>
      <c r="G4" s="3144"/>
      <c r="H4" s="3144"/>
      <c r="I4" s="3152"/>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126" t="s">
        <v>2081</v>
      </c>
      <c r="B5" s="3064">
        <v>25</v>
      </c>
      <c r="C5" s="3129"/>
      <c r="D5" s="3149"/>
      <c r="E5" s="140" t="s">
        <v>2082</v>
      </c>
      <c r="F5" s="2433"/>
      <c r="G5" s="2433"/>
      <c r="H5" s="2433"/>
      <c r="I5" s="1833"/>
    </row>
    <row r="6" spans="1:12" ht="12.75">
      <c r="A6" s="3126"/>
      <c r="B6" s="3064"/>
      <c r="C6" s="3130"/>
      <c r="D6" s="3149"/>
      <c r="E6" s="140" t="s">
        <v>2083</v>
      </c>
      <c r="F6" s="2433"/>
      <c r="G6" s="2433"/>
      <c r="H6" s="2433"/>
      <c r="I6" s="1833"/>
    </row>
    <row r="7" spans="1:12" ht="12.75">
      <c r="A7" s="3126"/>
      <c r="B7" s="3064"/>
      <c r="C7" s="3131"/>
      <c r="D7" s="3149"/>
      <c r="E7" s="140" t="s">
        <v>2084</v>
      </c>
      <c r="F7" s="2433"/>
      <c r="G7" s="2433"/>
      <c r="H7" s="2433"/>
      <c r="I7" s="1833"/>
    </row>
    <row r="8" spans="1:12" ht="12.75">
      <c r="A8" s="3126" t="s">
        <v>2085</v>
      </c>
      <c r="B8" s="3064">
        <v>15</v>
      </c>
      <c r="C8" s="3129"/>
      <c r="D8" s="3149"/>
      <c r="E8" s="140" t="s">
        <v>2086</v>
      </c>
      <c r="F8" s="2433"/>
      <c r="G8" s="2433"/>
      <c r="H8" s="2433"/>
      <c r="I8" s="1833"/>
    </row>
    <row r="9" spans="1:12" ht="12.75">
      <c r="A9" s="3126"/>
      <c r="B9" s="3064"/>
      <c r="C9" s="3131"/>
      <c r="D9" s="3149"/>
      <c r="E9" s="140" t="s">
        <v>2087</v>
      </c>
      <c r="F9" s="2433"/>
      <c r="G9" s="2433"/>
      <c r="H9" s="2433"/>
      <c r="I9" s="1833"/>
    </row>
    <row r="10" spans="1:12" ht="12.75">
      <c r="A10" s="3126" t="s">
        <v>2088</v>
      </c>
      <c r="B10" s="3064">
        <v>15</v>
      </c>
      <c r="C10" s="3129"/>
      <c r="D10" s="3149"/>
      <c r="E10" s="140" t="s">
        <v>2089</v>
      </c>
      <c r="F10" s="2433"/>
      <c r="G10" s="2433"/>
      <c r="H10" s="2433"/>
      <c r="I10" s="1833"/>
    </row>
    <row r="11" spans="1:12" ht="12.75">
      <c r="A11" s="3126"/>
      <c r="B11" s="3064"/>
      <c r="C11" s="3131"/>
      <c r="D11" s="3149"/>
      <c r="E11" s="140" t="s">
        <v>2090</v>
      </c>
      <c r="F11" s="2433"/>
      <c r="G11" s="2433"/>
      <c r="H11" s="2433"/>
      <c r="I11" s="1833"/>
    </row>
    <row r="12" spans="1:12" ht="12.75">
      <c r="A12" s="3126" t="s">
        <v>2091</v>
      </c>
      <c r="B12" s="3064">
        <v>15</v>
      </c>
      <c r="C12" s="3129"/>
      <c r="D12" s="3149"/>
      <c r="E12" s="140" t="s">
        <v>2092</v>
      </c>
      <c r="F12" s="2433"/>
      <c r="G12" s="2433"/>
      <c r="H12" s="2433"/>
      <c r="I12" s="1833"/>
    </row>
    <row r="13" spans="1:12" ht="12.75">
      <c r="A13" s="3126"/>
      <c r="B13" s="3064"/>
      <c r="C13" s="3131"/>
      <c r="D13" s="3149"/>
      <c r="E13" s="140" t="s">
        <v>2093</v>
      </c>
      <c r="F13" s="2433"/>
      <c r="G13" s="2433"/>
      <c r="H13" s="2433"/>
      <c r="I13" s="1833"/>
    </row>
    <row r="14" spans="1:12" ht="12.75">
      <c r="A14" s="3126" t="s">
        <v>2094</v>
      </c>
      <c r="B14" s="3064">
        <v>30</v>
      </c>
      <c r="C14" s="3129">
        <v>6</v>
      </c>
      <c r="D14" s="3149">
        <v>4</v>
      </c>
      <c r="E14" s="140" t="s">
        <v>2095</v>
      </c>
      <c r="F14" s="2433"/>
      <c r="G14" s="2433"/>
      <c r="H14" s="2433"/>
      <c r="I14" s="1833"/>
    </row>
    <row r="15" spans="1:12" ht="12.75">
      <c r="A15" s="3126"/>
      <c r="B15" s="3064"/>
      <c r="C15" s="3130"/>
      <c r="D15" s="3149"/>
      <c r="E15" s="140" t="s">
        <v>2096</v>
      </c>
      <c r="F15" s="2433"/>
      <c r="G15" s="2433"/>
      <c r="H15" s="2433"/>
      <c r="I15" s="1833"/>
    </row>
    <row r="16" spans="1:12" ht="12.75">
      <c r="A16" s="3126"/>
      <c r="B16" s="3064"/>
      <c r="C16" s="3131"/>
      <c r="D16" s="3149"/>
      <c r="E16" s="140" t="s">
        <v>2097</v>
      </c>
      <c r="F16" s="2433"/>
      <c r="G16" s="2433"/>
      <c r="H16" s="2433"/>
      <c r="I16" s="1833"/>
    </row>
    <row r="17" spans="1:35" ht="15">
      <c r="A17" s="2434" t="s">
        <v>2098</v>
      </c>
      <c r="B17" s="64"/>
      <c r="C17" s="141">
        <f>SUM(C5:C16)</f>
        <v>6</v>
      </c>
      <c r="D17" s="141">
        <f>SUM(D5:D16)</f>
        <v>4</v>
      </c>
      <c r="E17" s="138"/>
      <c r="F17" s="138"/>
      <c r="G17" s="138"/>
      <c r="H17" s="138"/>
      <c r="I17" s="138"/>
      <c r="K17" s="2432"/>
      <c r="L17" s="2435" t="s">
        <v>2099</v>
      </c>
      <c r="M17" s="2435" t="s">
        <v>2100</v>
      </c>
    </row>
    <row r="18" spans="1:35" ht="15.75" thickBot="1">
      <c r="A18" s="2436" t="s">
        <v>2101</v>
      </c>
      <c r="B18" s="2437"/>
      <c r="C18" s="142">
        <f>ROUND(C17/SUM(C17:D17),2)</f>
        <v>0.6</v>
      </c>
      <c r="D18" s="142">
        <f>1-C18</f>
        <v>0.4</v>
      </c>
      <c r="E18" s="138"/>
      <c r="F18" s="138"/>
      <c r="G18" s="138"/>
      <c r="H18" s="138"/>
      <c r="I18" s="138"/>
      <c r="K18" s="2432" t="s">
        <v>2102</v>
      </c>
      <c r="L18" s="2432">
        <f>IF(C1="",'数据-汇总表'!E3,SUMIF(项目类型,C1,'数据-汇总表'!E17:E26)+SUMIF(项目类型,C1,'数据-汇总表'!I17:I26))</f>
        <v>44412.450000000026</v>
      </c>
      <c r="M18" s="2432">
        <f>IF(C1="",'数据-汇总表'!E3,SUMIF(项目类型,C1,'数据-汇总表'!E17:E26))</f>
        <v>44412.450000000026</v>
      </c>
    </row>
    <row r="19" spans="1:35" ht="15">
      <c r="A19" s="2438" t="s">
        <v>2103</v>
      </c>
      <c r="B19" s="2439" t="s">
        <v>2104</v>
      </c>
      <c r="C19" s="143">
        <f ca="1">SUMIF(INDIRECT("'"&amp;C4&amp;"'"&amp;"!A:A"),结果表!B19,INDIRECT("'"&amp;C4&amp;"'"&amp;"!B:B"))</f>
        <v>34540</v>
      </c>
      <c r="D19" s="144">
        <f ca="1">SUMIF(INDIRECT("'"&amp;D4&amp;"'"&amp;"!A:A"),结果表!B19,INDIRECT("'"&amp;D4&amp;"'"&amp;"!B:B"))</f>
        <v>26393</v>
      </c>
      <c r="E19" s="2438" t="s">
        <v>2105</v>
      </c>
      <c r="F19" s="2439" t="s">
        <v>2104</v>
      </c>
      <c r="G19" s="145">
        <f ca="1">ROUND(C19*$C$18+D19*$D$18,0)</f>
        <v>31281</v>
      </c>
      <c r="H19" s="2440" t="s">
        <v>2106</v>
      </c>
      <c r="I19" s="138"/>
      <c r="K19" s="2432" t="s">
        <v>2107</v>
      </c>
      <c r="L19" s="2432">
        <f>IF(C1="",'数据-汇总表'!D3,SUMIF(项目类型,C1,'数据-汇总表'!D17:D26)+SUMIF(项目类型,C1,'数据-汇总表'!H17:H27))</f>
        <v>6969.29</v>
      </c>
      <c r="M19" s="2432">
        <f>IF(C1="",'数据-汇总表'!D3,SUMIF(项目类型,C1,'数据-汇总表'!D17:D26))</f>
        <v>6969.29</v>
      </c>
    </row>
    <row r="20" spans="1:35" ht="15">
      <c r="A20" s="2441"/>
      <c r="B20" s="1250" t="s">
        <v>2108</v>
      </c>
      <c r="C20" s="146">
        <f ca="1">SUMIF(INDIRECT("'"&amp;C4&amp;"'"&amp;"!A:A"),结果表!B20,INDIRECT("'"&amp;C4&amp;"'"&amp;"!B:B"))</f>
        <v>7777</v>
      </c>
      <c r="D20" s="147">
        <f ca="1">SUMIF(INDIRECT("'"&amp;D4&amp;"'"&amp;"!A:A"),结果表!B20,INDIRECT("'"&amp;D4&amp;"'"&amp;"!B:B"))</f>
        <v>5943</v>
      </c>
      <c r="E20" s="2441"/>
      <c r="F20" s="1250" t="s">
        <v>2108</v>
      </c>
      <c r="G20" s="148">
        <f ca="1">ROUND(C20*$C$18+D20*$D$18,0)</f>
        <v>7043</v>
      </c>
      <c r="H20" s="983" t="s">
        <v>2109</v>
      </c>
      <c r="I20" s="138"/>
    </row>
    <row r="21" spans="1:35" ht="15" customHeight="1" thickBot="1">
      <c r="A21" s="1003"/>
      <c r="B21" s="2442" t="s">
        <v>2110</v>
      </c>
      <c r="C21" s="789">
        <f ca="1">ROUND(C19*10000/L19,0)</f>
        <v>49560</v>
      </c>
      <c r="D21" s="790">
        <f ca="1">ROUND(D19*10000/L19,0)</f>
        <v>37870</v>
      </c>
      <c r="E21" s="1003"/>
      <c r="F21" s="2442" t="s">
        <v>2110</v>
      </c>
      <c r="G21" s="149">
        <f ca="1">ROUND(G19*10000/L19,0)</f>
        <v>44884</v>
      </c>
      <c r="H21" s="2443" t="s">
        <v>2109</v>
      </c>
      <c r="I21" s="138"/>
    </row>
    <row r="22" spans="1:35" ht="15" thickBot="1">
      <c r="A22" s="2284" t="s">
        <v>2111</v>
      </c>
      <c r="B22" s="2444"/>
      <c r="C22" s="2445"/>
      <c r="D22" s="791">
        <f ca="1">IF(C19&lt;D19,D19/C19-1,C19/D19-1)</f>
        <v>0.30868033190618727</v>
      </c>
      <c r="E22" s="138"/>
      <c r="F22" s="138"/>
      <c r="G22" s="138"/>
      <c r="H22" s="138"/>
      <c r="I22" s="138"/>
    </row>
    <row r="23" spans="1:35" ht="13.5" thickBot="1">
      <c r="A23" s="2422"/>
      <c r="B23" s="2422"/>
      <c r="C23" s="2422"/>
      <c r="D23" s="2422"/>
      <c r="E23" s="138"/>
      <c r="F23" s="138"/>
      <c r="G23" s="138"/>
      <c r="H23" s="138"/>
      <c r="I23" s="138"/>
    </row>
    <row r="24" spans="1:35" ht="14.25">
      <c r="A24" s="3120" t="s">
        <v>2112</v>
      </c>
      <c r="B24" s="2439" t="s">
        <v>2104</v>
      </c>
      <c r="C24" s="145">
        <f>IF(B30=0,0,D30)</f>
        <v>0</v>
      </c>
      <c r="D24" s="2446"/>
      <c r="E24" s="138"/>
      <c r="F24" s="138"/>
      <c r="G24" s="138"/>
      <c r="H24" s="138"/>
      <c r="I24" s="138"/>
    </row>
    <row r="25" spans="1:35" ht="14.25">
      <c r="A25" s="3121"/>
      <c r="B25" s="1250" t="s">
        <v>2108</v>
      </c>
      <c r="C25" s="150">
        <f>IF(B30=0,0,C30)</f>
        <v>0</v>
      </c>
      <c r="D25" s="2447"/>
      <c r="E25" s="138"/>
      <c r="F25" s="138"/>
      <c r="G25" s="138"/>
      <c r="H25" s="138"/>
      <c r="I25" s="138"/>
    </row>
    <row r="26" spans="1:35" ht="13.5" customHeight="1">
      <c r="A26" s="2448" t="s">
        <v>2113</v>
      </c>
      <c r="B26" s="151" t="s">
        <v>2114</v>
      </c>
      <c r="C26" s="151" t="s">
        <v>2115</v>
      </c>
      <c r="D26" s="152" t="s">
        <v>2116</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2117</v>
      </c>
      <c r="B30" s="151"/>
      <c r="C30" s="151"/>
      <c r="D30" s="151"/>
      <c r="E30" s="2931" t="s">
        <v>2991</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2118</v>
      </c>
      <c r="B32" s="2452"/>
      <c r="C32" s="153">
        <f ca="1">IF(D32="总价",G19-C24,G20-C25)</f>
        <v>31281</v>
      </c>
      <c r="D32" s="2453" t="s">
        <v>2119</v>
      </c>
      <c r="E32" s="138"/>
      <c r="F32" s="138"/>
      <c r="G32" s="138"/>
      <c r="H32" s="138"/>
      <c r="I32" s="138"/>
    </row>
    <row r="33" spans="1:15" ht="15">
      <c r="A33" s="960" t="s">
        <v>2120</v>
      </c>
      <c r="B33" s="2454"/>
      <c r="C33" s="2455" t="s">
        <v>3137</v>
      </c>
      <c r="D33" s="2456" t="s">
        <v>3118</v>
      </c>
      <c r="E33" s="2457" t="s">
        <v>2121</v>
      </c>
      <c r="F33" s="2458" t="str">
        <f>IF(D32="楼面单价","取值（单价）","取值（总价）")</f>
        <v>取值（总价）</v>
      </c>
      <c r="G33" s="138"/>
      <c r="H33" s="138"/>
      <c r="I33" s="138"/>
    </row>
    <row r="34" spans="1:15" ht="15">
      <c r="A34" s="2459"/>
      <c r="B34" s="2460" t="s">
        <v>2122</v>
      </c>
      <c r="C34" s="157">
        <f ca="1">IF(C33="自定义",F34,C32-C35)</f>
        <v>22710</v>
      </c>
      <c r="D34" s="1058">
        <f ca="1">IF(C33="自定义",ROUND(C34/C32,3),IF(C33="收益比率",SUMIF(INDIRECT("'"&amp;D33&amp;"'"&amp;"!b:b"),"土地收益比率",INDIRECT("'"&amp;D33&amp;"'"&amp;"!c:c")),SUMIF(INDIRECT("'"&amp;D33&amp;"'"&amp;"!b:b"),"土地成本比率",INDIRECT("'"&amp;D33&amp;"'"&amp;"!c:c"))))</f>
        <v>0.72599999999999998</v>
      </c>
      <c r="E34" s="2461" t="s">
        <v>2123</v>
      </c>
      <c r="F34" s="1738"/>
      <c r="G34" s="138"/>
      <c r="H34" s="138"/>
      <c r="I34" s="138"/>
    </row>
    <row r="35" spans="1:15" ht="15.75" thickBot="1">
      <c r="A35" s="2462"/>
      <c r="B35" s="2463" t="s">
        <v>2124</v>
      </c>
      <c r="C35" s="1444">
        <f ca="1">IF(C33="自定义",F35,ROUND(C32*D35,0))</f>
        <v>8571</v>
      </c>
      <c r="D35" s="1445">
        <f ca="1">IF(C33="自定义",ROUND(C35/C32,3),IF(C33="收益比率",SUMIF(INDIRECT("'"&amp;D33&amp;"'"&amp;"!b:b"),"建筑物收益比率",INDIRECT("'"&amp;D33&amp;"'"&amp;"!c:c")),SUMIF(INDIRECT("'"&amp;D33&amp;"'"&amp;"!b:b"),"建筑物成本比率",INDIRECT("'"&amp;D33&amp;"'"&amp;"!c:c"))))</f>
        <v>0.27400000000000002</v>
      </c>
      <c r="E35" s="2464" t="s">
        <v>2125</v>
      </c>
      <c r="F35" s="163"/>
      <c r="G35" s="138"/>
      <c r="H35" s="138"/>
      <c r="I35" s="138"/>
    </row>
    <row r="36" spans="1:15" ht="15.75" thickBot="1">
      <c r="A36" s="3138" t="s">
        <v>2126</v>
      </c>
      <c r="B36" s="2465" t="s">
        <v>2127</v>
      </c>
      <c r="C36" s="154"/>
      <c r="D36" s="2466"/>
      <c r="E36" s="2467"/>
      <c r="F36" s="2468"/>
      <c r="G36" s="138"/>
      <c r="H36" s="138"/>
      <c r="I36" s="138"/>
    </row>
    <row r="37" spans="1:15" ht="15.75" thickBot="1">
      <c r="A37" s="3139"/>
      <c r="B37" s="2270" t="s">
        <v>2128</v>
      </c>
      <c r="C37" s="156"/>
      <c r="D37" s="1395"/>
      <c r="E37" s="1395"/>
      <c r="F37" s="2468"/>
      <c r="G37" s="138"/>
      <c r="H37" s="138"/>
      <c r="I37" s="138"/>
    </row>
    <row r="38" spans="1:15" ht="15.75" thickBot="1">
      <c r="A38" s="3140"/>
      <c r="B38" s="2469" t="s">
        <v>2129</v>
      </c>
      <c r="C38" s="727"/>
      <c r="D38" s="2470" t="s">
        <v>2130</v>
      </c>
      <c r="E38" s="1395"/>
      <c r="F38" s="2468"/>
      <c r="G38" s="138"/>
      <c r="H38" s="138"/>
      <c r="I38" s="138"/>
    </row>
    <row r="39" spans="1:15" ht="15">
      <c r="A39" s="2441" t="s">
        <v>2131</v>
      </c>
      <c r="B39" s="2471" t="s">
        <v>2132</v>
      </c>
      <c r="C39" s="2472" t="s">
        <v>2133</v>
      </c>
      <c r="D39" s="2472" t="s">
        <v>2134</v>
      </c>
      <c r="E39" s="2473" t="s">
        <v>2135</v>
      </c>
      <c r="F39" s="2468"/>
      <c r="G39" s="138"/>
      <c r="H39" s="138"/>
      <c r="I39" s="138"/>
    </row>
    <row r="40" spans="1:15" ht="14.25">
      <c r="A40" s="2474" t="s">
        <v>2136</v>
      </c>
      <c r="B40" s="158"/>
      <c r="C40" s="159"/>
      <c r="D40" s="159"/>
      <c r="E40" s="160"/>
      <c r="F40" s="2468"/>
      <c r="G40" s="138"/>
      <c r="H40" s="138"/>
      <c r="I40" s="138"/>
    </row>
    <row r="41" spans="1:15" ht="14.25">
      <c r="A41" s="2474" t="s">
        <v>2137</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2138</v>
      </c>
      <c r="B44" s="2479"/>
      <c r="C44" s="2479"/>
      <c r="D44" s="2480"/>
      <c r="E44" s="2480"/>
      <c r="F44" s="2481"/>
      <c r="G44" s="2481"/>
      <c r="H44" s="2481"/>
      <c r="I44" s="2481"/>
      <c r="J44" s="2482" t="s">
        <v>2139</v>
      </c>
      <c r="K44" s="2483"/>
      <c r="L44" s="2483"/>
      <c r="M44" s="2483"/>
      <c r="N44" s="2483"/>
      <c r="O44" s="2483"/>
    </row>
    <row r="45" spans="1:15" ht="14.25" customHeight="1" thickBot="1">
      <c r="A45" s="3117" t="s">
        <v>2140</v>
      </c>
      <c r="B45" s="3118"/>
      <c r="C45" s="3119"/>
      <c r="D45" s="164">
        <f ca="1">ROUND(H101*F45,0)</f>
        <v>31281</v>
      </c>
      <c r="E45" s="165" t="s">
        <v>2141</v>
      </c>
      <c r="F45" s="166">
        <v>1</v>
      </c>
      <c r="G45" s="167" t="s">
        <v>2142</v>
      </c>
      <c r="H45" s="138"/>
      <c r="I45" s="138"/>
      <c r="J45" s="3177" t="s">
        <v>2143</v>
      </c>
      <c r="K45" s="3177"/>
      <c r="L45" s="3177"/>
      <c r="M45" s="3177"/>
      <c r="N45" s="3177"/>
      <c r="O45" s="3177"/>
    </row>
    <row r="46" spans="1:15" ht="14.25" customHeight="1">
      <c r="A46" s="3114" t="s">
        <v>2144</v>
      </c>
      <c r="B46" s="3115"/>
      <c r="C46" s="3115"/>
      <c r="D46" s="3115"/>
      <c r="E46" s="3115"/>
      <c r="F46" s="3115"/>
      <c r="G46" s="3116"/>
      <c r="H46" s="2484"/>
      <c r="I46" s="168"/>
      <c r="J46" s="1811">
        <v>1</v>
      </c>
      <c r="K46" s="3177" t="s">
        <v>2145</v>
      </c>
      <c r="L46" s="3177"/>
      <c r="M46" s="3197"/>
      <c r="N46" s="3197"/>
      <c r="O46" s="3197"/>
    </row>
    <row r="47" spans="1:15" ht="12" customHeight="1">
      <c r="A47" s="169" t="s">
        <v>2146</v>
      </c>
      <c r="B47" s="170"/>
      <c r="C47" s="171"/>
      <c r="D47" s="172" t="s">
        <v>2147</v>
      </c>
      <c r="E47" s="24" t="s">
        <v>2148</v>
      </c>
      <c r="F47" s="173" t="s">
        <v>2149</v>
      </c>
      <c r="G47" s="174" t="s">
        <v>2150</v>
      </c>
      <c r="H47" s="2484"/>
      <c r="I47" s="168"/>
      <c r="J47" s="1811">
        <v>2</v>
      </c>
      <c r="K47" s="3177" t="s">
        <v>2151</v>
      </c>
      <c r="L47" s="3177"/>
      <c r="M47" s="3198">
        <f>'数据-取费表'!B2</f>
        <v>43321</v>
      </c>
      <c r="N47" s="3198"/>
      <c r="O47" s="3198"/>
    </row>
    <row r="48" spans="1:15" ht="25.5">
      <c r="A48" s="3145" t="s">
        <v>2152</v>
      </c>
      <c r="B48" s="3128"/>
      <c r="C48" s="3128"/>
      <c r="D48" s="140">
        <f>IF(H48="情况1",0,IF(H48="情况2",D52,IF(H48="情况3",D53,IF(H48="情况4",D54))))</f>
        <v>0</v>
      </c>
      <c r="E48" s="1800" t="str">
        <f>IF(H48="情况4","(销售额-原购置价)×税（费）率","销售额×税（费）率")</f>
        <v>销售额×税（费）率</v>
      </c>
      <c r="F48" s="175" t="str">
        <f>IF(H48="情况1","免征",'数据-取费表'!B41)</f>
        <v>免征</v>
      </c>
      <c r="G48" s="2485" t="s">
        <v>2153</v>
      </c>
      <c r="H48" s="2486" t="s">
        <v>2154</v>
      </c>
      <c r="I48" s="2484"/>
      <c r="J48" s="1811">
        <v>3</v>
      </c>
      <c r="K48" s="3177" t="s">
        <v>2155</v>
      </c>
      <c r="L48" s="3177"/>
      <c r="M48" s="3199">
        <f ca="1">H101</f>
        <v>31281</v>
      </c>
      <c r="N48" s="3199"/>
      <c r="O48" s="3199"/>
    </row>
    <row r="49" spans="1:35" ht="25.5" customHeight="1">
      <c r="A49" s="176" t="s">
        <v>2156</v>
      </c>
      <c r="B49" s="3113" t="s">
        <v>2157</v>
      </c>
      <c r="C49" s="3113"/>
      <c r="D49" s="177">
        <v>0</v>
      </c>
      <c r="E49" s="23" t="s">
        <v>2158</v>
      </c>
      <c r="F49" s="28" t="s">
        <v>34</v>
      </c>
      <c r="G49" s="3183"/>
      <c r="H49" s="138"/>
      <c r="I49" s="2487"/>
      <c r="J49" s="1811">
        <v>4</v>
      </c>
      <c r="K49" s="3177" t="str">
        <f>IF(项目基本情况!E8="房地产抵押价值","房地产抵押价值","抵押担保权已注销时的房地产抵押价值")</f>
        <v>房地产抵押价值</v>
      </c>
      <c r="L49" s="3177"/>
      <c r="M49" s="3199">
        <f ca="1">IF(项目基本情况!E8="房地产抵押价值",H107,H109)</f>
        <v>31281</v>
      </c>
      <c r="N49" s="3199"/>
      <c r="O49" s="3199"/>
    </row>
    <row r="50" spans="1:35" ht="25.5" customHeight="1">
      <c r="A50" s="178"/>
      <c r="B50" s="3113" t="s">
        <v>2159</v>
      </c>
      <c r="C50" s="3113"/>
      <c r="D50" s="179"/>
      <c r="E50" s="31"/>
      <c r="F50" s="180"/>
      <c r="G50" s="3184"/>
      <c r="H50" s="138"/>
      <c r="I50" s="2487"/>
      <c r="J50" s="3177" t="s">
        <v>2160</v>
      </c>
      <c r="K50" s="3177"/>
      <c r="L50" s="3177"/>
      <c r="M50" s="3177"/>
      <c r="N50" s="3177"/>
      <c r="O50" s="3177"/>
    </row>
    <row r="51" spans="1:35" ht="12" customHeight="1">
      <c r="A51" s="181"/>
      <c r="B51" s="3113" t="s">
        <v>2161</v>
      </c>
      <c r="C51" s="3113"/>
      <c r="D51" s="182"/>
      <c r="E51" s="30"/>
      <c r="F51" s="180"/>
      <c r="G51" s="3185"/>
      <c r="H51" s="138"/>
      <c r="I51" s="2487"/>
      <c r="J51" s="2488" t="s">
        <v>2162</v>
      </c>
      <c r="K51" s="3177" t="s">
        <v>2163</v>
      </c>
      <c r="L51" s="3177"/>
      <c r="M51" s="2488" t="s">
        <v>2164</v>
      </c>
      <c r="N51" s="2488" t="s">
        <v>2165</v>
      </c>
      <c r="O51" s="2488" t="s">
        <v>2166</v>
      </c>
    </row>
    <row r="52" spans="1:35" ht="24" customHeight="1">
      <c r="A52" s="183" t="s">
        <v>2167</v>
      </c>
      <c r="B52" s="3113" t="s">
        <v>2168</v>
      </c>
      <c r="C52" s="3113"/>
      <c r="D52" s="182">
        <f ca="1">ROUND(D45*'数据-取费表'!B41/(1+'数据-取费表'!C42),0)</f>
        <v>1668</v>
      </c>
      <c r="E52" s="11" t="s">
        <v>2169</v>
      </c>
      <c r="F52" s="184">
        <f>'数据-取费表'!B41</f>
        <v>5.6000000000000001E-2</v>
      </c>
      <c r="G52" s="2489"/>
      <c r="H52" s="138"/>
      <c r="I52" s="2487"/>
      <c r="J52" s="1811">
        <v>1</v>
      </c>
      <c r="K52" s="3178" t="s">
        <v>2170</v>
      </c>
      <c r="L52" s="3178"/>
      <c r="M52" s="1753">
        <f>D48</f>
        <v>0</v>
      </c>
      <c r="N52" s="1811" t="str">
        <f>E48</f>
        <v>销售额×税（费）率</v>
      </c>
      <c r="O52" s="1754" t="str">
        <f>F48</f>
        <v>免征</v>
      </c>
    </row>
    <row r="53" spans="1:35" ht="12" customHeight="1">
      <c r="A53" s="183" t="s">
        <v>2171</v>
      </c>
      <c r="B53" s="3136" t="s">
        <v>2172</v>
      </c>
      <c r="C53" s="3137"/>
      <c r="D53" s="182">
        <f ca="1">ROUND(D45*'数据-取费表'!B41/(1+'数据-取费表'!C42),0)</f>
        <v>1668</v>
      </c>
      <c r="E53" s="11" t="s">
        <v>2169</v>
      </c>
      <c r="F53" s="184">
        <f>'数据-取费表'!B41</f>
        <v>5.6000000000000001E-2</v>
      </c>
      <c r="G53" s="2489"/>
      <c r="H53" s="138"/>
      <c r="I53" s="2487"/>
      <c r="J53" s="1811">
        <v>2</v>
      </c>
      <c r="K53" s="3178" t="s">
        <v>2173</v>
      </c>
      <c r="L53" s="3178"/>
      <c r="M53" s="1753">
        <f t="shared" ref="M53:O54" ca="1" si="0">D55</f>
        <v>16</v>
      </c>
      <c r="N53" s="1811" t="str">
        <f t="shared" si="0"/>
        <v>销售额×税（费）率</v>
      </c>
      <c r="O53" s="1754">
        <f t="shared" si="0"/>
        <v>5.0000000000000001E-4</v>
      </c>
    </row>
    <row r="54" spans="1:35" ht="12" customHeight="1">
      <c r="A54" s="183" t="s">
        <v>2174</v>
      </c>
      <c r="B54" s="3136" t="s">
        <v>2175</v>
      </c>
      <c r="C54" s="3137"/>
      <c r="D54" s="182">
        <f ca="1">C68</f>
        <v>1668</v>
      </c>
      <c r="E54" s="30" t="s">
        <v>2176</v>
      </c>
      <c r="F54" s="184">
        <f>'数据-取费表'!B41</f>
        <v>5.6000000000000001E-2</v>
      </c>
      <c r="G54" s="2489"/>
      <c r="H54" s="2490"/>
      <c r="I54" s="2487"/>
      <c r="J54" s="1811">
        <v>3</v>
      </c>
      <c r="K54" s="3178" t="s">
        <v>2177</v>
      </c>
      <c r="L54" s="3178"/>
      <c r="M54" s="1753">
        <f t="shared" ca="1" si="0"/>
        <v>17705</v>
      </c>
      <c r="N54" s="1811" t="str">
        <f t="shared" si="0"/>
        <v>增值额×税（费）率</v>
      </c>
      <c r="O54" s="1755" t="str">
        <f t="shared" si="0"/>
        <v>——</v>
      </c>
    </row>
    <row r="55" spans="1:35" ht="24" customHeight="1">
      <c r="A55" s="3127" t="s">
        <v>2178</v>
      </c>
      <c r="B55" s="3128"/>
      <c r="C55" s="3128"/>
      <c r="D55" s="185">
        <f ca="1">IF(H55="个人住宅",0,ROUND(D45*I55,0))</f>
        <v>16</v>
      </c>
      <c r="E55" s="11" t="s">
        <v>2179</v>
      </c>
      <c r="F55" s="184">
        <f>IF(H55="正常",I55,"免征")</f>
        <v>5.0000000000000001E-4</v>
      </c>
      <c r="G55" s="2489"/>
      <c r="H55" s="2486" t="s">
        <v>2180</v>
      </c>
      <c r="I55" s="186">
        <f>'数据-取费表'!B49</f>
        <v>5.0000000000000001E-4</v>
      </c>
      <c r="J55" s="1811" t="str">
        <f>IF(H59="非个人房产","",4)</f>
        <v/>
      </c>
      <c r="K55" s="3178" t="str">
        <f>IF(H59="非个人房产","——","个人所得税")</f>
        <v>——</v>
      </c>
      <c r="L55" s="3178"/>
      <c r="M55" s="1756" t="str">
        <f>D59</f>
        <v>——</v>
      </c>
      <c r="N55" s="1809" t="str">
        <f>E59</f>
        <v>——</v>
      </c>
      <c r="O55" s="1757" t="str">
        <f>F59</f>
        <v>——</v>
      </c>
    </row>
    <row r="56" spans="1:35" ht="24.75">
      <c r="A56" s="3127" t="s">
        <v>2181</v>
      </c>
      <c r="B56" s="3128"/>
      <c r="C56" s="3128"/>
      <c r="D56" s="185">
        <f ca="1">IF(H56="个人住宅",D57,D58)</f>
        <v>17705</v>
      </c>
      <c r="E56" s="11" t="s">
        <v>2182</v>
      </c>
      <c r="F56" s="184" t="str">
        <f>IF(H56="正常",F58,"免征")</f>
        <v>——</v>
      </c>
      <c r="G56" s="2491" t="s">
        <v>2183</v>
      </c>
      <c r="H56" s="2492" t="s">
        <v>2180</v>
      </c>
      <c r="I56" s="2493"/>
      <c r="J56" s="1811" t="str">
        <f>IF(项目基本情况!K6="上海银行",IF(J55="",4,J55+1),"")</f>
        <v/>
      </c>
      <c r="K56" s="3201" t="str">
        <f>IF(项目基本情况!K6="上海银行","其他处置费用","")</f>
        <v/>
      </c>
      <c r="L56" s="3202"/>
      <c r="M56" s="1753" t="str">
        <f>IF(项目基本情况!K6="上海银行",M69,"")</f>
        <v/>
      </c>
      <c r="N56" s="3204" t="str">
        <f>IF(项目基本情况!K6="上海银行","包含处置中涉及的律师、诉讼、拍卖、评估等费用","")</f>
        <v/>
      </c>
      <c r="O56" s="3205"/>
    </row>
    <row r="57" spans="1:35" ht="12.75">
      <c r="A57" s="183" t="s">
        <v>2156</v>
      </c>
      <c r="B57" s="3143" t="s">
        <v>2184</v>
      </c>
      <c r="C57" s="3152"/>
      <c r="D57" s="187">
        <v>0</v>
      </c>
      <c r="E57" s="23" t="s">
        <v>2158</v>
      </c>
      <c r="F57" s="155"/>
      <c r="G57" s="2489"/>
      <c r="H57" s="2493"/>
      <c r="I57" s="2493"/>
      <c r="J57" s="3178">
        <f>IF(AND(J55="",J56=""),4,IF(项目基本情况!K6="上海银行",结果表!J56+1,结果表!J55+1))</f>
        <v>4</v>
      </c>
      <c r="K57" s="3178" t="s">
        <v>2185</v>
      </c>
      <c r="L57" s="2494" t="s">
        <v>2186</v>
      </c>
      <c r="M57" s="1758"/>
      <c r="N57" s="1759">
        <f ca="1">SUMIF(M52:M56,"&lt;9e307")</f>
        <v>17721</v>
      </c>
      <c r="O57" s="2495"/>
      <c r="P57" s="1752">
        <f ca="1">N57/M49</f>
        <v>0.5665100220581184</v>
      </c>
    </row>
    <row r="58" spans="1:35" ht="24.75">
      <c r="A58" s="183" t="s">
        <v>2167</v>
      </c>
      <c r="B58" s="3143" t="s">
        <v>2187</v>
      </c>
      <c r="C58" s="3144"/>
      <c r="D58" s="185">
        <f ca="1">IF(H58="转让取得",C81,C97)</f>
        <v>17705</v>
      </c>
      <c r="E58" s="11" t="s">
        <v>2182</v>
      </c>
      <c r="F58" s="24" t="s">
        <v>34</v>
      </c>
      <c r="G58" s="2489"/>
      <c r="H58" s="2492" t="s">
        <v>2188</v>
      </c>
      <c r="I58" s="2493"/>
      <c r="J58" s="3178"/>
      <c r="K58" s="3178"/>
      <c r="L58" s="2494" t="s">
        <v>2189</v>
      </c>
      <c r="M58" s="1760"/>
      <c r="N58" s="2496" t="str">
        <f ca="1">NUMBERSTRING(INT(N57*10000),2)&amp;"元整"</f>
        <v>壹亿柒仟柒佰贰拾壹万元整</v>
      </c>
      <c r="O58" s="2497"/>
    </row>
    <row r="59" spans="1:35" ht="24.75" thickBot="1">
      <c r="A59" s="3181" t="s">
        <v>2190</v>
      </c>
      <c r="B59" s="3182"/>
      <c r="C59" s="3182"/>
      <c r="D59" s="188" t="str">
        <f>IF(H59="非个人房产","——",IF(H59="个人住宅",0,ROUND(D45*I59,0)))</f>
        <v>——</v>
      </c>
      <c r="E59" s="189" t="str">
        <f>IF(H59="非个人房产","——","销售额×税（费）率")</f>
        <v>——</v>
      </c>
      <c r="F59" s="190" t="str">
        <f>IF(H59="非个人房产","——",IF(H59="个人住宅","免征",I59))</f>
        <v>——</v>
      </c>
      <c r="G59" s="2498" t="s">
        <v>2183</v>
      </c>
      <c r="H59" s="2492" t="s">
        <v>2191</v>
      </c>
      <c r="I59" s="191">
        <v>0.01</v>
      </c>
      <c r="J59" s="3179">
        <f>J57+1</f>
        <v>5</v>
      </c>
      <c r="K59" s="3178" t="s">
        <v>2192</v>
      </c>
      <c r="L59" s="1811" t="s">
        <v>2186</v>
      </c>
      <c r="M59" s="1761"/>
      <c r="N59" s="1762">
        <f ca="1">M49-N57</f>
        <v>13560</v>
      </c>
      <c r="O59" s="2499"/>
    </row>
    <row r="60" spans="1:35" ht="12" customHeight="1">
      <c r="A60" s="2500"/>
      <c r="B60" s="2422"/>
      <c r="C60" s="2422"/>
      <c r="D60" s="2422"/>
      <c r="E60" s="2169"/>
      <c r="F60" s="2493"/>
      <c r="G60" s="2493"/>
      <c r="H60" s="2501"/>
      <c r="I60" s="138"/>
      <c r="J60" s="3180"/>
      <c r="K60" s="3178"/>
      <c r="L60" s="2494" t="s">
        <v>2189</v>
      </c>
      <c r="M60" s="1760"/>
      <c r="N60" s="2496" t="str">
        <f ca="1">NUMBERSTRING(INT(N59*10000),2)&amp;"元整"</f>
        <v>壹亿叁仟伍佰陆拾万元整</v>
      </c>
      <c r="O60" s="2497"/>
    </row>
    <row r="61" spans="1:35" ht="13.5" thickBot="1">
      <c r="A61" s="3125" t="s">
        <v>2193</v>
      </c>
      <c r="B61" s="3125"/>
      <c r="C61" s="3125"/>
      <c r="D61" s="3125"/>
      <c r="E61" s="3125"/>
      <c r="F61" s="2493"/>
      <c r="G61" s="2493"/>
      <c r="H61" s="2501"/>
      <c r="I61" s="138"/>
      <c r="J61" s="1811">
        <f>J59+1</f>
        <v>6</v>
      </c>
      <c r="K61" s="3178" t="s">
        <v>2194</v>
      </c>
      <c r="L61" s="3178"/>
      <c r="M61" s="1763"/>
      <c r="N61" s="1764">
        <f ca="1">ROUND(N59*10000/'数据-汇总表'!E3,0)</f>
        <v>3053</v>
      </c>
      <c r="O61" s="2502"/>
    </row>
    <row r="62" spans="1:35" ht="12.75">
      <c r="A62" s="3141" t="s">
        <v>2195</v>
      </c>
      <c r="B62" s="3142"/>
      <c r="C62" s="1803"/>
      <c r="D62" s="1803" t="s">
        <v>2196</v>
      </c>
      <c r="E62" s="192" t="s">
        <v>2197</v>
      </c>
      <c r="F62" s="2493"/>
      <c r="G62" s="2493"/>
      <c r="H62" s="2501"/>
      <c r="I62" s="138"/>
    </row>
    <row r="63" spans="1:35" ht="12.75">
      <c r="A63" s="203" t="s">
        <v>774</v>
      </c>
      <c r="B63" s="193" t="s">
        <v>2198</v>
      </c>
      <c r="C63" s="194">
        <f ca="1">ROUND((C64+C65)/(1+'数据-取费表'!C42),0)</f>
        <v>29791</v>
      </c>
      <c r="D63" s="195"/>
      <c r="E63" s="196"/>
      <c r="F63" s="2493"/>
      <c r="G63" s="2493"/>
      <c r="H63" s="2501"/>
      <c r="I63" s="138"/>
      <c r="J63" s="3203" t="s">
        <v>2199</v>
      </c>
      <c r="K63" s="2503" t="s">
        <v>2200</v>
      </c>
      <c r="L63" s="1751">
        <f ca="1">IF(M49&gt;10000,M49*0.5%,IF(AND(M49&gt;1000,M49&lt;=10000),M49*1%,IF(AND(M49&gt;100,M49&lt;=1000),M49*3%,IF(AND(M49&gt;10,M49&lt;=100),M49*5%,M49*8%))))</f>
        <v>156.405</v>
      </c>
      <c r="M63" s="24">
        <f ca="1">ROUND(L63,1)</f>
        <v>156.4</v>
      </c>
      <c r="Z63" s="2427"/>
      <c r="AI63" s="2428"/>
    </row>
    <row r="64" spans="1:35" ht="14.25" customHeight="1">
      <c r="A64" s="197" t="s">
        <v>769</v>
      </c>
      <c r="B64" s="198" t="s">
        <v>2201</v>
      </c>
      <c r="C64" s="199">
        <f ca="1">D45</f>
        <v>31281</v>
      </c>
      <c r="D64" s="200" t="s">
        <v>32</v>
      </c>
      <c r="E64" s="201"/>
      <c r="F64" s="2493"/>
      <c r="G64" s="2493"/>
      <c r="H64" s="2501"/>
      <c r="I64" s="138"/>
      <c r="J64" s="3203"/>
      <c r="K64" s="2503" t="s">
        <v>2202</v>
      </c>
      <c r="L64" s="1751">
        <f ca="1">IF(M49&gt;2000,M49*0.5%,IF(AND(M49&gt;1000,M49&lt;=2000),M49*0.6%,IF(AND(M49&gt;500,M49&lt;=1000),M49*0.7%,IF(AND(M49&gt;200,M49&lt;=500),M49*0.8%,IF(AND(M49&gt;100,M49&lt;=200),M49*0.9%,IF(AND(M49&gt;50,M49&lt;=100),M49*1%,IF(AND(M49&gt;20,M49&lt;=50),M49*1.5%,IF(AND(M49&gt;10,M49&lt;=20),M49*2%,IF(AND(M49&gt;1,M49&lt;=10),M49*2.5%)))))))))</f>
        <v>156.405</v>
      </c>
      <c r="M64" s="24">
        <f t="shared" ref="M64:M65" ca="1" si="1">ROUND(L64,1)</f>
        <v>156.4</v>
      </c>
      <c r="N64" s="138" t="s">
        <v>2203</v>
      </c>
      <c r="Z64" s="2427"/>
      <c r="AI64" s="2428"/>
    </row>
    <row r="65" spans="1:35" ht="14.25" customHeight="1">
      <c r="A65" s="197" t="s">
        <v>770</v>
      </c>
      <c r="B65" s="198" t="s">
        <v>2204</v>
      </c>
      <c r="C65" s="202"/>
      <c r="D65" s="200"/>
      <c r="E65" s="201"/>
      <c r="F65" s="2493"/>
      <c r="G65" s="2493"/>
      <c r="H65" s="2501"/>
      <c r="I65" s="138"/>
      <c r="J65" s="3203"/>
      <c r="K65" s="2503" t="s">
        <v>2205</v>
      </c>
      <c r="L65" s="1751">
        <f ca="1">IF(M49&gt;1000,M49*0.1%,IF(AND(M49&gt;500,M49&lt;=1000),M49*0.5%,IF(AND(M49&gt;50,M49&lt;=500),M49*1%,IF(AND(M49&gt;1,M49&lt;=50),M49*1.5%))))</f>
        <v>31.281000000000002</v>
      </c>
      <c r="M65" s="24">
        <f t="shared" ca="1" si="1"/>
        <v>31.3</v>
      </c>
      <c r="N65" s="138" t="s">
        <v>2203</v>
      </c>
      <c r="Z65" s="2427"/>
      <c r="AI65" s="2428"/>
    </row>
    <row r="66" spans="1:35" ht="14.25" customHeight="1">
      <c r="A66" s="203" t="s">
        <v>771</v>
      </c>
      <c r="B66" s="204" t="s">
        <v>2206</v>
      </c>
      <c r="C66" s="205"/>
      <c r="D66" s="206" t="s">
        <v>32</v>
      </c>
      <c r="E66" s="1775" t="s">
        <v>1367</v>
      </c>
      <c r="F66" s="2493"/>
      <c r="G66" s="2493"/>
      <c r="H66" s="2501"/>
      <c r="I66" s="138"/>
      <c r="J66" s="3203"/>
      <c r="K66" s="2503" t="s">
        <v>2207</v>
      </c>
      <c r="L66" s="1751">
        <f ca="1">M49*0.5%</f>
        <v>156.405</v>
      </c>
      <c r="M66" s="24">
        <f ca="1">IF(L66&gt;0.5,0.5,ROUND(L66,0))</f>
        <v>0.5</v>
      </c>
      <c r="N66" s="138" t="s">
        <v>2208</v>
      </c>
      <c r="Z66" s="2427"/>
      <c r="AI66" s="2428"/>
    </row>
    <row r="67" spans="1:35" ht="14.25" customHeight="1">
      <c r="A67" s="203" t="s">
        <v>772</v>
      </c>
      <c r="B67" s="204" t="s">
        <v>2209</v>
      </c>
      <c r="C67" s="207">
        <f ca="1">C63-C66</f>
        <v>29791</v>
      </c>
      <c r="D67" s="200" t="s">
        <v>32</v>
      </c>
      <c r="E67" s="201"/>
      <c r="F67" s="2493"/>
      <c r="G67" s="2493"/>
      <c r="H67" s="2501"/>
      <c r="I67" s="138"/>
      <c r="J67" s="3203"/>
      <c r="K67" s="2503" t="s">
        <v>2210</v>
      </c>
      <c r="L67" s="1751">
        <f ca="1">IF(M49&gt;=10000,(8.25+(M49-10000)*0.01%),IF(AND(M49&gt;=8000,M49&lt;10000),(7.85+(M49-8000)*0.02%),IF(AND(M49&gt;=5000,M49&lt;8000),(6.65+(M49-5000)*0.04%),IF(AND(M49&gt;=2000,M49&lt;5000),(4.25+(PM49-2000)*0.08%),IF(AND(M49&gt;=1000,M49&lt;2000),(2.75+(M49-1000)*0.15%),IF(AND(M49&gt;=100,M49&lt;1000),(0.5+(M49-100)*0.25%),IF(AND(M49&gt;0,M49&lt;100),M49*0.5%)))))))</f>
        <v>10.3781</v>
      </c>
      <c r="M67" s="24">
        <f ca="1">ROUND(L67*0.9,1)</f>
        <v>9.3000000000000007</v>
      </c>
      <c r="Z67" s="2427"/>
      <c r="AI67" s="2428"/>
    </row>
    <row r="68" spans="1:35" ht="14.25" customHeight="1" thickBot="1">
      <c r="A68" s="208" t="s">
        <v>773</v>
      </c>
      <c r="B68" s="209" t="s">
        <v>2211</v>
      </c>
      <c r="C68" s="210">
        <f ca="1">IF(C67&lt;=0,0,ROUND(C67*D68,0))</f>
        <v>1668</v>
      </c>
      <c r="D68" s="211">
        <f>'数据-取费表'!B41</f>
        <v>5.6000000000000001E-2</v>
      </c>
      <c r="E68" s="212"/>
      <c r="F68" s="2493"/>
      <c r="G68" s="2493"/>
      <c r="H68" s="2501"/>
      <c r="I68" s="138"/>
      <c r="J68" s="3203"/>
      <c r="K68" s="2503" t="s">
        <v>2212</v>
      </c>
      <c r="L68" s="1751">
        <f ca="1">IF(M49&gt;10000,M49*0.5%,IF(AND(M49&gt;5000,M49&lt;=10000),M49*1%,IF(AND(M49&gt;1000,M49&lt;=5000),M49*2%,IF(AND(M49&gt;200,M49&lt;=1000),M49*3%,M49*5%))))</f>
        <v>156.405</v>
      </c>
      <c r="M68" s="24">
        <f ca="1">ROUND(L68,1)</f>
        <v>156.4</v>
      </c>
      <c r="Z68" s="2427"/>
      <c r="AI68" s="2428"/>
    </row>
    <row r="69" spans="1:35" s="2450" customFormat="1" ht="16.5" customHeight="1">
      <c r="A69" s="2504"/>
      <c r="B69" s="2505"/>
      <c r="C69" s="2506"/>
      <c r="D69" s="2507"/>
      <c r="E69" s="2508"/>
      <c r="F69" s="2169"/>
      <c r="G69" s="2169"/>
      <c r="H69" s="2168"/>
      <c r="I69" s="2422"/>
      <c r="J69" s="3203"/>
      <c r="K69" s="2503" t="s">
        <v>2213</v>
      </c>
      <c r="L69" s="2509"/>
      <c r="M69" s="24">
        <f ca="1">ROUND(SUM(M63:M68),0)</f>
        <v>510</v>
      </c>
      <c r="N69" s="1752">
        <f ca="1">M69/M49</f>
        <v>1.6303826604008823E-2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62" t="s">
        <v>2214</v>
      </c>
      <c r="B70" s="3163"/>
      <c r="C70" s="3163"/>
      <c r="D70" s="3163"/>
      <c r="E70" s="3163"/>
      <c r="F70" s="3163"/>
      <c r="G70" s="3163"/>
      <c r="H70" s="3163"/>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41" t="s">
        <v>2195</v>
      </c>
      <c r="B71" s="3142"/>
      <c r="C71" s="1803"/>
      <c r="D71" s="1803" t="s">
        <v>2196</v>
      </c>
      <c r="E71" s="213" t="s">
        <v>2197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774</v>
      </c>
      <c r="B72" s="204" t="s">
        <v>2215</v>
      </c>
      <c r="C72" s="207">
        <f ca="1">ROUND(D45/(1+'数据-取费表'!C42),0)</f>
        <v>29791</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771</v>
      </c>
      <c r="B73" s="173" t="s">
        <v>2216</v>
      </c>
      <c r="C73" s="207">
        <f ca="1">C74+C78</f>
        <v>179</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769</v>
      </c>
      <c r="B74" s="198" t="s">
        <v>2217</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775</v>
      </c>
      <c r="B75" s="198" t="s">
        <v>2218</v>
      </c>
      <c r="C75" s="218"/>
      <c r="D75" s="200" t="s">
        <v>32</v>
      </c>
      <c r="E75" s="219" t="s">
        <v>2219</v>
      </c>
      <c r="F75" s="2515" t="s">
        <v>2220</v>
      </c>
      <c r="G75" s="219" t="s">
        <v>2221</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776</v>
      </c>
      <c r="B76" s="221" t="s">
        <v>2222</v>
      </c>
      <c r="C76" s="200">
        <f>IF(F75="购房发票",ROUND(C75*H75*D76,0),0)</f>
        <v>0</v>
      </c>
      <c r="D76" s="222">
        <v>0.05</v>
      </c>
      <c r="E76" s="3136" t="s">
        <v>2223</v>
      </c>
      <c r="F76" s="3113"/>
      <c r="G76" s="3113"/>
      <c r="H76" s="3161"/>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777</v>
      </c>
      <c r="B77" s="198" t="s">
        <v>2224</v>
      </c>
      <c r="C77" s="200">
        <f>ROUND(IF(G77="个人住宅",0,IF(G77="2016年5月1日前购买",C75*D77,C75*D77/(1+'数据-取费表'!C42))),0)</f>
        <v>0</v>
      </c>
      <c r="D77" s="223">
        <f>'数据-取费表'!B48+'数据-取费表'!B49</f>
        <v>4.0500000000000001E-2</v>
      </c>
      <c r="E77" s="15" t="s">
        <v>2225</v>
      </c>
      <c r="F77" s="224"/>
      <c r="G77" s="2517" t="s">
        <v>2226</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770</v>
      </c>
      <c r="B78" s="198" t="s">
        <v>2227</v>
      </c>
      <c r="C78" s="225">
        <f ca="1">ROUND(D45*D78/(1+'数据-取费表'!C42),0)</f>
        <v>179</v>
      </c>
      <c r="D78" s="226">
        <f>'数据-取费表'!B43</f>
        <v>6.000000000000001E-3</v>
      </c>
      <c r="E78" s="3122" t="s">
        <v>2228</v>
      </c>
      <c r="F78" s="3123"/>
      <c r="G78" s="3123"/>
      <c r="H78" s="3132"/>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778</v>
      </c>
      <c r="B79" s="204" t="s">
        <v>2229</v>
      </c>
      <c r="C79" s="207">
        <f ca="1">C72-C73</f>
        <v>29612</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779</v>
      </c>
      <c r="B80" s="204" t="s">
        <v>2230</v>
      </c>
      <c r="C80" s="227">
        <f ca="1">IF(C79&lt;=0,0,C79/C73)</f>
        <v>165.43016759776538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780</v>
      </c>
      <c r="B81" s="209" t="s">
        <v>2231</v>
      </c>
      <c r="C81" s="228">
        <f ca="1">ROUND(IF(C79&lt;=0,0,IF(C80&gt;=200%,C79*60%-C73*35%,IF(C80&gt;=100%,C79*50%-C73*15%,IF(C80&gt;=50%,C79*40%-C73*5%,IF(C80&lt;50%,C79*30%,0))))),0)</f>
        <v>17705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62" t="s">
        <v>2232</v>
      </c>
      <c r="B83" s="3163"/>
      <c r="C83" s="3163"/>
      <c r="D83" s="3163"/>
      <c r="E83" s="3163"/>
      <c r="F83" s="3163"/>
      <c r="G83" s="3163"/>
      <c r="H83" s="3163"/>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41" t="s">
        <v>2195</v>
      </c>
      <c r="B84" s="3142"/>
      <c r="C84" s="1803"/>
      <c r="D84" s="1803" t="s">
        <v>2196</v>
      </c>
      <c r="E84" s="213" t="s">
        <v>2197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774</v>
      </c>
      <c r="B85" s="204" t="s">
        <v>2215</v>
      </c>
      <c r="C85" s="207">
        <f ca="1">ROUND(D45/(1+'数据-取费表'!C42),0)</f>
        <v>29791</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771</v>
      </c>
      <c r="B86" s="173" t="s">
        <v>2216</v>
      </c>
      <c r="C86" s="207">
        <f ca="1">IF(H88="仅含出让金",C87+C90+C91+C92+C93+C94,C87+C91+C92+C93+C94)</f>
        <v>179</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769</v>
      </c>
      <c r="B87" s="198" t="s">
        <v>2233</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775</v>
      </c>
      <c r="B88" s="198" t="s">
        <v>2234</v>
      </c>
      <c r="C88" s="236"/>
      <c r="D88" s="226"/>
      <c r="E88" s="237" t="s">
        <v>2235</v>
      </c>
      <c r="F88" s="1799"/>
      <c r="G88" s="238" t="s">
        <v>2236</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776</v>
      </c>
      <c r="B89" s="198" t="s">
        <v>2224</v>
      </c>
      <c r="C89" s="225">
        <f>ROUND(C88*D89,0)</f>
        <v>0</v>
      </c>
      <c r="D89" s="226">
        <f>'数据-取费表'!B48+'数据-取费表'!B49</f>
        <v>4.0500000000000001E-2</v>
      </c>
      <c r="E89" s="237" t="s">
        <v>2237</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770</v>
      </c>
      <c r="B90" s="198" t="s">
        <v>2238</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2239</v>
      </c>
      <c r="B91" s="198" t="s">
        <v>2240</v>
      </c>
      <c r="C91" s="225">
        <f>IF(H91="——",成本法!C33,I91)</f>
        <v>0</v>
      </c>
      <c r="D91" s="226"/>
      <c r="E91" s="3122" t="s">
        <v>2241</v>
      </c>
      <c r="F91" s="3123"/>
      <c r="G91" s="3123"/>
      <c r="H91" s="2522" t="s">
        <v>2242</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2243</v>
      </c>
      <c r="B92" s="198" t="s">
        <v>2244</v>
      </c>
      <c r="C92" s="225">
        <f>ROUND((C87+C90+C91)*D92,0)</f>
        <v>0</v>
      </c>
      <c r="D92" s="226">
        <v>0.1</v>
      </c>
      <c r="E92" s="3122" t="s">
        <v>2245</v>
      </c>
      <c r="F92" s="3123"/>
      <c r="G92" s="3123"/>
      <c r="H92" s="3132"/>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2246</v>
      </c>
      <c r="B93" s="198" t="s">
        <v>2227</v>
      </c>
      <c r="C93" s="225">
        <f ca="1">ROUND(D45*D93/(1+'数据-取费表'!C42),0)</f>
        <v>179</v>
      </c>
      <c r="D93" s="226">
        <f>'数据-取费表'!B43</f>
        <v>6.000000000000001E-3</v>
      </c>
      <c r="E93" s="3122" t="s">
        <v>2228</v>
      </c>
      <c r="F93" s="3123"/>
      <c r="G93" s="3123"/>
      <c r="H93" s="3132"/>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2247</v>
      </c>
      <c r="B94" s="198" t="s">
        <v>2248</v>
      </c>
      <c r="C94" s="236">
        <f>ROUND((C87+C90+C91)*D94,0)</f>
        <v>0</v>
      </c>
      <c r="D94" s="226">
        <v>0.2</v>
      </c>
      <c r="E94" s="3133" t="s">
        <v>2249</v>
      </c>
      <c r="F94" s="3134"/>
      <c r="G94" s="3134"/>
      <c r="H94" s="313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778</v>
      </c>
      <c r="B95" s="204" t="s">
        <v>2229</v>
      </c>
      <c r="C95" s="207">
        <f ca="1">ROUND(C85-C86,0)</f>
        <v>29612</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779</v>
      </c>
      <c r="B96" s="204" t="s">
        <v>2230</v>
      </c>
      <c r="C96" s="227">
        <f ca="1">IF(C95&lt;=0,0,C95/C86)</f>
        <v>165.43016759776538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780</v>
      </c>
      <c r="B97" s="209" t="s">
        <v>2231</v>
      </c>
      <c r="C97" s="228">
        <f ca="1">ROUND(IF(C95&lt;=0,0,IF(C96&gt;=200%,C95*60%-C86*35%,IF(C96&gt;=100%,C95*50%-C86*15%,IF(C96&gt;=50%,C95*40%-C86*5%,IF(C96&lt;50%,C95*30%,0))))),0)</f>
        <v>17705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2250</v>
      </c>
      <c r="B99" s="2422"/>
      <c r="C99" s="2422"/>
      <c r="D99" s="2422"/>
      <c r="E99" s="2169"/>
      <c r="F99" s="2169"/>
      <c r="G99" s="2169"/>
      <c r="H99" s="2168"/>
      <c r="I99" s="138"/>
    </row>
    <row r="100" spans="1:35" ht="18.75" customHeight="1">
      <c r="A100" s="3107" t="s">
        <v>2251</v>
      </c>
      <c r="B100" s="3108"/>
      <c r="C100" s="3108"/>
      <c r="D100" s="3124"/>
      <c r="E100" s="3108" t="s">
        <v>2252</v>
      </c>
      <c r="F100" s="3108"/>
      <c r="G100" s="3108"/>
      <c r="H100" s="3124"/>
      <c r="I100" s="138"/>
    </row>
    <row r="101" spans="1:35" ht="18.75" customHeight="1">
      <c r="A101" s="3186" t="s">
        <v>2253</v>
      </c>
      <c r="B101" s="3187"/>
      <c r="C101" s="736" t="str">
        <f>C4</f>
        <v>成本法</v>
      </c>
      <c r="D101" s="737" t="str">
        <f>D4</f>
        <v>假设开发法</v>
      </c>
      <c r="E101" s="3200" t="s">
        <v>2254</v>
      </c>
      <c r="F101" s="3154"/>
      <c r="G101" s="2524" t="s">
        <v>2255</v>
      </c>
      <c r="H101" s="1048">
        <f ca="1">H118</f>
        <v>31281</v>
      </c>
      <c r="I101" s="138"/>
    </row>
    <row r="102" spans="1:35" ht="18.75" customHeight="1">
      <c r="A102" s="3156" t="s">
        <v>2256</v>
      </c>
      <c r="B102" s="2524" t="s">
        <v>2255</v>
      </c>
      <c r="C102" s="736">
        <f ca="1">C19</f>
        <v>34540</v>
      </c>
      <c r="D102" s="737">
        <f ca="1">D19</f>
        <v>26393</v>
      </c>
      <c r="E102" s="3200"/>
      <c r="F102" s="3154"/>
      <c r="G102" s="2524" t="s">
        <v>2257</v>
      </c>
      <c r="H102" s="371">
        <f ca="1">I118</f>
        <v>7043</v>
      </c>
      <c r="I102" s="138"/>
    </row>
    <row r="103" spans="1:35" ht="42.75" customHeight="1">
      <c r="A103" s="3156"/>
      <c r="B103" s="2524" t="s">
        <v>2257</v>
      </c>
      <c r="C103" s="738">
        <f ca="1">C20</f>
        <v>7777</v>
      </c>
      <c r="D103" s="739">
        <f ca="1">D20</f>
        <v>5943</v>
      </c>
      <c r="E103" s="3195" t="s">
        <v>2258</v>
      </c>
      <c r="F103" s="3196"/>
      <c r="G103" s="2525" t="s">
        <v>2259</v>
      </c>
      <c r="H103" s="1048">
        <f>IF(D36="正常操作",H104+H105+H106,H105+H106)</f>
        <v>0</v>
      </c>
      <c r="I103" s="138"/>
    </row>
    <row r="104" spans="1:35" ht="18.75" customHeight="1">
      <c r="A104" s="3156" t="s">
        <v>2260</v>
      </c>
      <c r="B104" s="2526" t="s">
        <v>2255</v>
      </c>
      <c r="C104" s="740">
        <f ca="1">H118</f>
        <v>31281</v>
      </c>
      <c r="D104" s="741"/>
      <c r="E104" s="2270" t="s">
        <v>2261</v>
      </c>
      <c r="F104" s="2261"/>
      <c r="G104" s="2525" t="s">
        <v>2259</v>
      </c>
      <c r="H104" s="1049">
        <f>IF(D36="同一抵押权人同一抵押物续贷",C36&amp;"（未扣减，详见特别提示）",C36)</f>
        <v>0</v>
      </c>
      <c r="I104" s="138"/>
    </row>
    <row r="105" spans="1:35" ht="18.75" customHeight="1" thickBot="1">
      <c r="A105" s="3157"/>
      <c r="B105" s="2527" t="s">
        <v>2257</v>
      </c>
      <c r="C105" s="742">
        <f ca="1">I118</f>
        <v>7043</v>
      </c>
      <c r="D105" s="743"/>
      <c r="E105" s="2270" t="s">
        <v>2262</v>
      </c>
      <c r="F105" s="2261"/>
      <c r="G105" s="2525" t="s">
        <v>2259</v>
      </c>
      <c r="H105" s="1049">
        <f>C37</f>
        <v>0</v>
      </c>
      <c r="I105" s="138"/>
    </row>
    <row r="106" spans="1:35" ht="18.75" customHeight="1">
      <c r="A106" s="2422" t="s">
        <v>2263</v>
      </c>
      <c r="B106" s="2422"/>
      <c r="C106" s="2422"/>
      <c r="D106" s="2422"/>
      <c r="E106" s="2528" t="s">
        <v>2264</v>
      </c>
      <c r="F106" s="2261"/>
      <c r="G106" s="2525" t="s">
        <v>2259</v>
      </c>
      <c r="H106" s="1049">
        <f>C38</f>
        <v>0</v>
      </c>
      <c r="I106" s="138"/>
    </row>
    <row r="107" spans="1:35" ht="18.75" customHeight="1">
      <c r="A107" s="138"/>
      <c r="B107" s="138"/>
      <c r="C107" s="138"/>
      <c r="D107" s="138"/>
      <c r="E107" s="3153" t="str">
        <f>IF(项目基本情况!E8="已注销","——","3.房地产抵押价值")</f>
        <v>3.房地产抵押价值</v>
      </c>
      <c r="F107" s="3154"/>
      <c r="G107" s="2524" t="s">
        <v>2255</v>
      </c>
      <c r="H107" s="1048">
        <f ca="1">IF(E107="——","——",H101-H103)</f>
        <v>31281</v>
      </c>
      <c r="I107" s="138"/>
    </row>
    <row r="108" spans="1:35" ht="18.75" customHeight="1">
      <c r="A108" s="138"/>
      <c r="B108" s="138"/>
      <c r="C108" s="138"/>
      <c r="D108" s="138"/>
      <c r="E108" s="3153"/>
      <c r="F108" s="3154"/>
      <c r="G108" s="2524" t="s">
        <v>2257</v>
      </c>
      <c r="H108" s="371">
        <f ca="1">ROUND(H107*10000/'数据-汇总表'!E3,0)</f>
        <v>7043</v>
      </c>
      <c r="I108" s="138"/>
    </row>
    <row r="109" spans="1:35" ht="18.75" customHeight="1">
      <c r="A109" s="138"/>
      <c r="B109" s="138"/>
      <c r="C109" s="138"/>
      <c r="D109" s="138"/>
      <c r="E109" s="3153" t="str">
        <f>IF(项目基本情况!E8="已注销及未注销","4.抵押担保权已注销时的房地产抵押价值",IF(项目基本情况!E8="已注销","3.抵押担保权已注销时的房地产抵押价值","——"))</f>
        <v>——</v>
      </c>
      <c r="F109" s="3154"/>
      <c r="G109" s="2524" t="s">
        <v>2255</v>
      </c>
      <c r="H109" s="348" t="str">
        <f>IF(E109="——","——",H101-H105-H106)</f>
        <v>——</v>
      </c>
      <c r="I109" s="138"/>
    </row>
    <row r="110" spans="1:35" ht="18.75" customHeight="1">
      <c r="A110" s="138"/>
      <c r="B110" s="138"/>
      <c r="C110" s="138"/>
      <c r="D110" s="138"/>
      <c r="E110" s="3153"/>
      <c r="F110" s="3154"/>
      <c r="G110" s="2524" t="s">
        <v>2257</v>
      </c>
      <c r="H110" s="371" t="str">
        <f>IF(H109="——","——",ROUND(H109*10000/'数据-汇总表'!E3,0))</f>
        <v>——</v>
      </c>
      <c r="I110" s="138"/>
    </row>
    <row r="111" spans="1:35" ht="18.75" customHeight="1">
      <c r="A111" s="138"/>
      <c r="B111" s="138"/>
      <c r="C111" s="138"/>
      <c r="D111" s="138"/>
      <c r="E111" s="3188" t="str">
        <f>IF(项目基本情况!E9="抵押净值",IF(OR(项目基本情况!E8="已注销",项目基本情况!E8="房地产抵押价值"),"4.抵押净值","5.抵押净值"),"——")</f>
        <v>——</v>
      </c>
      <c r="F111" s="3189"/>
      <c r="G111" s="2524" t="s">
        <v>2255</v>
      </c>
      <c r="H111" s="1048" t="str">
        <f>IF(E111="——","——",N59)</f>
        <v>——</v>
      </c>
      <c r="I111" s="138"/>
    </row>
    <row r="112" spans="1:35" ht="18.75" customHeight="1" thickBot="1">
      <c r="A112" s="138"/>
      <c r="B112" s="138"/>
      <c r="C112" s="138"/>
      <c r="D112" s="138"/>
      <c r="E112" s="3190"/>
      <c r="F112" s="3191"/>
      <c r="G112" s="2529" t="s">
        <v>2257</v>
      </c>
      <c r="H112" s="790" t="str">
        <f>IF(E111="——","——",N61)</f>
        <v>——</v>
      </c>
      <c r="I112" s="138"/>
    </row>
    <row r="113" spans="1:11" ht="18.75" customHeight="1">
      <c r="A113" s="138"/>
      <c r="B113" s="138"/>
      <c r="C113" s="138"/>
      <c r="D113" s="138"/>
      <c r="E113" s="3158" t="s">
        <v>2263</v>
      </c>
      <c r="F113" s="3158"/>
      <c r="G113" s="3158"/>
      <c r="H113" s="3158"/>
      <c r="I113" s="138"/>
    </row>
    <row r="114" spans="1:11" ht="3.75" customHeight="1">
      <c r="A114" s="2422"/>
      <c r="B114" s="2422"/>
      <c r="C114" s="2422"/>
      <c r="D114" s="2422"/>
      <c r="E114" s="2500"/>
      <c r="F114" s="2500"/>
      <c r="G114" s="2500"/>
      <c r="H114" s="2500"/>
      <c r="I114" s="2422"/>
    </row>
    <row r="115" spans="1:11" ht="18.75" customHeight="1">
      <c r="A115" s="3171" t="s">
        <v>2265</v>
      </c>
      <c r="B115" s="3172"/>
      <c r="C115" s="3172"/>
      <c r="D115" s="3172"/>
      <c r="E115" s="3172"/>
      <c r="F115" s="3172"/>
      <c r="G115" s="3172"/>
      <c r="H115" s="3172"/>
      <c r="I115" s="3173"/>
    </row>
    <row r="116" spans="1:11" ht="27" customHeight="1">
      <c r="A116" s="3064" t="s">
        <v>2266</v>
      </c>
      <c r="B116" s="3159" t="s">
        <v>2267</v>
      </c>
      <c r="C116" s="3159" t="s">
        <v>2268</v>
      </c>
      <c r="D116" s="3175" t="s">
        <v>2269</v>
      </c>
      <c r="E116" s="3176"/>
      <c r="F116" s="3167" t="s">
        <v>2270</v>
      </c>
      <c r="G116" s="3167"/>
      <c r="H116" s="3064" t="s">
        <v>2271</v>
      </c>
      <c r="I116" s="3064"/>
    </row>
    <row r="117" spans="1:11" ht="18.75" customHeight="1">
      <c r="A117" s="3064"/>
      <c r="B117" s="3160"/>
      <c r="C117" s="3160"/>
      <c r="D117" s="1797" t="s">
        <v>2272</v>
      </c>
      <c r="E117" s="1797" t="s">
        <v>2273</v>
      </c>
      <c r="F117" s="1797" t="s">
        <v>2272</v>
      </c>
      <c r="G117" s="1797" t="s">
        <v>2274</v>
      </c>
      <c r="H117" s="1797" t="s">
        <v>2272</v>
      </c>
      <c r="I117" s="1797" t="s">
        <v>2274</v>
      </c>
    </row>
    <row r="118" spans="1:11" ht="24.75" customHeight="1">
      <c r="A118" s="2530" t="str">
        <f>项目基本情况!S2</f>
        <v>湖南省长沙市出让国有建设用地使用权及在建建筑物房地产</v>
      </c>
      <c r="B118" s="1797">
        <f>M18</f>
        <v>44412.450000000026</v>
      </c>
      <c r="C118" s="1797">
        <f>M19</f>
        <v>6969.29</v>
      </c>
      <c r="D118" s="1797">
        <f ca="1">ROUND(IF(D32="总价",C34,E118*B118/10000),0)</f>
        <v>22710</v>
      </c>
      <c r="E118" s="1797">
        <f ca="1">ROUND(IF(C33="自定义",IF(D32="楼面单价",C34,D118*10000/B118),I118-G118),0)</f>
        <v>5113</v>
      </c>
      <c r="F118" s="1797">
        <f ca="1">ROUND(IF(D32="总价",C35,G118*B118/10000),0)</f>
        <v>8571</v>
      </c>
      <c r="G118" s="1797">
        <f ca="1">ROUND(IF(D32="楼面单价",C35,F118*10000/B118),0)</f>
        <v>1930</v>
      </c>
      <c r="H118" s="1797">
        <f ca="1">ROUND(IF(D32="总价",C32,I118*B118/10000),0)</f>
        <v>31281</v>
      </c>
      <c r="I118" s="1797">
        <f ca="1">ROUND(IF(D32="楼面单价",C32,H118*10000/B118),0)</f>
        <v>7043</v>
      </c>
    </row>
    <row r="119" spans="1:11" ht="18.75" customHeight="1">
      <c r="A119" s="3064" t="s">
        <v>2275</v>
      </c>
      <c r="B119" s="3064"/>
      <c r="C119" s="3064"/>
      <c r="D119" s="3164" t="str">
        <f ca="1">NUMBERSTRING(INT(D118*10000),2)&amp;"元整"</f>
        <v>贰亿贰仟柒佰壹拾万元整</v>
      </c>
      <c r="E119" s="3166"/>
      <c r="F119" s="3164" t="str">
        <f ca="1">NUMBERSTRING(INT(F118*10000),2)&amp;"元整"</f>
        <v>捌仟伍佰柒拾壹万元整</v>
      </c>
      <c r="G119" s="3166"/>
      <c r="H119" s="3164" t="str">
        <f ca="1">NUMBERSTRING(INT(H118*10000),2)&amp;"元整"</f>
        <v>叁亿壹仟贰佰捌拾壹万元整</v>
      </c>
      <c r="I119" s="3166"/>
    </row>
    <row r="120" spans="1:11" ht="18.75" customHeight="1">
      <c r="A120" s="3192" t="str">
        <f>IF(项目基本情况!B9="房地产市场价值","",MID(E103,3,LEN(E103)-2))</f>
        <v>估价师知悉的法定优先受偿款</v>
      </c>
      <c r="B120" s="3193"/>
      <c r="C120" s="3194"/>
      <c r="D120" s="3192">
        <f>H103</f>
        <v>0</v>
      </c>
      <c r="E120" s="3193"/>
      <c r="F120" s="3193"/>
      <c r="G120" s="3193"/>
      <c r="H120" s="3193"/>
      <c r="I120" s="3194"/>
      <c r="K120" s="2427" t="str">
        <f>IF(D120=0,"故，本次评估不存在"&amp;A120,"故，本次评估"&amp;A120&amp;"为人民币"&amp;D120&amp;"万元整。")</f>
        <v>故，本次评估不存在估价师知悉的法定优先受偿款</v>
      </c>
    </row>
    <row r="121" spans="1:11" ht="18.75" customHeight="1">
      <c r="A121" s="3168" t="s">
        <v>2275</v>
      </c>
      <c r="B121" s="3169"/>
      <c r="C121" s="3170"/>
      <c r="D121" s="3164" t="str">
        <f>IF(D120=0,"零元整",NUMBERSTRING(INT(D120*10000),2)&amp;"元整")</f>
        <v>零元整</v>
      </c>
      <c r="E121" s="3165"/>
      <c r="F121" s="3165"/>
      <c r="G121" s="3165"/>
      <c r="H121" s="3165"/>
      <c r="I121" s="3166"/>
    </row>
    <row r="122" spans="1:11" ht="18.75" customHeight="1">
      <c r="A122" s="3155" t="str">
        <f>IF(项目基本情况!B9="房地产市场价值","",MID(E107,3,LEN(E107)-2))</f>
        <v>房地产抵押价值</v>
      </c>
      <c r="B122" s="3155"/>
      <c r="C122" s="3155"/>
      <c r="D122" s="3192">
        <f ca="1">H107</f>
        <v>31281</v>
      </c>
      <c r="E122" s="3193"/>
      <c r="F122" s="3193"/>
      <c r="G122" s="3193"/>
      <c r="H122" s="3193"/>
      <c r="I122" s="3194"/>
    </row>
    <row r="123" spans="1:11" ht="18.75" customHeight="1">
      <c r="A123" s="3064" t="s">
        <v>2275</v>
      </c>
      <c r="B123" s="3064"/>
      <c r="C123" s="3064"/>
      <c r="D123" s="3164" t="str">
        <f ca="1">NUMBERSTRING(INT(D122*10000),2)&amp;"元整"</f>
        <v>叁亿壹仟贰佰捌拾壹万元整</v>
      </c>
      <c r="E123" s="3165"/>
      <c r="F123" s="3165"/>
      <c r="G123" s="3165"/>
      <c r="H123" s="3165"/>
      <c r="I123" s="3166"/>
    </row>
    <row r="124" spans="1:11" ht="18.75" customHeight="1">
      <c r="A124" s="3155" t="str">
        <f>IF(项目基本情况!B9="房地产市场价值","",MID(E109,3,LEN(E109)-2))</f>
        <v/>
      </c>
      <c r="B124" s="3155"/>
      <c r="C124" s="3155"/>
      <c r="D124" s="3192" t="str">
        <f>H109</f>
        <v>——</v>
      </c>
      <c r="E124" s="3193"/>
      <c r="F124" s="3193"/>
      <c r="G124" s="3193"/>
      <c r="H124" s="3193"/>
      <c r="I124" s="3194"/>
    </row>
    <row r="125" spans="1:11" ht="18.75" customHeight="1">
      <c r="A125" s="3064" t="s">
        <v>2275</v>
      </c>
      <c r="B125" s="3064"/>
      <c r="C125" s="3064"/>
      <c r="D125" s="3164" t="e">
        <f>NUMBERSTRING(INT(D124*10000),2)&amp;"元整"</f>
        <v>#VALUE!</v>
      </c>
      <c r="E125" s="3165"/>
      <c r="F125" s="3165"/>
      <c r="G125" s="3165"/>
      <c r="H125" s="3165"/>
      <c r="I125" s="3166"/>
    </row>
    <row r="126" spans="1:11" ht="18.75" customHeight="1">
      <c r="A126" s="3155" t="str">
        <f>IF(项目基本情况!B9="房地产市场价值","",MID(E111,3,LEN(E111)-2))</f>
        <v/>
      </c>
      <c r="B126" s="3155"/>
      <c r="C126" s="3155"/>
      <c r="D126" s="3192" t="str">
        <f>H111</f>
        <v>——</v>
      </c>
      <c r="E126" s="3193"/>
      <c r="F126" s="3193"/>
      <c r="G126" s="3193"/>
      <c r="H126" s="3193"/>
      <c r="I126" s="3194"/>
    </row>
    <row r="127" spans="1:11" ht="18.75" customHeight="1">
      <c r="A127" s="3064" t="s">
        <v>2275</v>
      </c>
      <c r="B127" s="3064"/>
      <c r="C127" s="3064"/>
      <c r="D127" s="3164" t="e">
        <f>NUMBERSTRING(INT(D126*10000),2)&amp;"元整"</f>
        <v>#VALUE!</v>
      </c>
      <c r="E127" s="3165"/>
      <c r="F127" s="3165"/>
      <c r="G127" s="3165"/>
      <c r="H127" s="3165"/>
      <c r="I127" s="3166"/>
    </row>
    <row r="128" spans="1:11" ht="21.75" customHeight="1">
      <c r="A128" s="3174" t="s">
        <v>2276</v>
      </c>
      <c r="B128" s="3174"/>
      <c r="C128" s="3174"/>
      <c r="D128" s="3174"/>
      <c r="E128" s="3174"/>
      <c r="F128" s="3174"/>
      <c r="G128" s="3174"/>
      <c r="H128" s="3174"/>
      <c r="I128" s="3174"/>
    </row>
    <row r="129" spans="1:35" ht="21.75" customHeight="1">
      <c r="A129" s="2531" t="s">
        <v>2277</v>
      </c>
      <c r="B129" s="2532"/>
      <c r="C129" s="2533" t="s">
        <v>2278</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2279</v>
      </c>
      <c r="G135" s="2548"/>
      <c r="H135" s="2548"/>
      <c r="I135" s="2549" t="s">
        <v>2280</v>
      </c>
    </row>
    <row r="136" spans="1:35" ht="21.75" customHeight="1">
      <c r="A136" s="795"/>
      <c r="B136" s="2550" t="s">
        <v>2281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2282</v>
      </c>
    </row>
    <row r="139" spans="1:35" ht="21.75" customHeight="1">
      <c r="A139" s="795"/>
      <c r="B139" s="2550" t="s">
        <v>2283</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2282</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56" sqref="F5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2698</v>
      </c>
      <c r="B1" s="395"/>
      <c r="C1" s="396" t="s">
        <v>2699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2285</v>
      </c>
      <c r="B2" s="671">
        <f>F66</f>
        <v>19421</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2287</v>
      </c>
      <c r="B3" s="609">
        <f>ROUND(IF(D3="",B2*10000/'数据-汇总表'!E3,B2*10000/D3),0)</f>
        <v>4373</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2599</v>
      </c>
      <c r="B4" s="402"/>
      <c r="C4" s="3210" t="s">
        <v>2600</v>
      </c>
      <c r="D4" s="3223"/>
      <c r="E4" s="3224" t="s">
        <v>2601</v>
      </c>
      <c r="F4" s="3225"/>
      <c r="G4" s="3210" t="s">
        <v>2602</v>
      </c>
      <c r="H4" s="3223"/>
      <c r="I4" s="3210" t="s">
        <v>2603</v>
      </c>
      <c r="J4" s="3223"/>
      <c r="K4" s="610" t="s">
        <v>2604</v>
      </c>
      <c r="L4" s="1133"/>
      <c r="M4" s="1134"/>
      <c r="N4" s="1134"/>
      <c r="O4" s="1134"/>
      <c r="P4" s="3226" t="s">
        <v>2605</v>
      </c>
      <c r="Q4" s="3227"/>
      <c r="R4" s="3232" t="s">
        <v>2601</v>
      </c>
      <c r="S4" s="3233"/>
      <c r="T4" s="3232" t="s">
        <v>2602</v>
      </c>
      <c r="U4" s="3233"/>
      <c r="V4" s="3219" t="s">
        <v>2603</v>
      </c>
      <c r="W4" s="3219"/>
      <c r="X4" s="1815"/>
      <c r="Y4" s="3232" t="s">
        <v>2605</v>
      </c>
      <c r="Z4" s="3233"/>
      <c r="AA4" s="3220" t="s">
        <v>2601</v>
      </c>
      <c r="AB4" s="3221" t="s">
        <v>2602</v>
      </c>
      <c r="AC4" s="3220" t="s">
        <v>2603</v>
      </c>
    </row>
    <row r="5" spans="1:30" ht="15">
      <c r="A5" s="404"/>
      <c r="B5" s="405"/>
      <c r="C5" s="3245" t="s">
        <v>3094</v>
      </c>
      <c r="D5" s="3241"/>
      <c r="E5" s="3248" t="s">
        <v>3044</v>
      </c>
      <c r="F5" s="3249"/>
      <c r="G5" s="3240" t="s">
        <v>3045</v>
      </c>
      <c r="H5" s="3241"/>
      <c r="I5" s="3240" t="s">
        <v>3046</v>
      </c>
      <c r="J5" s="3241"/>
      <c r="K5" s="610"/>
      <c r="L5" s="1133"/>
      <c r="M5" s="1134"/>
      <c r="N5" s="1134"/>
      <c r="O5" s="1134"/>
      <c r="P5" s="3228"/>
      <c r="Q5" s="3229"/>
      <c r="R5" s="3234"/>
      <c r="S5" s="3235"/>
      <c r="T5" s="3234"/>
      <c r="U5" s="3235"/>
      <c r="V5" s="3219"/>
      <c r="W5" s="3219"/>
      <c r="X5" s="1815"/>
      <c r="Y5" s="3234"/>
      <c r="Z5" s="3235"/>
      <c r="AA5" s="3221"/>
      <c r="AB5" s="3221"/>
      <c r="AC5" s="3221"/>
    </row>
    <row r="6" spans="1:30" ht="15.75" thickBot="1">
      <c r="A6" s="406"/>
      <c r="B6" s="407"/>
      <c r="C6" s="3238" t="s">
        <v>2501</v>
      </c>
      <c r="D6" s="3239"/>
      <c r="E6" s="3246" t="s">
        <v>2501</v>
      </c>
      <c r="F6" s="3247"/>
      <c r="G6" s="3238" t="s">
        <v>2501</v>
      </c>
      <c r="H6" s="3239"/>
      <c r="I6" s="3238" t="s">
        <v>2501</v>
      </c>
      <c r="J6" s="3239"/>
      <c r="K6" s="610" t="s">
        <v>2502</v>
      </c>
      <c r="L6" s="1133"/>
      <c r="M6" s="1134"/>
      <c r="N6" s="1134"/>
      <c r="O6" s="1134"/>
      <c r="P6" s="3230"/>
      <c r="Q6" s="3231"/>
      <c r="R6" s="3234"/>
      <c r="S6" s="3235"/>
      <c r="T6" s="3236"/>
      <c r="U6" s="3237"/>
      <c r="V6" s="3219"/>
      <c r="W6" s="3219"/>
      <c r="X6" s="1815"/>
      <c r="Y6" s="3236"/>
      <c r="Z6" s="3237"/>
      <c r="AA6" s="3222"/>
      <c r="AB6" s="3222"/>
      <c r="AC6" s="3222"/>
    </row>
    <row r="7" spans="1:30" s="117" customFormat="1" ht="15.75" thickBot="1">
      <c r="A7" s="408" t="s">
        <v>2503</v>
      </c>
      <c r="B7" s="409"/>
      <c r="C7" s="410">
        <f>'数据-取费表'!B2</f>
        <v>43321</v>
      </c>
      <c r="D7" s="411">
        <v>100</v>
      </c>
      <c r="E7" s="412">
        <v>42787</v>
      </c>
      <c r="F7" s="413">
        <f>SUMIF(70:70,YEAR(E7)&amp;"-"&amp;INT((MONTH(E7)+2)/3),71:71)</f>
        <v>94</v>
      </c>
      <c r="G7" s="2702">
        <v>42706</v>
      </c>
      <c r="H7" s="411">
        <f>SUMIF(70:70,YEAR(G7)&amp;"-"&amp;INT((MONTH(G7)+2)/3),71:71)</f>
        <v>93</v>
      </c>
      <c r="I7" s="2702">
        <v>43322</v>
      </c>
      <c r="J7" s="411">
        <f>SUMIF(70:70,YEAR(I7)&amp;"-"&amp;INT((MONTH(I7)+2)/3),71:71)</f>
        <v>100</v>
      </c>
      <c r="K7" s="611"/>
      <c r="L7" s="1135"/>
      <c r="M7" s="1136"/>
      <c r="N7" s="1136"/>
      <c r="O7" s="1136"/>
      <c r="P7" s="3242" t="s">
        <v>2504</v>
      </c>
      <c r="Q7" s="3244"/>
      <c r="R7" s="770" t="s">
        <v>17</v>
      </c>
      <c r="S7" s="771">
        <f t="shared" ref="S7:S15" si="0">F7</f>
        <v>94</v>
      </c>
      <c r="T7" s="770" t="s">
        <v>17</v>
      </c>
      <c r="U7" s="771">
        <f t="shared" ref="U7:U15" si="1">H7</f>
        <v>93</v>
      </c>
      <c r="V7" s="770" t="s">
        <v>17</v>
      </c>
      <c r="W7" s="771">
        <f t="shared" ref="W7:W15" si="2">J7</f>
        <v>100</v>
      </c>
      <c r="X7" s="772"/>
      <c r="Y7" s="3242" t="s">
        <v>2504</v>
      </c>
      <c r="Z7" s="3243"/>
      <c r="AA7" s="773">
        <f>D7/F7</f>
        <v>1.0638297872340425</v>
      </c>
      <c r="AB7" s="773">
        <f>D7/H7</f>
        <v>1.075268817204301</v>
      </c>
      <c r="AC7" s="773">
        <f>D7/J7</f>
        <v>1</v>
      </c>
    </row>
    <row r="8" spans="1:30" s="117" customFormat="1" ht="15.75" thickBot="1">
      <c r="A8" s="408" t="s">
        <v>2505</v>
      </c>
      <c r="B8" s="409"/>
      <c r="C8" s="414" t="s">
        <v>3047</v>
      </c>
      <c r="D8" s="411">
        <v>100</v>
      </c>
      <c r="E8" s="414" t="s">
        <v>3047</v>
      </c>
      <c r="F8" s="413">
        <f>SUMIF(73:73,E8,74:74)-SUMIF(73:73,C8,74:74)+100</f>
        <v>100</v>
      </c>
      <c r="G8" s="414" t="s">
        <v>3047</v>
      </c>
      <c r="H8" s="411">
        <f>SUMIF(73:73,G8,74:74)-SUMIF(73:73,C8,74:74)+100</f>
        <v>100</v>
      </c>
      <c r="I8" s="414" t="s">
        <v>3047</v>
      </c>
      <c r="J8" s="411">
        <f>SUMIF(73:73,I8,74:74)-SUMIF(73:73,C8,74:74)+100</f>
        <v>100</v>
      </c>
      <c r="K8" s="611"/>
      <c r="L8" s="1135"/>
      <c r="M8" s="1136"/>
      <c r="N8" s="1136"/>
      <c r="O8" s="1136"/>
      <c r="P8" s="3242" t="s">
        <v>2507</v>
      </c>
      <c r="Q8" s="3243"/>
      <c r="R8" s="770" t="s">
        <v>17</v>
      </c>
      <c r="S8" s="771">
        <f t="shared" si="0"/>
        <v>100</v>
      </c>
      <c r="T8" s="770" t="s">
        <v>17</v>
      </c>
      <c r="U8" s="771">
        <f t="shared" si="1"/>
        <v>100</v>
      </c>
      <c r="V8" s="770" t="s">
        <v>17</v>
      </c>
      <c r="W8" s="771">
        <f t="shared" si="2"/>
        <v>100</v>
      </c>
      <c r="X8" s="772"/>
      <c r="Y8" s="3242" t="s">
        <v>2507</v>
      </c>
      <c r="Z8" s="3243"/>
      <c r="AA8" s="773">
        <f t="shared" ref="AA8:AA45" si="3">D8/F8</f>
        <v>1</v>
      </c>
      <c r="AB8" s="773">
        <f t="shared" ref="AB8:AB45" si="4">D8/H8</f>
        <v>1</v>
      </c>
      <c r="AC8" s="773">
        <f t="shared" ref="AC8:AC45" si="5">D8/J8</f>
        <v>1</v>
      </c>
    </row>
    <row r="9" spans="1:30" s="117" customFormat="1">
      <c r="A9" s="415" t="s">
        <v>2508</v>
      </c>
      <c r="B9" s="71" t="s">
        <v>2509</v>
      </c>
      <c r="C9" s="2705" t="s">
        <v>3048</v>
      </c>
      <c r="D9" s="135">
        <v>100</v>
      </c>
      <c r="E9" s="2705" t="s">
        <v>3048</v>
      </c>
      <c r="F9" s="135">
        <f>SUMIF(75:75,E9,76:76)-SUMIF(75:75,C9,76:76)+100</f>
        <v>100</v>
      </c>
      <c r="G9" s="2705" t="s">
        <v>3048</v>
      </c>
      <c r="H9" s="135">
        <f>SUMIF(75:75,G9,76:76)-SUMIF(75:75,C9,76:76)+100</f>
        <v>100</v>
      </c>
      <c r="I9" s="2705" t="s">
        <v>3048</v>
      </c>
      <c r="J9" s="135">
        <f>SUMIF(75:75,I9,76:76)-SUMIF(75:75,C9,76:76)+100</f>
        <v>100</v>
      </c>
      <c r="K9" s="611"/>
      <c r="L9" s="1135"/>
      <c r="M9" s="1136"/>
      <c r="N9" s="1136"/>
      <c r="O9" s="1137"/>
      <c r="P9" s="3213" t="s">
        <v>2510</v>
      </c>
      <c r="Q9" s="1797" t="str">
        <f t="shared" ref="Q9:Q15" si="6">B9</f>
        <v>用途</v>
      </c>
      <c r="R9" s="770" t="s">
        <v>17</v>
      </c>
      <c r="S9" s="771">
        <f t="shared" si="0"/>
        <v>100</v>
      </c>
      <c r="T9" s="770" t="s">
        <v>17</v>
      </c>
      <c r="U9" s="771">
        <f t="shared" si="1"/>
        <v>100</v>
      </c>
      <c r="V9" s="770" t="s">
        <v>17</v>
      </c>
      <c r="W9" s="771">
        <f t="shared" si="2"/>
        <v>100</v>
      </c>
      <c r="X9" s="772"/>
      <c r="Y9" s="3064" t="s">
        <v>2511</v>
      </c>
      <c r="Z9" s="55" t="str">
        <f t="shared" ref="Z9:Z15" si="7">Q9</f>
        <v>用途</v>
      </c>
      <c r="AA9" s="773">
        <f t="shared" si="3"/>
        <v>1</v>
      </c>
      <c r="AB9" s="773">
        <f t="shared" si="4"/>
        <v>1</v>
      </c>
      <c r="AC9" s="773">
        <f t="shared" si="5"/>
        <v>1</v>
      </c>
    </row>
    <row r="10" spans="1:30" s="427" customFormat="1" ht="28.5">
      <c r="A10" s="421"/>
      <c r="B10" s="422" t="s">
        <v>2512</v>
      </c>
      <c r="C10" s="432" t="s">
        <v>3050</v>
      </c>
      <c r="D10" s="136">
        <v>100</v>
      </c>
      <c r="E10" s="465" t="s">
        <v>3076</v>
      </c>
      <c r="F10" s="136">
        <f>ROUND(100/'数据-取费表'!G16,0)</f>
        <v>103</v>
      </c>
      <c r="G10" s="463" t="s">
        <v>3076</v>
      </c>
      <c r="H10" s="136">
        <f>ROUND(100/'数据-取费表'!G16,0)</f>
        <v>103</v>
      </c>
      <c r="I10" s="463" t="s">
        <v>3076</v>
      </c>
      <c r="J10" s="136">
        <f>ROUND(100/'数据-取费表'!G16,0)</f>
        <v>103</v>
      </c>
      <c r="K10" s="672"/>
      <c r="L10" s="1138"/>
      <c r="M10" s="1139"/>
      <c r="N10" s="1139"/>
      <c r="O10" s="1140"/>
      <c r="P10" s="3213"/>
      <c r="Q10" s="1797" t="str">
        <f t="shared" si="6"/>
        <v>土地使用年限（年）</v>
      </c>
      <c r="R10" s="770" t="s">
        <v>17</v>
      </c>
      <c r="S10" s="771">
        <f t="shared" si="0"/>
        <v>103</v>
      </c>
      <c r="T10" s="770" t="s">
        <v>17</v>
      </c>
      <c r="U10" s="771">
        <f t="shared" si="1"/>
        <v>103</v>
      </c>
      <c r="V10" s="770" t="s">
        <v>17</v>
      </c>
      <c r="W10" s="771">
        <f t="shared" si="2"/>
        <v>103</v>
      </c>
      <c r="X10" s="772"/>
      <c r="Y10" s="3064"/>
      <c r="Z10" s="55" t="str">
        <f t="shared" si="7"/>
        <v>土地使用年限（年）</v>
      </c>
      <c r="AA10" s="773">
        <f t="shared" si="3"/>
        <v>0.970873786407767</v>
      </c>
      <c r="AB10" s="773">
        <f t="shared" si="4"/>
        <v>0.970873786407767</v>
      </c>
      <c r="AC10" s="773">
        <f t="shared" si="5"/>
        <v>0.970873786407767</v>
      </c>
    </row>
    <row r="11" spans="1:30" ht="15">
      <c r="A11" s="428"/>
      <c r="B11" s="422" t="s">
        <v>2513</v>
      </c>
      <c r="C11" s="429">
        <f>'数据-汇总表'!I4</f>
        <v>6.25</v>
      </c>
      <c r="D11" s="136">
        <v>100</v>
      </c>
      <c r="E11" s="429">
        <v>3</v>
      </c>
      <c r="F11" s="136">
        <f>LOOKUP(E11,80:80,81:81)-LOOKUP(C11,80:80,81:81)+100</f>
        <v>106</v>
      </c>
      <c r="G11" s="430">
        <v>2.5</v>
      </c>
      <c r="H11" s="136">
        <f>LOOKUP(G11,80:80,81:81)-LOOKUP(C11,80:80,81:81)+100</f>
        <v>108</v>
      </c>
      <c r="I11" s="429">
        <v>5.8</v>
      </c>
      <c r="J11" s="136">
        <f>LOOKUP(I11,80:80,81:81)-LOOKUP(C11,80:80,81:81)+100</f>
        <v>102</v>
      </c>
      <c r="K11" s="673">
        <v>2</v>
      </c>
      <c r="L11" s="1141"/>
      <c r="M11" s="1134"/>
      <c r="N11" s="1134"/>
      <c r="O11" s="1142"/>
      <c r="P11" s="3213"/>
      <c r="Q11" s="1797" t="str">
        <f t="shared" si="6"/>
        <v>容积率</v>
      </c>
      <c r="R11" s="770" t="s">
        <v>17</v>
      </c>
      <c r="S11" s="771">
        <f t="shared" si="0"/>
        <v>106</v>
      </c>
      <c r="T11" s="770" t="s">
        <v>17</v>
      </c>
      <c r="U11" s="771">
        <f t="shared" si="1"/>
        <v>108</v>
      </c>
      <c r="V11" s="770" t="s">
        <v>17</v>
      </c>
      <c r="W11" s="771">
        <f t="shared" si="2"/>
        <v>102</v>
      </c>
      <c r="X11" s="772"/>
      <c r="Y11" s="3064"/>
      <c r="Z11" s="55" t="str">
        <f t="shared" si="7"/>
        <v>容积率</v>
      </c>
      <c r="AA11" s="773">
        <f t="shared" si="3"/>
        <v>0.94339622641509435</v>
      </c>
      <c r="AB11" s="773">
        <f t="shared" si="4"/>
        <v>0.92592592592592593</v>
      </c>
      <c r="AC11" s="773">
        <f t="shared" si="5"/>
        <v>0.98039215686274506</v>
      </c>
    </row>
    <row r="12" spans="1:30" s="117" customFormat="1" ht="15">
      <c r="A12" s="431"/>
      <c r="B12" s="2606"/>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3"/>
      <c r="Q12" s="1797">
        <f t="shared" si="6"/>
        <v>0</v>
      </c>
      <c r="R12" s="770" t="s">
        <v>17</v>
      </c>
      <c r="S12" s="771">
        <f t="shared" si="0"/>
        <v>100</v>
      </c>
      <c r="T12" s="770" t="s">
        <v>17</v>
      </c>
      <c r="U12" s="771">
        <f t="shared" si="1"/>
        <v>100</v>
      </c>
      <c r="V12" s="770" t="s">
        <v>17</v>
      </c>
      <c r="W12" s="771">
        <f t="shared" si="2"/>
        <v>100</v>
      </c>
      <c r="X12" s="772"/>
      <c r="Y12" s="3064"/>
      <c r="Z12" s="55">
        <f t="shared" si="7"/>
        <v>0</v>
      </c>
      <c r="AA12" s="773">
        <f>D12/F12</f>
        <v>1</v>
      </c>
      <c r="AB12" s="773">
        <f>D12/H12</f>
        <v>1</v>
      </c>
      <c r="AC12" s="773">
        <f>D12/J12</f>
        <v>1</v>
      </c>
    </row>
    <row r="13" spans="1:30" ht="15">
      <c r="A13" s="428"/>
      <c r="B13" s="2954" t="s">
        <v>3122</v>
      </c>
      <c r="C13" s="2621" t="s">
        <v>3120</v>
      </c>
      <c r="D13" s="435">
        <v>100</v>
      </c>
      <c r="E13" s="2621" t="s">
        <v>3120</v>
      </c>
      <c r="F13" s="136">
        <f>SUMIF(84:84,E13,85:85)-SUMIF(84:84,C13,85:85)+100</f>
        <v>100</v>
      </c>
      <c r="G13" s="2621" t="s">
        <v>3120</v>
      </c>
      <c r="H13" s="435">
        <f>SUMIF(84:84,G13,85:85)-SUMIF(84:84,C13,85:85)+100</f>
        <v>100</v>
      </c>
      <c r="I13" s="674" t="s">
        <v>3121</v>
      </c>
      <c r="J13" s="435">
        <f>SUMIF(84:84,I13,85:85)-SUMIF(84:84,C13,85:85)+100</f>
        <v>105</v>
      </c>
      <c r="K13" s="672"/>
      <c r="L13" s="1143"/>
      <c r="M13" s="1134"/>
      <c r="N13" s="1134"/>
      <c r="O13" s="1142"/>
      <c r="P13" s="3213"/>
      <c r="Q13" s="1797" t="str">
        <f t="shared" si="6"/>
        <v>商业占比</v>
      </c>
      <c r="R13" s="770" t="s">
        <v>17</v>
      </c>
      <c r="S13" s="771">
        <f t="shared" si="0"/>
        <v>100</v>
      </c>
      <c r="T13" s="770" t="s">
        <v>17</v>
      </c>
      <c r="U13" s="771">
        <f t="shared" si="1"/>
        <v>100</v>
      </c>
      <c r="V13" s="770" t="s">
        <v>17</v>
      </c>
      <c r="W13" s="771">
        <f t="shared" si="2"/>
        <v>105</v>
      </c>
      <c r="X13" s="772"/>
      <c r="Y13" s="3064"/>
      <c r="Z13" s="55" t="str">
        <f t="shared" si="7"/>
        <v>商业占比</v>
      </c>
      <c r="AA13" s="773">
        <f>D13/F13</f>
        <v>1</v>
      </c>
      <c r="AB13" s="773">
        <f>D13/H13</f>
        <v>1</v>
      </c>
      <c r="AC13" s="773">
        <f>D13/J13</f>
        <v>0.95238095238095233</v>
      </c>
    </row>
    <row r="14" spans="1:30" ht="15.75" thickBot="1">
      <c r="A14" s="436"/>
      <c r="B14" s="2955" t="s">
        <v>3134</v>
      </c>
      <c r="C14" s="2622" t="s">
        <v>3015</v>
      </c>
      <c r="D14" s="438">
        <v>100</v>
      </c>
      <c r="E14" s="2622" t="s">
        <v>3015</v>
      </c>
      <c r="F14" s="438">
        <f>SUMIF(86:86,E14,87:87)-SUMIF(86:86,C14,87:87)+100</f>
        <v>100</v>
      </c>
      <c r="G14" s="2622" t="s">
        <v>3015</v>
      </c>
      <c r="H14" s="438">
        <f>SUMIF(86:86,G14,87:87)-SUMIF(86:86,C14,87:87)+100</f>
        <v>100</v>
      </c>
      <c r="I14" s="674" t="s">
        <v>3016</v>
      </c>
      <c r="J14" s="438">
        <f>SUMIF(86:86,I14,87:87)-SUMIF(86:86,C14,87:87)+100</f>
        <v>95</v>
      </c>
      <c r="K14" s="672"/>
      <c r="L14" s="1143"/>
      <c r="M14" s="1134"/>
      <c r="N14" s="1134"/>
      <c r="O14" s="1142"/>
      <c r="P14" s="3213"/>
      <c r="Q14" s="1797" t="str">
        <f t="shared" si="6"/>
        <v xml:space="preserve">是否还建 </v>
      </c>
      <c r="R14" s="770" t="s">
        <v>17</v>
      </c>
      <c r="S14" s="771">
        <f t="shared" si="0"/>
        <v>100</v>
      </c>
      <c r="T14" s="770" t="s">
        <v>17</v>
      </c>
      <c r="U14" s="771">
        <f t="shared" si="1"/>
        <v>100</v>
      </c>
      <c r="V14" s="770" t="s">
        <v>17</v>
      </c>
      <c r="W14" s="771">
        <f t="shared" si="2"/>
        <v>95</v>
      </c>
      <c r="X14" s="772"/>
      <c r="Y14" s="3064"/>
      <c r="Z14" s="55" t="str">
        <f t="shared" si="7"/>
        <v xml:space="preserve">是否还建 </v>
      </c>
      <c r="AA14" s="773">
        <f>D14/F14</f>
        <v>1</v>
      </c>
      <c r="AB14" s="773">
        <f>D14/H14</f>
        <v>1</v>
      </c>
      <c r="AC14" s="773">
        <f>D14/J14</f>
        <v>1.0526315789473684</v>
      </c>
    </row>
    <row r="15" spans="1:30" ht="142.5">
      <c r="A15" s="440" t="s">
        <v>2514</v>
      </c>
      <c r="B15" s="69" t="s">
        <v>2050</v>
      </c>
      <c r="C15" s="2609" t="str">
        <f>估价对象房地状况!C15</f>
        <v>估价对象周边居住用地比例较高、居住小区规模和社区发展完善程度较好，周边1公里内有水墨林溪等住宅项目，综合评价居住社区成熟度一般</v>
      </c>
      <c r="D15" s="441">
        <v>100</v>
      </c>
      <c r="E15" s="442" t="s">
        <v>3077</v>
      </c>
      <c r="F15" s="441">
        <f>SUMIF(88:88,E16,89:89)-SUMIF(88:88,C16,89:89)+100</f>
        <v>106</v>
      </c>
      <c r="G15" s="442" t="s">
        <v>3084</v>
      </c>
      <c r="H15" s="441">
        <f>SUMIF(88:88,G16,89:89)-SUMIF(88:88,C16,89:89)+100</f>
        <v>100</v>
      </c>
      <c r="I15" s="444" t="s">
        <v>3089</v>
      </c>
      <c r="J15" s="441">
        <f>SUMIF(88:88,I16,89:89)-SUMIF(88:88,C16,89:89)+100</f>
        <v>106</v>
      </c>
      <c r="K15" s="673">
        <v>6</v>
      </c>
      <c r="L15" s="1143"/>
      <c r="M15" s="1134"/>
      <c r="N15" s="1134"/>
      <c r="O15" s="1142"/>
      <c r="P15" s="3215" t="s">
        <v>2515</v>
      </c>
      <c r="Q15" s="1812" t="str">
        <f t="shared" si="6"/>
        <v>居住社区成熟度</v>
      </c>
      <c r="R15" s="774" t="s">
        <v>17</v>
      </c>
      <c r="S15" s="775">
        <f t="shared" si="0"/>
        <v>106</v>
      </c>
      <c r="T15" s="774" t="s">
        <v>17</v>
      </c>
      <c r="U15" s="775">
        <f t="shared" si="1"/>
        <v>100</v>
      </c>
      <c r="V15" s="774" t="s">
        <v>17</v>
      </c>
      <c r="W15" s="775">
        <f t="shared" si="2"/>
        <v>106</v>
      </c>
      <c r="X15" s="1815"/>
      <c r="Y15" s="3215" t="s">
        <v>2515</v>
      </c>
      <c r="Z15" s="1816" t="str">
        <f t="shared" si="7"/>
        <v>居住社区成熟度</v>
      </c>
      <c r="AA15" s="1813">
        <f t="shared" si="3"/>
        <v>0.94339622641509435</v>
      </c>
      <c r="AB15" s="1813">
        <f t="shared" si="4"/>
        <v>1</v>
      </c>
      <c r="AC15" s="1813">
        <f t="shared" si="5"/>
        <v>0.94339622641509435</v>
      </c>
    </row>
    <row r="16" spans="1:30" ht="15">
      <c r="A16" s="428"/>
      <c r="B16" s="446"/>
      <c r="C16" s="447" t="s">
        <v>3051</v>
      </c>
      <c r="D16" s="448"/>
      <c r="E16" s="2611" t="s">
        <v>3073</v>
      </c>
      <c r="F16" s="448"/>
      <c r="G16" s="2611" t="s">
        <v>3051</v>
      </c>
      <c r="H16" s="450"/>
      <c r="I16" s="2610" t="s">
        <v>3073</v>
      </c>
      <c r="J16" s="448"/>
      <c r="K16" s="672"/>
      <c r="L16" s="1143"/>
      <c r="M16" s="1134"/>
      <c r="N16" s="1134"/>
      <c r="O16" s="1142"/>
      <c r="P16" s="3216"/>
      <c r="Q16" s="1812"/>
      <c r="R16" s="774"/>
      <c r="S16" s="775"/>
      <c r="T16" s="774"/>
      <c r="U16" s="775"/>
      <c r="V16" s="774"/>
      <c r="W16" s="775"/>
      <c r="X16" s="1815"/>
      <c r="Y16" s="3216"/>
      <c r="Z16" s="1816"/>
      <c r="AA16" s="1813">
        <v>1</v>
      </c>
      <c r="AB16" s="1813">
        <v>1</v>
      </c>
      <c r="AC16" s="1813">
        <v>1</v>
      </c>
    </row>
    <row r="17" spans="1:29" ht="39.75" customHeight="1">
      <c r="A17" s="428"/>
      <c r="B17" s="451" t="s">
        <v>2607</v>
      </c>
      <c r="C17" s="2670" t="str">
        <f>估价对象房地状况!C16</f>
        <v>估价对象位于新姚南路南侧，周边商业氛围一般，多为社区底商，人流量一般，商业繁华度一般</v>
      </c>
      <c r="D17" s="450">
        <v>100</v>
      </c>
      <c r="E17" s="452" t="s">
        <v>3078</v>
      </c>
      <c r="F17" s="450">
        <f>SUMIF(90:90,E18,91:91)-SUMIF(90:90,C18,91:91)+100</f>
        <v>100</v>
      </c>
      <c r="G17" s="452" t="s">
        <v>3085</v>
      </c>
      <c r="H17" s="455">
        <f>SUMIF(90:90,G18,91:91)-SUMIF(90:90,C18,91:91)+100</f>
        <v>100</v>
      </c>
      <c r="I17" s="454" t="s">
        <v>3090</v>
      </c>
      <c r="J17" s="455">
        <f>SUMIF(90:90,I18,91:91)-SUMIF(90:90,C18,91:91)+100</f>
        <v>100</v>
      </c>
      <c r="K17" s="673">
        <v>2</v>
      </c>
      <c r="L17" s="1143"/>
      <c r="M17" s="1134"/>
      <c r="N17" s="1134"/>
      <c r="O17" s="1142"/>
      <c r="P17" s="3216"/>
      <c r="Q17" s="1812" t="str">
        <f>B17</f>
        <v>商业繁华度</v>
      </c>
      <c r="R17" s="774" t="s">
        <v>17</v>
      </c>
      <c r="S17" s="775">
        <f>F17</f>
        <v>100</v>
      </c>
      <c r="T17" s="774" t="s">
        <v>17</v>
      </c>
      <c r="U17" s="775">
        <f>H17</f>
        <v>100</v>
      </c>
      <c r="V17" s="774" t="s">
        <v>17</v>
      </c>
      <c r="W17" s="775">
        <f>J17</f>
        <v>100</v>
      </c>
      <c r="X17" s="1815"/>
      <c r="Y17" s="3216"/>
      <c r="Z17" s="1816" t="str">
        <f>Q17</f>
        <v>商业繁华度</v>
      </c>
      <c r="AA17" s="1813">
        <f t="shared" si="3"/>
        <v>1</v>
      </c>
      <c r="AB17" s="1813">
        <f t="shared" si="4"/>
        <v>1</v>
      </c>
      <c r="AC17" s="1813">
        <f t="shared" si="5"/>
        <v>1</v>
      </c>
    </row>
    <row r="18" spans="1:29" ht="15">
      <c r="A18" s="428"/>
      <c r="B18" s="456"/>
      <c r="C18" s="2614"/>
      <c r="D18" s="450"/>
      <c r="E18" s="2614"/>
      <c r="F18" s="450"/>
      <c r="G18" s="2614"/>
      <c r="H18" s="448"/>
      <c r="I18" s="2614"/>
      <c r="J18" s="448"/>
      <c r="K18" s="672"/>
      <c r="L18" s="1143"/>
      <c r="M18" s="1134"/>
      <c r="N18" s="1134"/>
      <c r="O18" s="1142"/>
      <c r="P18" s="3216"/>
      <c r="Q18" s="1812"/>
      <c r="R18" s="774"/>
      <c r="S18" s="775"/>
      <c r="T18" s="774"/>
      <c r="U18" s="775"/>
      <c r="V18" s="774"/>
      <c r="W18" s="775"/>
      <c r="X18" s="1815"/>
      <c r="Y18" s="3216"/>
      <c r="Z18" s="1816"/>
      <c r="AA18" s="1813">
        <v>1</v>
      </c>
      <c r="AB18" s="1813">
        <v>1</v>
      </c>
      <c r="AC18" s="1813">
        <v>1</v>
      </c>
    </row>
    <row r="19" spans="1:29" ht="36.75" customHeight="1">
      <c r="A19" s="428"/>
      <c r="B19" s="451" t="s">
        <v>2641</v>
      </c>
      <c r="C19" s="2670">
        <f>估价对象房地状况!C17</f>
        <v>0</v>
      </c>
      <c r="D19" s="455">
        <v>100</v>
      </c>
      <c r="E19" s="457">
        <v>0</v>
      </c>
      <c r="F19" s="455">
        <f>SUMIF(92:92,E20,93:93)-SUMIF(92:92,C20,93:93)+100</f>
        <v>100</v>
      </c>
      <c r="G19" s="457">
        <v>0</v>
      </c>
      <c r="H19" s="450">
        <f>SUMIF(92:92,G20,93:93)-SUMIF(92:92,C20,93:93)+100</f>
        <v>100</v>
      </c>
      <c r="I19" s="459">
        <v>0</v>
      </c>
      <c r="J19" s="450">
        <f>SUMIF(92:92,I20,93:93)-SUMIF(92:92,C20,93:93)+100</f>
        <v>100</v>
      </c>
      <c r="K19" s="673">
        <v>1</v>
      </c>
      <c r="L19" s="1143"/>
      <c r="M19" s="1134"/>
      <c r="N19" s="1134"/>
      <c r="O19" s="1142"/>
      <c r="P19" s="3216"/>
      <c r="Q19" s="1812" t="str">
        <f>B19</f>
        <v>办公集聚程度</v>
      </c>
      <c r="R19" s="774" t="s">
        <v>17</v>
      </c>
      <c r="S19" s="775">
        <f>F19</f>
        <v>100</v>
      </c>
      <c r="T19" s="774" t="s">
        <v>17</v>
      </c>
      <c r="U19" s="775">
        <f>H19</f>
        <v>100</v>
      </c>
      <c r="V19" s="774" t="s">
        <v>17</v>
      </c>
      <c r="W19" s="775">
        <f>J19</f>
        <v>100</v>
      </c>
      <c r="X19" s="1815"/>
      <c r="Y19" s="3216"/>
      <c r="Z19" s="1816" t="str">
        <f>Q19</f>
        <v>办公集聚程度</v>
      </c>
      <c r="AA19" s="1813">
        <f t="shared" si="3"/>
        <v>1</v>
      </c>
      <c r="AB19" s="1813">
        <f t="shared" si="4"/>
        <v>1</v>
      </c>
      <c r="AC19" s="1813">
        <f t="shared" si="5"/>
        <v>1</v>
      </c>
    </row>
    <row r="20" spans="1:29" ht="15">
      <c r="A20" s="428"/>
      <c r="B20" s="456"/>
      <c r="C20" s="2611" t="s">
        <v>3079</v>
      </c>
      <c r="D20" s="448"/>
      <c r="E20" s="2611" t="s">
        <v>3079</v>
      </c>
      <c r="F20" s="448"/>
      <c r="G20" s="2611" t="s">
        <v>3079</v>
      </c>
      <c r="H20" s="448"/>
      <c r="I20" s="2610" t="s">
        <v>3079</v>
      </c>
      <c r="J20" s="448"/>
      <c r="K20" s="672"/>
      <c r="L20" s="1143"/>
      <c r="M20" s="1134"/>
      <c r="N20" s="1134"/>
      <c r="O20" s="1142"/>
      <c r="P20" s="3216"/>
      <c r="Q20" s="1812"/>
      <c r="R20" s="774"/>
      <c r="S20" s="775"/>
      <c r="T20" s="774"/>
      <c r="U20" s="775"/>
      <c r="V20" s="774"/>
      <c r="W20" s="775"/>
      <c r="X20" s="1815"/>
      <c r="Y20" s="3216"/>
      <c r="Z20" s="1816"/>
      <c r="AA20" s="1813">
        <v>1</v>
      </c>
      <c r="AB20" s="1813">
        <v>1</v>
      </c>
      <c r="AC20" s="1813">
        <v>1</v>
      </c>
    </row>
    <row r="21" spans="1:29" ht="128.25">
      <c r="A21" s="428"/>
      <c r="B21" s="451" t="s">
        <v>2663</v>
      </c>
      <c r="C21" s="2613" t="str">
        <f>估价对象房地状况!C18</f>
        <v>估价对象周边道路密集程度高、周边一公里内有20路、206路等、地铁1号线桂花坪站。停车便捷程度好，综合评价交通便捷度好</v>
      </c>
      <c r="D21" s="450">
        <v>100</v>
      </c>
      <c r="E21" s="452" t="s">
        <v>3080</v>
      </c>
      <c r="F21" s="455">
        <f>SUMIF(94:94,E22,95:95)-SUMIF(94:94,C22,95:95)+100</f>
        <v>100</v>
      </c>
      <c r="G21" s="452" t="s">
        <v>3086</v>
      </c>
      <c r="H21" s="450">
        <f>SUMIF(94:94,G22,95:95)-SUMIF(94:94,C22,95:95)+100</f>
        <v>100</v>
      </c>
      <c r="I21" s="454" t="s">
        <v>3091</v>
      </c>
      <c r="J21" s="450">
        <f>SUMIF(94:94,I22,95:95)-SUMIF(94:94,C22,95:95)+100</f>
        <v>100</v>
      </c>
      <c r="K21" s="673">
        <v>1</v>
      </c>
      <c r="L21" s="1143"/>
      <c r="M21" s="1134"/>
      <c r="N21" s="1134"/>
      <c r="O21" s="1142"/>
      <c r="P21" s="3216"/>
      <c r="Q21" s="1812" t="str">
        <f>B21</f>
        <v>交通便捷度</v>
      </c>
      <c r="R21" s="774" t="s">
        <v>17</v>
      </c>
      <c r="S21" s="775">
        <f>F21</f>
        <v>100</v>
      </c>
      <c r="T21" s="774" t="s">
        <v>17</v>
      </c>
      <c r="U21" s="775">
        <f>H21</f>
        <v>100</v>
      </c>
      <c r="V21" s="774" t="s">
        <v>17</v>
      </c>
      <c r="W21" s="775">
        <f>J21</f>
        <v>100</v>
      </c>
      <c r="X21" s="1815"/>
      <c r="Y21" s="3216"/>
      <c r="Z21" s="1816" t="str">
        <f>Q21</f>
        <v>交通便捷度</v>
      </c>
      <c r="AA21" s="1813">
        <f t="shared" si="3"/>
        <v>1</v>
      </c>
      <c r="AB21" s="1813">
        <f t="shared" si="4"/>
        <v>1</v>
      </c>
      <c r="AC21" s="1813">
        <f t="shared" si="5"/>
        <v>1</v>
      </c>
    </row>
    <row r="22" spans="1:29" ht="15">
      <c r="A22" s="428"/>
      <c r="B22" s="1387"/>
      <c r="C22" s="447" t="s">
        <v>3073</v>
      </c>
      <c r="D22" s="450"/>
      <c r="E22" s="447" t="s">
        <v>3073</v>
      </c>
      <c r="F22" s="448"/>
      <c r="G22" s="447" t="s">
        <v>3073</v>
      </c>
      <c r="H22" s="448"/>
      <c r="I22" s="447" t="s">
        <v>3073</v>
      </c>
      <c r="J22" s="448"/>
      <c r="K22" s="672"/>
      <c r="L22" s="1143"/>
      <c r="M22" s="1134"/>
      <c r="N22" s="1134"/>
      <c r="O22" s="1142"/>
      <c r="P22" s="3216"/>
      <c r="Q22" s="1812"/>
      <c r="R22" s="774"/>
      <c r="S22" s="775"/>
      <c r="T22" s="774"/>
      <c r="U22" s="775"/>
      <c r="V22" s="774"/>
      <c r="W22" s="775"/>
      <c r="X22" s="1815"/>
      <c r="Y22" s="3216"/>
      <c r="Z22" s="1816"/>
      <c r="AA22" s="1813">
        <v>1</v>
      </c>
      <c r="AB22" s="1813">
        <v>1</v>
      </c>
      <c r="AC22" s="1813">
        <v>1</v>
      </c>
    </row>
    <row r="23" spans="1:29" ht="42.75">
      <c r="A23" s="404"/>
      <c r="B23" s="451" t="s">
        <v>2701</v>
      </c>
      <c r="C23" s="1392" t="str">
        <f>估价对象房地状况!C19</f>
        <v>零星有其他用地，基本不影响本宗地</v>
      </c>
      <c r="D23" s="455">
        <v>100</v>
      </c>
      <c r="E23" s="452" t="s">
        <v>3042</v>
      </c>
      <c r="F23" s="455">
        <f>SUMIF(96:96,E24,97:97)-SUMIF(96:96,C24,97:97)+100</f>
        <v>100</v>
      </c>
      <c r="G23" s="454" t="s">
        <v>3042</v>
      </c>
      <c r="H23" s="455">
        <f>SUMIF(96:96,G24,97:97)-SUMIF(96:96,C24,97:97)+100</f>
        <v>100</v>
      </c>
      <c r="I23" s="454" t="s">
        <v>3042</v>
      </c>
      <c r="J23" s="455">
        <f>SUMIF(96:96,I24,97:97)-SUMIF(96:96,C24,97:97)+100</f>
        <v>100</v>
      </c>
      <c r="K23" s="673">
        <v>1</v>
      </c>
      <c r="L23" s="1143"/>
      <c r="M23" s="1134"/>
      <c r="N23" s="1134"/>
      <c r="O23" s="1142"/>
      <c r="P23" s="3216"/>
      <c r="Q23" s="1812" t="str">
        <f t="shared" ref="Q23:Q37" si="8">B23</f>
        <v>区域土地利用方向</v>
      </c>
      <c r="R23" s="774" t="s">
        <v>17</v>
      </c>
      <c r="S23" s="775">
        <f>F23</f>
        <v>100</v>
      </c>
      <c r="T23" s="774" t="s">
        <v>17</v>
      </c>
      <c r="U23" s="775">
        <f>H23</f>
        <v>100</v>
      </c>
      <c r="V23" s="774" t="s">
        <v>17</v>
      </c>
      <c r="W23" s="775">
        <f>J23</f>
        <v>100</v>
      </c>
      <c r="X23" s="1815"/>
      <c r="Y23" s="3216"/>
      <c r="Z23" s="1816" t="str">
        <f>Q23</f>
        <v>区域土地利用方向</v>
      </c>
      <c r="AA23" s="1813">
        <f t="shared" si="3"/>
        <v>1</v>
      </c>
      <c r="AB23" s="1813">
        <f t="shared" si="4"/>
        <v>1</v>
      </c>
      <c r="AC23" s="1813">
        <f t="shared" si="5"/>
        <v>1</v>
      </c>
    </row>
    <row r="24" spans="1:29" ht="15">
      <c r="A24" s="404"/>
      <c r="B24" s="456"/>
      <c r="C24" s="616" t="s">
        <v>3073</v>
      </c>
      <c r="D24" s="448"/>
      <c r="E24" s="2611" t="s">
        <v>3073</v>
      </c>
      <c r="F24" s="448"/>
      <c r="G24" s="2610" t="s">
        <v>3073</v>
      </c>
      <c r="H24" s="448"/>
      <c r="I24" s="2610" t="s">
        <v>3073</v>
      </c>
      <c r="J24" s="448"/>
      <c r="K24" s="812"/>
      <c r="L24" s="1143"/>
      <c r="M24" s="1134"/>
      <c r="N24" s="1134"/>
      <c r="O24" s="1142"/>
      <c r="P24" s="3216"/>
      <c r="Q24" s="1812"/>
      <c r="R24" s="774"/>
      <c r="S24" s="775"/>
      <c r="T24" s="774"/>
      <c r="U24" s="775"/>
      <c r="V24" s="774"/>
      <c r="W24" s="775"/>
      <c r="X24" s="1815"/>
      <c r="Y24" s="3216"/>
      <c r="Z24" s="1816"/>
      <c r="AA24" s="1813"/>
      <c r="AB24" s="1813"/>
      <c r="AC24" s="1813"/>
    </row>
    <row r="25" spans="1:29" ht="99.75">
      <c r="A25" s="404"/>
      <c r="B25" s="1387" t="s">
        <v>2702</v>
      </c>
      <c r="C25" s="2670" t="str">
        <f>估价对象房地状况!C20</f>
        <v>区域自然环境：周边有宜春社区公园等；人文环境：周边有盛砚砚博物馆等；综合评价环境状况较好</v>
      </c>
      <c r="D25" s="450">
        <v>100</v>
      </c>
      <c r="E25" s="452" t="s">
        <v>3081</v>
      </c>
      <c r="F25" s="450">
        <f>SUMIF(98:98,E26,99:99)-SUMIF(98:98,C26,99:99)+100</f>
        <v>101</v>
      </c>
      <c r="G25" s="452" t="s">
        <v>3087</v>
      </c>
      <c r="H25" s="450">
        <f>SUMIF(98:98,G26,99:99)-SUMIF(98:98,C26,99:99)+100</f>
        <v>99</v>
      </c>
      <c r="I25" s="454" t="s">
        <v>3092</v>
      </c>
      <c r="J25" s="450">
        <f>SUMIF(98:98,I26,99:99)-SUMIF(98:98,C26,99:99)+100</f>
        <v>100</v>
      </c>
      <c r="K25" s="673">
        <v>1</v>
      </c>
      <c r="L25" s="1143"/>
      <c r="M25" s="1134"/>
      <c r="N25" s="1134"/>
      <c r="O25" s="1142"/>
      <c r="P25" s="3216"/>
      <c r="Q25" s="1812" t="str">
        <f t="shared" si="8"/>
        <v>自然及人文环境状况</v>
      </c>
      <c r="R25" s="774" t="s">
        <v>17</v>
      </c>
      <c r="S25" s="775">
        <f>F25</f>
        <v>101</v>
      </c>
      <c r="T25" s="774" t="s">
        <v>17</v>
      </c>
      <c r="U25" s="775">
        <f>H25</f>
        <v>99</v>
      </c>
      <c r="V25" s="774" t="s">
        <v>17</v>
      </c>
      <c r="W25" s="775">
        <f>J25</f>
        <v>100</v>
      </c>
      <c r="X25" s="1815"/>
      <c r="Y25" s="3216"/>
      <c r="Z25" s="1816" t="str">
        <f>Q25</f>
        <v>自然及人文环境状况</v>
      </c>
      <c r="AA25" s="1813">
        <f t="shared" si="3"/>
        <v>0.99009900990099009</v>
      </c>
      <c r="AB25" s="1813">
        <f t="shared" si="4"/>
        <v>1.0101010101010102</v>
      </c>
      <c r="AC25" s="1813">
        <f t="shared" si="5"/>
        <v>1</v>
      </c>
    </row>
    <row r="26" spans="1:29" ht="15">
      <c r="A26" s="404"/>
      <c r="B26" s="456"/>
      <c r="C26" s="447" t="s">
        <v>3073</v>
      </c>
      <c r="D26" s="448"/>
      <c r="E26" s="2617" t="s">
        <v>3072</v>
      </c>
      <c r="F26" s="448"/>
      <c r="G26" s="2617" t="s">
        <v>3051</v>
      </c>
      <c r="H26" s="448"/>
      <c r="I26" s="447" t="s">
        <v>3073</v>
      </c>
      <c r="J26" s="448"/>
      <c r="K26" s="672"/>
      <c r="L26" s="1143"/>
      <c r="M26" s="1134"/>
      <c r="N26" s="1134"/>
      <c r="O26" s="1142"/>
      <c r="P26" s="3216"/>
      <c r="Q26" s="1812"/>
      <c r="R26" s="774"/>
      <c r="S26" s="775"/>
      <c r="T26" s="774"/>
      <c r="U26" s="775"/>
      <c r="V26" s="774"/>
      <c r="W26" s="775"/>
      <c r="X26" s="1815"/>
      <c r="Y26" s="3216"/>
      <c r="Z26" s="1816"/>
      <c r="AA26" s="1813">
        <v>1</v>
      </c>
      <c r="AB26" s="1813">
        <v>1</v>
      </c>
      <c r="AC26" s="1813">
        <v>1</v>
      </c>
    </row>
    <row r="27" spans="1:29" s="117" customFormat="1" ht="42.75">
      <c r="A27" s="649"/>
      <c r="B27" s="1387" t="s">
        <v>2608</v>
      </c>
      <c r="C27" s="2613" t="str">
        <f>估价对象房地状况!C21</f>
        <v>估价对象所在区域公共配套设施齐备度一般</v>
      </c>
      <c r="D27" s="450">
        <v>100</v>
      </c>
      <c r="E27" s="452" t="s">
        <v>3082</v>
      </c>
      <c r="F27" s="450">
        <f>SUMIF(100:100,E28,101:101)-SUMIF(100:100,C28,101:101)+100</f>
        <v>101</v>
      </c>
      <c r="G27" s="452" t="s">
        <v>3038</v>
      </c>
      <c r="H27" s="450">
        <f>SUMIF(100:100,G28,101:101)-SUMIF(100:100,C28,101:101)+100</f>
        <v>100</v>
      </c>
      <c r="I27" s="454" t="s">
        <v>3082</v>
      </c>
      <c r="J27" s="450">
        <f>SUMIF(100:100,I28,101:101)-SUMIF(100:100,C28,101:101)+100</f>
        <v>101</v>
      </c>
      <c r="K27" s="673">
        <v>1</v>
      </c>
      <c r="L27" s="1135"/>
      <c r="M27" s="1136"/>
      <c r="N27" s="1136"/>
      <c r="O27" s="1137"/>
      <c r="P27" s="3216"/>
      <c r="Q27" s="1797" t="str">
        <f t="shared" si="8"/>
        <v>公共配套设施</v>
      </c>
      <c r="R27" s="770" t="s">
        <v>17</v>
      </c>
      <c r="S27" s="771">
        <f>F27</f>
        <v>101</v>
      </c>
      <c r="T27" s="770" t="s">
        <v>17</v>
      </c>
      <c r="U27" s="771">
        <f>H27</f>
        <v>100</v>
      </c>
      <c r="V27" s="770" t="s">
        <v>17</v>
      </c>
      <c r="W27" s="771">
        <f>J27</f>
        <v>101</v>
      </c>
      <c r="X27" s="772"/>
      <c r="Y27" s="3216"/>
      <c r="Z27" s="55" t="str">
        <f>Q27</f>
        <v>公共配套设施</v>
      </c>
      <c r="AA27" s="1813">
        <f>D27/F27</f>
        <v>0.99009900990099009</v>
      </c>
      <c r="AB27" s="1813">
        <f>D27/H27</f>
        <v>1</v>
      </c>
      <c r="AC27" s="1813">
        <f>D27/J27</f>
        <v>0.99009900990099009</v>
      </c>
    </row>
    <row r="28" spans="1:29" s="117" customFormat="1" ht="15">
      <c r="A28" s="649"/>
      <c r="B28" s="456"/>
      <c r="C28" s="2706" t="s">
        <v>3051</v>
      </c>
      <c r="D28" s="448"/>
      <c r="E28" s="2617" t="s">
        <v>3073</v>
      </c>
      <c r="F28" s="448"/>
      <c r="G28" s="2617" t="s">
        <v>3051</v>
      </c>
      <c r="H28" s="448"/>
      <c r="I28" s="447" t="s">
        <v>3073</v>
      </c>
      <c r="J28" s="448"/>
      <c r="K28" s="672"/>
      <c r="L28" s="1135"/>
      <c r="M28" s="1136"/>
      <c r="N28" s="1136"/>
      <c r="O28" s="1137"/>
      <c r="P28" s="3216"/>
      <c r="Q28" s="1797"/>
      <c r="R28" s="770"/>
      <c r="S28" s="771"/>
      <c r="T28" s="770"/>
      <c r="U28" s="771"/>
      <c r="V28" s="770"/>
      <c r="W28" s="771"/>
      <c r="X28" s="772"/>
      <c r="Y28" s="3216"/>
      <c r="Z28" s="55"/>
      <c r="AA28" s="1813">
        <v>1</v>
      </c>
      <c r="AB28" s="1813">
        <v>1</v>
      </c>
      <c r="AC28" s="1813">
        <v>1</v>
      </c>
    </row>
    <row r="29" spans="1:29" s="117" customFormat="1" ht="42.75">
      <c r="A29" s="649"/>
      <c r="B29" s="1387" t="s">
        <v>2609</v>
      </c>
      <c r="C29" s="2613" t="str">
        <f>估价对象房地状况!C22</f>
        <v>估价对象所在区域基础设施水平较好</v>
      </c>
      <c r="D29" s="450">
        <v>100</v>
      </c>
      <c r="E29" s="452" t="s">
        <v>3039</v>
      </c>
      <c r="F29" s="450">
        <f>SUMIF(102:102,E30,103:103)-SUMIF(102:102,C30,103:103)+100</f>
        <v>100</v>
      </c>
      <c r="G29" s="452" t="s">
        <v>3039</v>
      </c>
      <c r="H29" s="450">
        <f>SUMIF(102:102,G30,103:103)-SUMIF(102:102,C30,103:103)+100</f>
        <v>100</v>
      </c>
      <c r="I29" s="454" t="s">
        <v>3039</v>
      </c>
      <c r="J29" s="450">
        <f>SUMIF(102:102,I30,103:103)-SUMIF(102:102,C30,103:103)+100</f>
        <v>100</v>
      </c>
      <c r="K29" s="673">
        <v>1</v>
      </c>
      <c r="L29" s="1135"/>
      <c r="M29" s="1136"/>
      <c r="N29" s="1136"/>
      <c r="O29" s="1137"/>
      <c r="P29" s="3216"/>
      <c r="Q29" s="1797"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3">
        <f>D29/F29</f>
        <v>1</v>
      </c>
      <c r="AB29" s="1813">
        <f>D29/H29</f>
        <v>1</v>
      </c>
      <c r="AC29" s="1813">
        <f>D29/J29</f>
        <v>1</v>
      </c>
    </row>
    <row r="30" spans="1:29" s="117" customFormat="1" ht="15">
      <c r="A30" s="649"/>
      <c r="B30" s="456"/>
      <c r="C30" s="2706" t="s">
        <v>3068</v>
      </c>
      <c r="D30" s="448"/>
      <c r="E30" s="2707" t="s">
        <v>3068</v>
      </c>
      <c r="F30" s="448"/>
      <c r="G30" s="2707" t="s">
        <v>3068</v>
      </c>
      <c r="H30" s="448"/>
      <c r="I30" s="2707" t="s">
        <v>3068</v>
      </c>
      <c r="J30" s="448"/>
      <c r="K30" s="672"/>
      <c r="L30" s="1135"/>
      <c r="M30" s="1136"/>
      <c r="N30" s="1136"/>
      <c r="O30" s="1137"/>
      <c r="P30" s="3216"/>
      <c r="Q30" s="1797"/>
      <c r="R30" s="770"/>
      <c r="S30" s="771"/>
      <c r="T30" s="770"/>
      <c r="U30" s="771"/>
      <c r="V30" s="770"/>
      <c r="W30" s="771"/>
      <c r="X30" s="772"/>
      <c r="Y30" s="3216"/>
      <c r="Z30" s="55"/>
      <c r="AA30" s="1813">
        <v>1</v>
      </c>
      <c r="AB30" s="1813">
        <v>1</v>
      </c>
      <c r="AC30" s="1813">
        <v>1</v>
      </c>
    </row>
    <row r="31" spans="1:29" ht="15">
      <c r="A31" s="428"/>
      <c r="B31" s="456" t="s">
        <v>2610</v>
      </c>
      <c r="C31" s="616" t="s">
        <v>3043</v>
      </c>
      <c r="D31" s="435">
        <v>100</v>
      </c>
      <c r="E31" s="634" t="s">
        <v>3043</v>
      </c>
      <c r="F31" s="435">
        <f>SUMIF(104:104,E31,105:105)-SUMIF(104:104,C31,105:105)+100</f>
        <v>100</v>
      </c>
      <c r="G31" s="634" t="s">
        <v>3043</v>
      </c>
      <c r="H31" s="435">
        <f>SUMIF(104:104,G31,105:105)-SUMIF(104:104,C31,105:105)+100</f>
        <v>100</v>
      </c>
      <c r="I31" s="634" t="s">
        <v>3043</v>
      </c>
      <c r="J31" s="435">
        <f>SUMIF(104:104,I31,105:105)-SUMIF(104:104,C31,105:105)+100</f>
        <v>100</v>
      </c>
      <c r="K31" s="673">
        <v>1</v>
      </c>
      <c r="L31" s="1143"/>
      <c r="M31" s="1134"/>
      <c r="N31" s="1134"/>
      <c r="O31" s="1142"/>
      <c r="P31" s="321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16"/>
      <c r="Z31" s="1816" t="str">
        <f t="shared" ref="Z31:Z45" si="13">Q31</f>
        <v>临街状况</v>
      </c>
      <c r="AA31" s="1813">
        <f t="shared" si="3"/>
        <v>1</v>
      </c>
      <c r="AB31" s="1813">
        <f t="shared" si="4"/>
        <v>1</v>
      </c>
      <c r="AC31" s="1813">
        <f t="shared" si="5"/>
        <v>1</v>
      </c>
    </row>
    <row r="32" spans="1:29" ht="28.5">
      <c r="A32" s="428"/>
      <c r="B32" s="1387" t="s">
        <v>2645</v>
      </c>
      <c r="C32" s="454" t="s">
        <v>3041</v>
      </c>
      <c r="D32" s="450">
        <v>100</v>
      </c>
      <c r="E32" s="452" t="s">
        <v>3083</v>
      </c>
      <c r="F32" s="450">
        <f>SUMIF(106:106,E33,107:107)-SUMIF(106:106,C33,107:107)+100</f>
        <v>100</v>
      </c>
      <c r="G32" s="452" t="s">
        <v>3088</v>
      </c>
      <c r="H32" s="450">
        <f>SUMIF(106:106,G33,107:107)-SUMIF(106:106,C33,107:107)+100</f>
        <v>100</v>
      </c>
      <c r="I32" s="454" t="s">
        <v>3093</v>
      </c>
      <c r="J32" s="450">
        <f>SUMIF(106:106,I33,107:107)-SUMIF(106:106,C33,107:107)+100</f>
        <v>101</v>
      </c>
      <c r="K32" s="673">
        <v>1</v>
      </c>
      <c r="L32" s="1143"/>
      <c r="M32" s="1134"/>
      <c r="N32" s="1134"/>
      <c r="O32" s="1142"/>
      <c r="P32" s="3216"/>
      <c r="Q32" s="1812" t="str">
        <f t="shared" si="8"/>
        <v>毗邻道路的类型与等级</v>
      </c>
      <c r="R32" s="774" t="s">
        <v>17</v>
      </c>
      <c r="S32" s="775">
        <f t="shared" si="10"/>
        <v>100</v>
      </c>
      <c r="T32" s="774" t="s">
        <v>17</v>
      </c>
      <c r="U32" s="775">
        <f t="shared" si="11"/>
        <v>100</v>
      </c>
      <c r="V32" s="774" t="s">
        <v>17</v>
      </c>
      <c r="W32" s="775">
        <f t="shared" si="12"/>
        <v>101</v>
      </c>
      <c r="X32" s="1815"/>
      <c r="Y32" s="3216"/>
      <c r="Z32" s="1816" t="str">
        <f t="shared" si="13"/>
        <v>毗邻道路的类型与等级</v>
      </c>
      <c r="AA32" s="1813">
        <f t="shared" si="3"/>
        <v>1</v>
      </c>
      <c r="AB32" s="1813">
        <f t="shared" si="4"/>
        <v>1</v>
      </c>
      <c r="AC32" s="1813">
        <f t="shared" si="5"/>
        <v>0.99009900990099009</v>
      </c>
    </row>
    <row r="33" spans="1:29" ht="15">
      <c r="A33" s="428"/>
      <c r="B33" s="456"/>
      <c r="C33" s="447" t="s">
        <v>3058</v>
      </c>
      <c r="D33" s="448"/>
      <c r="E33" s="2617" t="s">
        <v>3058</v>
      </c>
      <c r="F33" s="448"/>
      <c r="G33" s="2617" t="s">
        <v>3058</v>
      </c>
      <c r="H33" s="448"/>
      <c r="I33" s="447" t="s">
        <v>3057</v>
      </c>
      <c r="J33" s="448"/>
      <c r="K33" s="613"/>
      <c r="L33" s="1143"/>
      <c r="M33" s="1134"/>
      <c r="N33" s="1134"/>
      <c r="O33" s="1142"/>
      <c r="P33" s="3216"/>
      <c r="Q33" s="1812"/>
      <c r="R33" s="774"/>
      <c r="S33" s="775"/>
      <c r="T33" s="774"/>
      <c r="U33" s="775"/>
      <c r="V33" s="774"/>
      <c r="W33" s="775"/>
      <c r="X33" s="1815"/>
      <c r="Y33" s="3216"/>
      <c r="Z33" s="1816"/>
      <c r="AA33" s="1813">
        <v>1</v>
      </c>
      <c r="AB33" s="1813">
        <v>1</v>
      </c>
      <c r="AC33" s="1813">
        <v>1</v>
      </c>
    </row>
    <row r="34" spans="1:29" ht="15">
      <c r="A34" s="428"/>
      <c r="B34" s="422" t="s">
        <v>2703</v>
      </c>
      <c r="C34" s="616" t="s">
        <v>70</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3"/>
      <c r="M34" s="1134"/>
      <c r="N34" s="1134"/>
      <c r="O34" s="1142"/>
      <c r="P34" s="3216"/>
      <c r="Q34" s="1812" t="str">
        <f t="shared" si="8"/>
        <v>土地级别</v>
      </c>
      <c r="R34" s="774" t="s">
        <v>17</v>
      </c>
      <c r="S34" s="775">
        <f t="shared" si="10"/>
        <v>100</v>
      </c>
      <c r="T34" s="774" t="s">
        <v>17</v>
      </c>
      <c r="U34" s="775">
        <f t="shared" si="11"/>
        <v>100</v>
      </c>
      <c r="V34" s="774" t="s">
        <v>17</v>
      </c>
      <c r="W34" s="775">
        <f t="shared" si="12"/>
        <v>100</v>
      </c>
      <c r="X34" s="1815"/>
      <c r="Y34" s="3216"/>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6"/>
      <c r="Q35" s="1812">
        <f t="shared" si="8"/>
        <v>0</v>
      </c>
      <c r="R35" s="774" t="s">
        <v>17</v>
      </c>
      <c r="S35" s="775">
        <f t="shared" si="10"/>
        <v>100</v>
      </c>
      <c r="T35" s="774" t="s">
        <v>17</v>
      </c>
      <c r="U35" s="775">
        <f t="shared" si="11"/>
        <v>100</v>
      </c>
      <c r="V35" s="774" t="s">
        <v>17</v>
      </c>
      <c r="W35" s="775">
        <f t="shared" si="12"/>
        <v>100</v>
      </c>
      <c r="X35" s="1815"/>
      <c r="Y35" s="3216"/>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7" t="s">
        <v>2520</v>
      </c>
      <c r="Q36" s="1812">
        <f t="shared" si="8"/>
        <v>0</v>
      </c>
      <c r="R36" s="774" t="s">
        <v>17</v>
      </c>
      <c r="S36" s="775">
        <f t="shared" si="10"/>
        <v>100</v>
      </c>
      <c r="T36" s="774" t="s">
        <v>17</v>
      </c>
      <c r="U36" s="775">
        <f t="shared" si="11"/>
        <v>100</v>
      </c>
      <c r="V36" s="774" t="s">
        <v>17</v>
      </c>
      <c r="W36" s="775">
        <f t="shared" si="12"/>
        <v>100</v>
      </c>
      <c r="X36" s="1815"/>
      <c r="Y36" s="3218" t="s">
        <v>2520</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8"/>
      <c r="Q37" s="1812">
        <f t="shared" si="8"/>
        <v>0</v>
      </c>
      <c r="R37" s="777" t="s">
        <v>17</v>
      </c>
      <c r="S37" s="778">
        <f t="shared" si="10"/>
        <v>100</v>
      </c>
      <c r="T37" s="777" t="s">
        <v>17</v>
      </c>
      <c r="U37" s="778">
        <f t="shared" si="11"/>
        <v>100</v>
      </c>
      <c r="V37" s="777" t="s">
        <v>17</v>
      </c>
      <c r="W37" s="778">
        <f t="shared" si="12"/>
        <v>100</v>
      </c>
      <c r="X37" s="779"/>
      <c r="Y37" s="3218"/>
      <c r="Z37" s="780">
        <f t="shared" si="13"/>
        <v>0</v>
      </c>
      <c r="AA37" s="1813">
        <f t="shared" si="3"/>
        <v>1</v>
      </c>
      <c r="AB37" s="1813">
        <f t="shared" si="4"/>
        <v>1</v>
      </c>
      <c r="AC37" s="1813">
        <f t="shared" si="5"/>
        <v>1</v>
      </c>
    </row>
    <row r="38" spans="1:29" ht="15">
      <c r="A38" s="472" t="s">
        <v>2518</v>
      </c>
      <c r="B38" s="456" t="s">
        <v>2704</v>
      </c>
      <c r="C38" s="679">
        <f>'数据-基础表'!A3</f>
        <v>10054.34</v>
      </c>
      <c r="D38" s="467">
        <v>100</v>
      </c>
      <c r="E38" s="679">
        <v>30075.75</v>
      </c>
      <c r="F38" s="467">
        <f>LOOKUP(E38,117:117,118:118)-LOOKUP(C38,117:117,118:118)+100</f>
        <v>101</v>
      </c>
      <c r="G38" s="679">
        <v>64418.47</v>
      </c>
      <c r="H38" s="467">
        <f>LOOKUP(G38,117:117,118:118)-LOOKUP(C38,117:117,118:118)+100</f>
        <v>103</v>
      </c>
      <c r="I38" s="530">
        <v>67516.73</v>
      </c>
      <c r="J38" s="467">
        <f>LOOKUP(I38,117:117,118:118)-LOOKUP(C38,117:117,118:118)+100</f>
        <v>103</v>
      </c>
      <c r="K38" s="613"/>
      <c r="L38" s="1143"/>
      <c r="M38" s="1134"/>
      <c r="N38" s="1134"/>
      <c r="O38" s="1142"/>
      <c r="P38" s="3218"/>
      <c r="Q38" s="1812" t="str">
        <f>B38</f>
        <v>宗地面积</v>
      </c>
      <c r="R38" s="774" t="s">
        <v>17</v>
      </c>
      <c r="S38" s="775">
        <f t="shared" si="10"/>
        <v>101</v>
      </c>
      <c r="T38" s="774" t="s">
        <v>17</v>
      </c>
      <c r="U38" s="775">
        <f t="shared" si="11"/>
        <v>103</v>
      </c>
      <c r="V38" s="774" t="s">
        <v>17</v>
      </c>
      <c r="W38" s="775">
        <f t="shared" si="12"/>
        <v>103</v>
      </c>
      <c r="X38" s="1815"/>
      <c r="Y38" s="3218"/>
      <c r="Z38" s="1816" t="str">
        <f t="shared" si="13"/>
        <v>宗地面积</v>
      </c>
      <c r="AA38" s="1813">
        <f t="shared" si="3"/>
        <v>0.99009900990099009</v>
      </c>
      <c r="AB38" s="1813">
        <f t="shared" si="4"/>
        <v>0.970873786407767</v>
      </c>
      <c r="AC38" s="1813">
        <f t="shared" si="5"/>
        <v>0.970873786407767</v>
      </c>
    </row>
    <row r="39" spans="1:29" ht="15">
      <c r="A39" s="472"/>
      <c r="B39" s="422" t="s">
        <v>2705</v>
      </c>
      <c r="C39" s="2619" t="s">
        <v>3061</v>
      </c>
      <c r="D39" s="435">
        <v>100</v>
      </c>
      <c r="E39" s="2619" t="s">
        <v>3061</v>
      </c>
      <c r="F39" s="435">
        <f>SUMIF(119:119,E39,120:120)-SUMIF(119:119,C39,120:120)+100</f>
        <v>100</v>
      </c>
      <c r="G39" s="2619" t="s">
        <v>3061</v>
      </c>
      <c r="H39" s="435">
        <f>SUMIF(119:119,G39,120:120)-SUMIF(119:119,C39,120:120)+100</f>
        <v>100</v>
      </c>
      <c r="I39" s="2619" t="s">
        <v>3061</v>
      </c>
      <c r="J39" s="435">
        <f>SUMIF(119:119,I39,120:120)-SUMIF(119:119,C39,120:120)+100</f>
        <v>100</v>
      </c>
      <c r="K39" s="612">
        <v>1</v>
      </c>
      <c r="L39" s="1143"/>
      <c r="M39" s="1134"/>
      <c r="N39" s="1134"/>
      <c r="O39" s="1142"/>
      <c r="P39" s="3218"/>
      <c r="Q39" s="1812" t="str">
        <f t="shared" ref="Q39:Q45" si="14">B39</f>
        <v>宗地形状</v>
      </c>
      <c r="R39" s="774" t="s">
        <v>17</v>
      </c>
      <c r="S39" s="775">
        <f t="shared" si="10"/>
        <v>100</v>
      </c>
      <c r="T39" s="774" t="s">
        <v>17</v>
      </c>
      <c r="U39" s="775">
        <f t="shared" si="11"/>
        <v>100</v>
      </c>
      <c r="V39" s="774" t="s">
        <v>17</v>
      </c>
      <c r="W39" s="775">
        <f t="shared" si="12"/>
        <v>100</v>
      </c>
      <c r="X39" s="1815"/>
      <c r="Y39" s="3218"/>
      <c r="Z39" s="1816" t="str">
        <f t="shared" si="13"/>
        <v>宗地形状</v>
      </c>
      <c r="AA39" s="1813">
        <f t="shared" si="3"/>
        <v>1</v>
      </c>
      <c r="AB39" s="1813">
        <f t="shared" si="4"/>
        <v>1</v>
      </c>
      <c r="AC39" s="1813">
        <f t="shared" si="5"/>
        <v>1</v>
      </c>
    </row>
    <row r="40" spans="1:29" ht="15">
      <c r="A40" s="472"/>
      <c r="B40" s="422" t="s">
        <v>2706</v>
      </c>
      <c r="C40" s="2619" t="s">
        <v>3065</v>
      </c>
      <c r="D40" s="435">
        <v>100</v>
      </c>
      <c r="E40" s="2619" t="s">
        <v>3065</v>
      </c>
      <c r="F40" s="435">
        <f>SUMIF(121:121,E40,122:122)-SUMIF(121:121,C40,122:122)+100</f>
        <v>100</v>
      </c>
      <c r="G40" s="2619" t="s">
        <v>3065</v>
      </c>
      <c r="H40" s="435">
        <f>SUMIF(121:121,G40,122:122)-SUMIF(121:121,C40,122:122)+100</f>
        <v>100</v>
      </c>
      <c r="I40" s="2619" t="s">
        <v>3065</v>
      </c>
      <c r="J40" s="435">
        <f>SUMIF(121:121,I40,122:122)-SUMIF(121:121,C40,122:122)+100</f>
        <v>100</v>
      </c>
      <c r="K40" s="612">
        <v>1</v>
      </c>
      <c r="L40" s="1143"/>
      <c r="M40" s="1134"/>
      <c r="N40" s="1134"/>
      <c r="O40" s="1142"/>
      <c r="P40" s="3218"/>
      <c r="Q40" s="1812" t="str">
        <f t="shared" si="14"/>
        <v>临街宽度及深度</v>
      </c>
      <c r="R40" s="774" t="s">
        <v>17</v>
      </c>
      <c r="S40" s="775">
        <f t="shared" si="10"/>
        <v>100</v>
      </c>
      <c r="T40" s="774" t="s">
        <v>17</v>
      </c>
      <c r="U40" s="775">
        <f t="shared" si="11"/>
        <v>100</v>
      </c>
      <c r="V40" s="774" t="s">
        <v>17</v>
      </c>
      <c r="W40" s="775">
        <f t="shared" si="12"/>
        <v>100</v>
      </c>
      <c r="X40" s="1815"/>
      <c r="Y40" s="3218"/>
      <c r="Z40" s="1816" t="str">
        <f t="shared" si="13"/>
        <v>临街宽度及深度</v>
      </c>
      <c r="AA40" s="1813">
        <f t="shared" si="3"/>
        <v>1</v>
      </c>
      <c r="AB40" s="1813">
        <f t="shared" si="4"/>
        <v>1</v>
      </c>
      <c r="AC40" s="1813">
        <f t="shared" si="5"/>
        <v>1</v>
      </c>
    </row>
    <row r="41" spans="1:29" s="117" customFormat="1" ht="15">
      <c r="A41" s="473"/>
      <c r="B41" s="422" t="s">
        <v>2707</v>
      </c>
      <c r="C41" s="2708" t="s">
        <v>3068</v>
      </c>
      <c r="D41" s="136">
        <v>100</v>
      </c>
      <c r="E41" s="2708" t="s">
        <v>3068</v>
      </c>
      <c r="F41" s="435">
        <f>SUMIF(123:123,E41,124:124)-SUMIF(123:123,C41,124:124)+100</f>
        <v>100</v>
      </c>
      <c r="G41" s="2708" t="s">
        <v>3068</v>
      </c>
      <c r="H41" s="435">
        <f>SUMIF(123:123,G41,124:124)-SUMIF(123:123,C41,124:124)+100</f>
        <v>100</v>
      </c>
      <c r="I41" s="2708" t="s">
        <v>3068</v>
      </c>
      <c r="J41" s="435">
        <f>SUMIF(123:123,I41,124:124)-SUMIF(123:123,C41,124:124)+100</f>
        <v>100</v>
      </c>
      <c r="K41" s="612">
        <v>1</v>
      </c>
      <c r="L41" s="1135"/>
      <c r="M41" s="1136"/>
      <c r="N41" s="1136"/>
      <c r="O41" s="1137"/>
      <c r="P41" s="3218"/>
      <c r="Q41" s="1812"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2708</v>
      </c>
      <c r="C42" s="2619" t="s">
        <v>3073</v>
      </c>
      <c r="D42" s="435">
        <v>100</v>
      </c>
      <c r="E42" s="2619" t="s">
        <v>3073</v>
      </c>
      <c r="F42" s="435">
        <f>SUMIF(125:125,E42,126:126)-SUMIF(125:125,C42,126:126)+100</f>
        <v>100</v>
      </c>
      <c r="G42" s="2619" t="s">
        <v>3073</v>
      </c>
      <c r="H42" s="435">
        <f>SUMIF(125:125,G42,126:126)-SUMIF(125:125,C42,126:126)+100</f>
        <v>100</v>
      </c>
      <c r="I42" s="2619" t="s">
        <v>3073</v>
      </c>
      <c r="J42" s="435">
        <f>SUMIF(125:125,I42,126:126)-SUMIF(125:125,C42,126:126)+100</f>
        <v>100</v>
      </c>
      <c r="K42" s="612">
        <v>1</v>
      </c>
      <c r="L42" s="1143"/>
      <c r="M42" s="1134"/>
      <c r="N42" s="1134"/>
      <c r="O42" s="1142"/>
      <c r="P42" s="3218" t="s">
        <v>2520</v>
      </c>
      <c r="Q42" s="1812" t="str">
        <f t="shared" si="14"/>
        <v>工程地质条件</v>
      </c>
      <c r="R42" s="774" t="s">
        <v>17</v>
      </c>
      <c r="S42" s="775">
        <f t="shared" si="10"/>
        <v>100</v>
      </c>
      <c r="T42" s="774" t="s">
        <v>17</v>
      </c>
      <c r="U42" s="775">
        <f t="shared" si="11"/>
        <v>100</v>
      </c>
      <c r="V42" s="774" t="s">
        <v>17</v>
      </c>
      <c r="W42" s="775">
        <f t="shared" si="12"/>
        <v>100</v>
      </c>
      <c r="X42" s="1815"/>
      <c r="Y42" s="3218" t="s">
        <v>2520</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8"/>
      <c r="Q43" s="1812">
        <f t="shared" si="14"/>
        <v>0</v>
      </c>
      <c r="R43" s="774" t="s">
        <v>17</v>
      </c>
      <c r="S43" s="775">
        <f t="shared" si="10"/>
        <v>100</v>
      </c>
      <c r="T43" s="774" t="s">
        <v>17</v>
      </c>
      <c r="U43" s="775">
        <f t="shared" si="11"/>
        <v>100</v>
      </c>
      <c r="V43" s="774" t="s">
        <v>17</v>
      </c>
      <c r="W43" s="775">
        <f t="shared" si="12"/>
        <v>100</v>
      </c>
      <c r="X43" s="1815"/>
      <c r="Y43" s="3218"/>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8"/>
      <c r="Q44" s="1812">
        <f t="shared" si="14"/>
        <v>0</v>
      </c>
      <c r="R44" s="774" t="s">
        <v>17</v>
      </c>
      <c r="S44" s="775">
        <f t="shared" si="10"/>
        <v>100</v>
      </c>
      <c r="T44" s="774" t="s">
        <v>17</v>
      </c>
      <c r="U44" s="775">
        <f t="shared" si="11"/>
        <v>100</v>
      </c>
      <c r="V44" s="774" t="s">
        <v>17</v>
      </c>
      <c r="W44" s="775">
        <f t="shared" si="12"/>
        <v>100</v>
      </c>
      <c r="X44" s="1815"/>
      <c r="Y44" s="3218"/>
      <c r="Z44" s="1816">
        <f t="shared" si="13"/>
        <v>0</v>
      </c>
      <c r="AA44" s="1813">
        <f t="shared" si="3"/>
        <v>1</v>
      </c>
      <c r="AB44" s="1813">
        <f t="shared" si="4"/>
        <v>1</v>
      </c>
      <c r="AC44" s="1813">
        <f t="shared" si="5"/>
        <v>1</v>
      </c>
    </row>
    <row r="45" spans="1:29" s="471" customFormat="1" ht="15.75" thickBot="1">
      <c r="A45" s="468"/>
      <c r="B45" s="1390"/>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8"/>
      <c r="Q45" s="1812">
        <f t="shared" si="14"/>
        <v>0</v>
      </c>
      <c r="R45" s="777" t="s">
        <v>17</v>
      </c>
      <c r="S45" s="778">
        <f t="shared" si="10"/>
        <v>100</v>
      </c>
      <c r="T45" s="777" t="s">
        <v>17</v>
      </c>
      <c r="U45" s="778">
        <f t="shared" si="11"/>
        <v>100</v>
      </c>
      <c r="V45" s="777" t="s">
        <v>17</v>
      </c>
      <c r="W45" s="778">
        <f t="shared" si="12"/>
        <v>100</v>
      </c>
      <c r="X45" s="779"/>
      <c r="Y45" s="3218"/>
      <c r="Z45" s="780">
        <f t="shared" si="13"/>
        <v>0</v>
      </c>
      <c r="AA45" s="1813">
        <f t="shared" si="3"/>
        <v>1</v>
      </c>
      <c r="AB45" s="1813">
        <f t="shared" si="4"/>
        <v>1</v>
      </c>
      <c r="AC45" s="1813">
        <f t="shared" si="5"/>
        <v>1</v>
      </c>
    </row>
    <row r="46" spans="1:29" ht="15">
      <c r="A46" s="479" t="s">
        <v>2674</v>
      </c>
      <c r="B46" s="2710" t="s">
        <v>2709</v>
      </c>
      <c r="C46" s="682" t="s">
        <v>1</v>
      </c>
      <c r="D46" s="481"/>
      <c r="E46" s="482">
        <v>5573</v>
      </c>
      <c r="F46" s="483"/>
      <c r="G46" s="484">
        <v>4477</v>
      </c>
      <c r="H46" s="485"/>
      <c r="I46" s="482">
        <v>5000</v>
      </c>
      <c r="J46" s="485"/>
      <c r="K46" s="783"/>
      <c r="L46" s="1146"/>
      <c r="M46" s="1147"/>
      <c r="N46" s="1134"/>
      <c r="O46" s="1147"/>
      <c r="P46" s="3213" t="str">
        <f>A46</f>
        <v>成交单价</v>
      </c>
      <c r="Q46" s="3213"/>
      <c r="R46" s="3219">
        <f>E46</f>
        <v>5573</v>
      </c>
      <c r="S46" s="3219"/>
      <c r="T46" s="3219">
        <f>G46</f>
        <v>4477</v>
      </c>
      <c r="U46" s="3219"/>
      <c r="V46" s="3219">
        <f>I46</f>
        <v>5000</v>
      </c>
      <c r="W46" s="3219"/>
      <c r="X46" s="759"/>
      <c r="Y46" s="781"/>
      <c r="Z46" s="759"/>
      <c r="AA46" s="759"/>
      <c r="AB46" s="759"/>
      <c r="AC46" s="759"/>
    </row>
    <row r="47" spans="1:29" ht="15.75" thickBot="1">
      <c r="A47" s="486" t="s">
        <v>2623</v>
      </c>
      <c r="B47" s="683"/>
      <c r="C47" s="490">
        <f>R48</f>
        <v>4500</v>
      </c>
      <c r="D47" s="489"/>
      <c r="E47" s="490">
        <f>R47</f>
        <v>4972</v>
      </c>
      <c r="F47" s="491"/>
      <c r="G47" s="488">
        <f>T47</f>
        <v>4244</v>
      </c>
      <c r="H47" s="489"/>
      <c r="I47" s="490">
        <f>V47</f>
        <v>4284</v>
      </c>
      <c r="J47" s="489"/>
      <c r="K47" s="784"/>
      <c r="L47" s="1146"/>
      <c r="M47" s="1147"/>
      <c r="N47" s="1147"/>
      <c r="O47" s="1147"/>
      <c r="P47" s="3213" t="str">
        <f>A47</f>
        <v>比较价值（元/平方米）</v>
      </c>
      <c r="Q47" s="3213"/>
      <c r="R47" s="3206">
        <f>ROUND(PRODUCT(R46,AA7:AA45),0)</f>
        <v>4972</v>
      </c>
      <c r="S47" s="3206"/>
      <c r="T47" s="3206">
        <f>ROUND(PRODUCT(T46,AB7:AB45),0)</f>
        <v>4244</v>
      </c>
      <c r="U47" s="3206"/>
      <c r="V47" s="3206">
        <f>ROUND(PRODUCT(V46,AC7:AC45),0)</f>
        <v>4284</v>
      </c>
      <c r="W47" s="3206"/>
      <c r="X47" s="759"/>
      <c r="Y47" s="759"/>
      <c r="Z47" s="759"/>
      <c r="AA47" s="759"/>
      <c r="AB47" s="759"/>
      <c r="AC47" s="759"/>
    </row>
    <row r="48" spans="1:29" ht="15.75" thickBot="1">
      <c r="A48" s="492" t="s">
        <v>2710</v>
      </c>
      <c r="B48" s="493"/>
      <c r="C48" s="494">
        <f>R48</f>
        <v>4500</v>
      </c>
      <c r="D48" s="494"/>
      <c r="E48" s="494"/>
      <c r="F48" s="494"/>
      <c r="G48" s="494"/>
      <c r="H48" s="494"/>
      <c r="I48" s="494"/>
      <c r="J48" s="494"/>
      <c r="K48" s="785"/>
      <c r="L48" s="1146"/>
      <c r="M48" s="1147"/>
      <c r="N48" s="1147"/>
      <c r="O48" s="1147"/>
      <c r="P48" s="3207" t="str">
        <f>A48</f>
        <v>估价对象XX用房的比较价值（楼面单价，元/平方米）</v>
      </c>
      <c r="Q48" s="3208"/>
      <c r="R48" s="3209">
        <f>ROUND(AVERAGE(R47:V47),0)</f>
        <v>4500</v>
      </c>
      <c r="S48" s="3209"/>
      <c r="T48" s="3209"/>
      <c r="U48" s="3209"/>
      <c r="V48" s="3209"/>
      <c r="W48" s="320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2625</v>
      </c>
      <c r="D51" s="498"/>
      <c r="E51" s="499">
        <f>IF(E46&lt;E47,E47/E46-1,E46/E47-1)</f>
        <v>0.12087691069991946</v>
      </c>
      <c r="F51" s="500" t="str">
        <f>IF(OR(E51&gt;=0.3,E51&lt;=-0.3),"超过30%","")</f>
        <v/>
      </c>
      <c r="G51" s="499">
        <f>IF(G46&lt;G47,G47/G46-1,G46/G47-1)</f>
        <v>5.4901036757775579E-2</v>
      </c>
      <c r="H51" s="500" t="str">
        <f>IF(OR(G51&gt;=0.3,G51&lt;=-0.3),"超过30%","")</f>
        <v/>
      </c>
      <c r="I51" s="499">
        <f>IF(I46&lt;I47,I47/I46-1,I46/I47-1)</f>
        <v>0.16713352007469662</v>
      </c>
      <c r="J51" s="500" t="str">
        <f>IF(OR(I51&gt;=0.3,I51&lt;=-0.3),"超过30%","")</f>
        <v/>
      </c>
      <c r="K51" s="1108"/>
      <c r="L51" s="1109"/>
      <c r="M51" s="1147"/>
      <c r="N51" s="1147"/>
      <c r="O51" s="1147"/>
    </row>
    <row r="52" spans="1:15" ht="13.5" customHeight="1">
      <c r="A52" s="1147"/>
      <c r="B52" s="1147"/>
      <c r="C52" s="497" t="s">
        <v>2626</v>
      </c>
      <c r="D52" s="501"/>
      <c r="E52" s="499">
        <f>IF(E47&lt;G47,G47/E47-1,E47/G47-1)</f>
        <v>0.17153628652214881</v>
      </c>
      <c r="F52" s="500" t="str">
        <f>IF(OR(E52&gt;=0.2,E52&lt;=-0.2),"超过20%","")</f>
        <v/>
      </c>
      <c r="G52" s="499">
        <f>IF(G47&lt;I47,I47/G47-1,G47/I47-1)</f>
        <v>9.4250706880301127E-3</v>
      </c>
      <c r="H52" s="500" t="str">
        <f>IF(OR(G52&gt;=0.2,G52&lt;=-0.2),"超过20%","")</f>
        <v/>
      </c>
      <c r="I52" s="499">
        <f>IF(I47&lt;E47,E47/I47-1,I47/E47-1)</f>
        <v>0.16059757236227834</v>
      </c>
      <c r="J52" s="500" t="str">
        <f>IF(OR(I52&gt;=0.2,I52&lt;=-0.2),"超过20%","")</f>
        <v/>
      </c>
      <c r="K52" s="1108"/>
      <c r="L52" s="1109"/>
      <c r="M52" s="1147"/>
      <c r="N52" s="1147"/>
      <c r="O52" s="1147"/>
    </row>
    <row r="53" spans="1:15" s="502" customFormat="1" ht="13.5" customHeight="1">
      <c r="A53" s="1148"/>
      <c r="B53" s="1148"/>
      <c r="C53" s="497" t="s">
        <v>2627</v>
      </c>
      <c r="D53" s="501"/>
      <c r="E53" s="499">
        <f>IF(E46&lt;G46,G46/E46-1,E46/G46-1)</f>
        <v>0.24480679026133578</v>
      </c>
      <c r="F53" s="500" t="str">
        <f>IF(OR(E53&gt;=0.3,E53&lt;=-0.3),"超过30%","")</f>
        <v/>
      </c>
      <c r="G53" s="499">
        <f>IF(G46&lt;I46,I46/G46-1,G46/I46-1)</f>
        <v>0.11681929863748053</v>
      </c>
      <c r="H53" s="500" t="str">
        <f>IF(OR(G53&gt;=0.3,G53&lt;=-0.3),"超过30%","")</f>
        <v/>
      </c>
      <c r="I53" s="499">
        <f>IF(I46&lt;E46,E46/I46-1,I46/E46-1)</f>
        <v>0.11460000000000004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2711</v>
      </c>
      <c r="B55" s="685" t="s">
        <v>2712</v>
      </c>
      <c r="C55" s="2711" t="s">
        <v>2713</v>
      </c>
      <c r="D55" s="2712" t="s">
        <v>2714</v>
      </c>
      <c r="E55" s="686" t="s">
        <v>2715</v>
      </c>
      <c r="F55" s="1110" t="s">
        <v>2716</v>
      </c>
      <c r="G55" s="3210" t="s">
        <v>2717</v>
      </c>
      <c r="H55" s="3211"/>
      <c r="I55" s="144" t="s">
        <v>2718</v>
      </c>
      <c r="J55" s="2713" t="str">
        <f>项目基本情况!F35</f>
        <v>湖南省长沙市</v>
      </c>
      <c r="K55" s="2714" t="s">
        <v>2719</v>
      </c>
      <c r="L55" s="1109"/>
      <c r="M55" s="1147"/>
      <c r="N55" s="1147"/>
      <c r="O55" s="1147"/>
    </row>
    <row r="56" spans="1:15" s="692" customFormat="1">
      <c r="A56" s="688" t="s">
        <v>2720</v>
      </c>
      <c r="B56" s="689">
        <f>C48</f>
        <v>4500</v>
      </c>
      <c r="C56" s="690">
        <v>1</v>
      </c>
      <c r="D56" s="1166">
        <v>1</v>
      </c>
      <c r="E56" s="690">
        <f>'数据-汇总表'!E8+'数据-汇总表'!E9</f>
        <v>43156.770000000026</v>
      </c>
      <c r="F56" s="1106">
        <f t="shared" ref="F56:F65" si="15">ROUND(B56*E56/10000,0)</f>
        <v>19421</v>
      </c>
      <c r="G56" s="3212"/>
      <c r="H56" s="3213"/>
      <c r="I56" s="1111">
        <v>1</v>
      </c>
      <c r="J56" s="1114">
        <v>1</v>
      </c>
      <c r="K56" s="1148"/>
      <c r="L56" s="944"/>
      <c r="M56" s="944"/>
      <c r="N56" s="944"/>
      <c r="O56" s="944"/>
    </row>
    <row r="57" spans="1:15" s="692" customFormat="1">
      <c r="A57" s="693" t="s">
        <v>2721</v>
      </c>
      <c r="B57" s="262">
        <f>ROUND($C$48*C57*D57,0)</f>
        <v>0</v>
      </c>
      <c r="C57" s="200">
        <f t="shared" ref="C57:C65" si="16">IF($C$55="北京市系数",I57,J57)</f>
        <v>0</v>
      </c>
      <c r="D57" s="1167">
        <v>0.25</v>
      </c>
      <c r="E57" s="694"/>
      <c r="F57" s="1106">
        <f t="shared" si="15"/>
        <v>0</v>
      </c>
      <c r="G57" s="3214" t="s">
        <v>2722</v>
      </c>
      <c r="H57" s="1107">
        <f>项目基本情况!B37</f>
        <v>0</v>
      </c>
      <c r="I57" s="1111">
        <f>SUMIF(修正!A45:A56,H57,修正!B45:B56)</f>
        <v>0</v>
      </c>
      <c r="J57" s="1115"/>
      <c r="K57" s="1147"/>
      <c r="L57" s="944"/>
      <c r="M57" s="944"/>
      <c r="N57" s="944"/>
      <c r="O57" s="944"/>
    </row>
    <row r="58" spans="1:15" s="692" customFormat="1">
      <c r="A58" s="693" t="s">
        <v>2723</v>
      </c>
      <c r="B58" s="262">
        <f t="shared" ref="B58:B65" si="17">ROUND($C$48*C58*D58,0)</f>
        <v>0</v>
      </c>
      <c r="C58" s="200">
        <f t="shared" si="16"/>
        <v>0</v>
      </c>
      <c r="D58" s="1167">
        <v>0.25</v>
      </c>
      <c r="E58" s="694"/>
      <c r="F58" s="1106">
        <f t="shared" si="15"/>
        <v>0</v>
      </c>
      <c r="G58" s="3214"/>
      <c r="H58" s="1107">
        <f>项目基本情况!B37</f>
        <v>0</v>
      </c>
      <c r="I58" s="1111">
        <f>SUMIF(修正!A45:A56,H58,修正!C45:C56)</f>
        <v>0</v>
      </c>
      <c r="J58" s="1115"/>
      <c r="K58" s="1148"/>
      <c r="L58" s="944"/>
      <c r="M58" s="944"/>
      <c r="N58" s="944"/>
      <c r="O58" s="944"/>
    </row>
    <row r="59" spans="1:15" s="692" customFormat="1">
      <c r="A59" s="693" t="s">
        <v>2724</v>
      </c>
      <c r="B59" s="262">
        <f t="shared" si="17"/>
        <v>0</v>
      </c>
      <c r="C59" s="200">
        <f t="shared" si="16"/>
        <v>0</v>
      </c>
      <c r="D59" s="1167">
        <v>0.25</v>
      </c>
      <c r="E59" s="694"/>
      <c r="F59" s="1106">
        <f t="shared" si="15"/>
        <v>0</v>
      </c>
      <c r="G59" s="3214"/>
      <c r="H59" s="1107">
        <f>项目基本情况!B37</f>
        <v>0</v>
      </c>
      <c r="I59" s="1111">
        <f>SUMIF(修正!A45:A56,H59,修正!D45:D56)</f>
        <v>0</v>
      </c>
      <c r="J59" s="1115"/>
      <c r="K59" s="1147"/>
      <c r="L59" s="944"/>
      <c r="M59" s="944"/>
      <c r="N59" s="944"/>
      <c r="O59" s="944"/>
    </row>
    <row r="60" spans="1:15" s="692" customFormat="1">
      <c r="A60" s="693" t="s">
        <v>2725</v>
      </c>
      <c r="B60" s="262">
        <f t="shared" si="17"/>
        <v>0</v>
      </c>
      <c r="C60" s="200">
        <f t="shared" si="16"/>
        <v>0</v>
      </c>
      <c r="D60" s="1167">
        <v>0.25</v>
      </c>
      <c r="E60" s="694"/>
      <c r="F60" s="1106">
        <f t="shared" si="15"/>
        <v>0</v>
      </c>
      <c r="G60" s="3214"/>
      <c r="H60" s="1107">
        <f>项目基本情况!B37</f>
        <v>0</v>
      </c>
      <c r="I60" s="1111">
        <f>SUMIF(修正!A45:A56,H60,修正!E45:E56)</f>
        <v>0</v>
      </c>
      <c r="J60" s="1115"/>
      <c r="K60" s="1148"/>
      <c r="L60" s="944"/>
      <c r="M60" s="944"/>
      <c r="N60" s="944"/>
      <c r="O60" s="944"/>
    </row>
    <row r="61" spans="1:15" s="692" customFormat="1">
      <c r="A61" s="693" t="s">
        <v>2726</v>
      </c>
      <c r="B61" s="262">
        <f t="shared" si="17"/>
        <v>0</v>
      </c>
      <c r="C61" s="200">
        <f t="shared" si="16"/>
        <v>0</v>
      </c>
      <c r="D61" s="1167">
        <v>0.25</v>
      </c>
      <c r="E61" s="261">
        <f>'数据-汇总表'!E11</f>
        <v>0</v>
      </c>
      <c r="F61" s="1106">
        <f t="shared" si="15"/>
        <v>0</v>
      </c>
      <c r="G61" s="2715" t="s">
        <v>2727</v>
      </c>
      <c r="H61" s="1107">
        <f>项目基本情况!C37</f>
        <v>0</v>
      </c>
      <c r="I61" s="1111">
        <f>SUMIF(修正!A45:A56,H61,修正!F45:F56)</f>
        <v>0</v>
      </c>
      <c r="J61" s="1115"/>
      <c r="K61" s="1147"/>
      <c r="L61" s="944"/>
      <c r="M61" s="944"/>
      <c r="N61" s="944"/>
      <c r="O61" s="944"/>
    </row>
    <row r="62" spans="1:15" s="692" customFormat="1">
      <c r="A62" s="693" t="s">
        <v>2728</v>
      </c>
      <c r="B62" s="262">
        <f t="shared" si="17"/>
        <v>0</v>
      </c>
      <c r="C62" s="200">
        <f t="shared" si="16"/>
        <v>0</v>
      </c>
      <c r="D62" s="1167">
        <v>0.25</v>
      </c>
      <c r="E62" s="261">
        <f>'数据-汇总表'!E12</f>
        <v>0</v>
      </c>
      <c r="F62" s="1106">
        <f t="shared" si="15"/>
        <v>0</v>
      </c>
      <c r="G62" s="1112" t="s">
        <v>2729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2730</v>
      </c>
      <c r="B63" s="262">
        <f t="shared" si="17"/>
        <v>0</v>
      </c>
      <c r="C63" s="200">
        <f t="shared" si="16"/>
        <v>0</v>
      </c>
      <c r="D63" s="1167">
        <v>0.25</v>
      </c>
      <c r="E63" s="261">
        <f>'数据-汇总表'!E13</f>
        <v>0</v>
      </c>
      <c r="F63" s="1106">
        <f t="shared" si="15"/>
        <v>0</v>
      </c>
      <c r="G63" s="1112" t="s">
        <v>2731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2732</v>
      </c>
      <c r="B64" s="262">
        <f t="shared" si="17"/>
        <v>0</v>
      </c>
      <c r="C64" s="200">
        <f t="shared" si="16"/>
        <v>0</v>
      </c>
      <c r="D64" s="1167">
        <v>0.25</v>
      </c>
      <c r="E64" s="261">
        <f>'数据-汇总表'!E14</f>
        <v>0</v>
      </c>
      <c r="F64" s="1106">
        <f t="shared" si="15"/>
        <v>0</v>
      </c>
      <c r="G64" s="2715" t="s">
        <v>2722</v>
      </c>
      <c r="H64" s="1107">
        <f>项目基本情况!B37</f>
        <v>0</v>
      </c>
      <c r="I64" s="1111">
        <f>SUMIF(修正!A45:A56,H64,修正!H45:H56)</f>
        <v>0</v>
      </c>
      <c r="J64" s="1115"/>
      <c r="K64" s="1148"/>
      <c r="L64" s="944"/>
      <c r="M64" s="944"/>
      <c r="N64" s="944"/>
      <c r="O64" s="944"/>
    </row>
    <row r="65" spans="1:17" s="692" customFormat="1" ht="15" thickBot="1">
      <c r="A65" s="693" t="s">
        <v>2733</v>
      </c>
      <c r="B65" s="262">
        <f t="shared" si="17"/>
        <v>0</v>
      </c>
      <c r="C65" s="200">
        <f t="shared" si="16"/>
        <v>0</v>
      </c>
      <c r="D65" s="1167">
        <v>0.25</v>
      </c>
      <c r="E65" s="261">
        <f>'数据-汇总表'!E15</f>
        <v>0</v>
      </c>
      <c r="F65" s="1106">
        <f t="shared" si="15"/>
        <v>0</v>
      </c>
      <c r="G65" s="2716" t="s">
        <v>2727</v>
      </c>
      <c r="H65" s="1117">
        <f>项目基本情况!C37</f>
        <v>0</v>
      </c>
      <c r="I65" s="1113">
        <f>SUMIF(修正!A45:A56,H65,修正!H45:H56)</f>
        <v>0</v>
      </c>
      <c r="J65" s="1116"/>
      <c r="K65" s="1147"/>
      <c r="L65" s="944"/>
      <c r="M65" s="944"/>
      <c r="N65" s="944"/>
      <c r="O65" s="944"/>
    </row>
    <row r="66" spans="1:17" s="692" customFormat="1" ht="13.5" thickBot="1">
      <c r="A66" s="695" t="s">
        <v>2734</v>
      </c>
      <c r="B66" s="696" t="s">
        <v>28</v>
      </c>
      <c r="C66" s="696" t="s">
        <v>29</v>
      </c>
      <c r="D66" s="696" t="s">
        <v>1028</v>
      </c>
      <c r="E66" s="696">
        <f>IF(B46="楼面地价",SUM(E56:E65),'数据-汇总表'!D3)</f>
        <v>43156.770000000026</v>
      </c>
      <c r="F66" s="697">
        <f>IF(B46="楼面地价",SUM(F56:F65),ROUND(C48*E66/10000,0))</f>
        <v>19421</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2628</v>
      </c>
      <c r="B69" s="759"/>
      <c r="C69" s="764"/>
      <c r="D69" s="764"/>
      <c r="E69" s="764"/>
      <c r="F69" s="765"/>
      <c r="G69" s="765"/>
      <c r="H69" s="764"/>
      <c r="I69" s="764"/>
      <c r="J69" s="1162"/>
      <c r="K69" s="1163"/>
      <c r="L69" s="1164"/>
      <c r="M69" s="1162"/>
      <c r="N69" s="1162"/>
      <c r="O69" s="1162"/>
      <c r="P69" s="503"/>
      <c r="Q69" s="504"/>
    </row>
    <row r="70" spans="1:17" s="508" customFormat="1" ht="15">
      <c r="A70" s="2717" t="s">
        <v>2735</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8" t="s">
        <v>2736</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2539</v>
      </c>
      <c r="B72" s="516"/>
      <c r="C72" s="517"/>
      <c r="D72" s="518"/>
      <c r="E72" s="518"/>
      <c r="F72" s="518"/>
      <c r="G72" s="518"/>
      <c r="H72" s="518"/>
      <c r="I72" s="518"/>
      <c r="J72" s="518"/>
      <c r="K72" s="518"/>
      <c r="L72" s="518"/>
      <c r="M72" s="519"/>
      <c r="N72" s="518"/>
      <c r="O72" s="1165"/>
      <c r="P72" s="504"/>
      <c r="Q72" s="504"/>
    </row>
    <row r="73" spans="1:17" s="117" customFormat="1" ht="15">
      <c r="A73" s="521" t="s">
        <v>2505</v>
      </c>
      <c r="B73" s="510"/>
      <c r="C73" s="522" t="s">
        <v>2606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2542</v>
      </c>
      <c r="B75" s="528" t="s">
        <v>2509</v>
      </c>
      <c r="C75" s="2948" t="s">
        <v>3053</v>
      </c>
      <c r="D75" s="2948" t="s">
        <v>3394</v>
      </c>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2512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2513</v>
      </c>
      <c r="C79" s="547" t="str">
        <f>C80&amp;"（含）"&amp;"-"&amp;D80</f>
        <v>1（含）-2</v>
      </c>
      <c r="D79" s="547" t="str">
        <f t="shared" ref="D79:L79" si="20">D80&amp;"（含）"&amp;"-"&amp;E80</f>
        <v>2（含）-3</v>
      </c>
      <c r="E79" s="547" t="str">
        <f t="shared" si="20"/>
        <v>3（含）-4</v>
      </c>
      <c r="F79" s="547" t="str">
        <f t="shared" si="20"/>
        <v>4（含）-5</v>
      </c>
      <c r="G79" s="547" t="str">
        <f t="shared" si="20"/>
        <v>5（含）-6</v>
      </c>
      <c r="H79" s="547" t="str">
        <f t="shared" si="20"/>
        <v>6（含）-7</v>
      </c>
      <c r="I79" s="547" t="str">
        <f t="shared" si="20"/>
        <v>7（含）-8</v>
      </c>
      <c r="J79" s="547" t="str">
        <f t="shared" si="20"/>
        <v>8（含）-9</v>
      </c>
      <c r="K79" s="547" t="str">
        <f t="shared" si="20"/>
        <v>9（含）-10</v>
      </c>
      <c r="L79" s="547" t="str">
        <f t="shared" si="20"/>
        <v>10（含）-11</v>
      </c>
      <c r="M79" s="448" t="str">
        <f>M80&amp;"（含）"&amp;"-"&amp;P80</f>
        <v>11（含）-</v>
      </c>
      <c r="N79" s="1156"/>
      <c r="O79" s="1156"/>
      <c r="P79" s="45"/>
      <c r="Q79" s="504"/>
    </row>
    <row r="80" spans="1:17" ht="15">
      <c r="A80" s="534"/>
      <c r="B80" s="548"/>
      <c r="C80" s="549">
        <v>1</v>
      </c>
      <c r="D80" s="549">
        <v>2</v>
      </c>
      <c r="E80" s="549">
        <v>3</v>
      </c>
      <c r="F80" s="549">
        <v>4</v>
      </c>
      <c r="G80" s="549">
        <v>5</v>
      </c>
      <c r="H80" s="549">
        <v>6</v>
      </c>
      <c r="I80" s="549">
        <v>7</v>
      </c>
      <c r="J80" s="549">
        <v>8</v>
      </c>
      <c r="K80" s="550">
        <v>9</v>
      </c>
      <c r="L80" s="551">
        <v>10</v>
      </c>
      <c r="M80" s="552">
        <v>11</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f>B12</f>
        <v>0</v>
      </c>
      <c r="C82" s="2949" t="s">
        <v>3049</v>
      </c>
      <c r="D82" s="2950" t="s">
        <v>3054</v>
      </c>
      <c r="E82" s="554"/>
      <c r="F82" s="554"/>
      <c r="G82" s="554"/>
      <c r="H82" s="555"/>
      <c r="I82" s="555"/>
      <c r="J82" s="555"/>
      <c r="K82" s="555"/>
      <c r="L82" s="556"/>
      <c r="M82" s="557"/>
      <c r="N82" s="1157"/>
      <c r="O82" s="1157"/>
      <c r="P82" s="558"/>
      <c r="Q82" s="559"/>
    </row>
    <row r="83" spans="1:17" s="471" customFormat="1" ht="15.75" thickBot="1">
      <c r="A83" s="553"/>
      <c r="B83" s="543"/>
      <c r="C83" s="560">
        <v>100</v>
      </c>
      <c r="D83" s="536">
        <v>96</v>
      </c>
      <c r="E83" s="536"/>
      <c r="F83" s="536"/>
      <c r="G83" s="536"/>
      <c r="H83" s="536"/>
      <c r="I83" s="536"/>
      <c r="J83" s="536"/>
      <c r="K83" s="536"/>
      <c r="L83" s="536"/>
      <c r="M83" s="537"/>
      <c r="N83" s="1156"/>
      <c r="O83" s="1156"/>
      <c r="P83" s="558"/>
      <c r="Q83" s="559"/>
    </row>
    <row r="84" spans="1:17" s="471" customFormat="1" ht="15.75" thickTop="1">
      <c r="A84" s="553"/>
      <c r="B84" s="538" t="str">
        <f>B13</f>
        <v>商业占比</v>
      </c>
      <c r="C84" s="554" t="s">
        <v>3120</v>
      </c>
      <c r="D84" s="554" t="s">
        <v>3121</v>
      </c>
      <c r="E84" s="554"/>
      <c r="F84" s="554"/>
      <c r="G84" s="554"/>
      <c r="H84" s="555"/>
      <c r="I84" s="555"/>
      <c r="J84" s="555"/>
      <c r="K84" s="555"/>
      <c r="L84" s="556"/>
      <c r="M84" s="557"/>
      <c r="N84" s="1157"/>
      <c r="O84" s="1157"/>
      <c r="P84" s="470"/>
      <c r="Q84" s="561"/>
    </row>
    <row r="85" spans="1:17" s="471" customFormat="1" ht="15.75" thickBot="1">
      <c r="A85" s="553"/>
      <c r="B85" s="543"/>
      <c r="C85" s="560">
        <v>100</v>
      </c>
      <c r="D85" s="560">
        <v>105</v>
      </c>
      <c r="E85" s="560"/>
      <c r="F85" s="560"/>
      <c r="G85" s="560"/>
      <c r="H85" s="562"/>
      <c r="I85" s="562"/>
      <c r="J85" s="562"/>
      <c r="K85" s="562"/>
      <c r="L85" s="562"/>
      <c r="M85" s="563"/>
      <c r="N85" s="1157"/>
      <c r="O85" s="1157"/>
      <c r="P85" s="558"/>
      <c r="Q85" s="559"/>
    </row>
    <row r="86" spans="1:17" s="471" customFormat="1" ht="15.75" thickTop="1">
      <c r="A86" s="553"/>
      <c r="B86" s="546" t="str">
        <f>B14</f>
        <v xml:space="preserve">是否还建 </v>
      </c>
      <c r="C86" s="523" t="s">
        <v>3015</v>
      </c>
      <c r="D86" s="523" t="s">
        <v>3016</v>
      </c>
      <c r="E86" s="523"/>
      <c r="F86" s="523"/>
      <c r="G86" s="523"/>
      <c r="H86" s="564"/>
      <c r="I86" s="564"/>
      <c r="J86" s="564"/>
      <c r="K86" s="564"/>
      <c r="L86" s="565"/>
      <c r="M86" s="566"/>
      <c r="N86" s="1157"/>
      <c r="O86" s="1157"/>
      <c r="P86" s="567"/>
      <c r="Q86" s="559"/>
    </row>
    <row r="87" spans="1:17" s="471" customFormat="1" ht="15.75" thickBot="1">
      <c r="A87" s="568"/>
      <c r="B87" s="569"/>
      <c r="C87" s="570">
        <v>100</v>
      </c>
      <c r="D87" s="570">
        <v>95</v>
      </c>
      <c r="E87" s="570"/>
      <c r="F87" s="570"/>
      <c r="G87" s="570"/>
      <c r="H87" s="571"/>
      <c r="I87" s="571"/>
      <c r="J87" s="571"/>
      <c r="K87" s="571"/>
      <c r="L87" s="571"/>
      <c r="M87" s="572"/>
      <c r="N87" s="1157"/>
      <c r="O87" s="1157"/>
      <c r="P87" s="558"/>
      <c r="Q87" s="559"/>
    </row>
    <row r="88" spans="1:17">
      <c r="A88" s="527" t="s">
        <v>2514</v>
      </c>
      <c r="B88" s="528" t="s">
        <v>2550</v>
      </c>
      <c r="C88" s="573" t="s">
        <v>2551</v>
      </c>
      <c r="D88" s="573" t="s">
        <v>2552</v>
      </c>
      <c r="E88" s="573" t="s">
        <v>2553</v>
      </c>
      <c r="F88" s="573" t="s">
        <v>2554</v>
      </c>
      <c r="G88" s="573" t="s">
        <v>2555</v>
      </c>
      <c r="H88" s="529"/>
      <c r="I88" s="529"/>
      <c r="J88" s="529"/>
      <c r="K88" s="574"/>
      <c r="L88" s="575"/>
      <c r="M88" s="576"/>
      <c r="N88" s="1155"/>
      <c r="O88" s="1155"/>
      <c r="P88" s="577"/>
      <c r="Q88" s="504"/>
    </row>
    <row r="89" spans="1:17" ht="15.75" thickBot="1">
      <c r="A89" s="534"/>
      <c r="B89" s="543"/>
      <c r="C89" s="544">
        <v>100</v>
      </c>
      <c r="D89" s="544">
        <f>C89-$K15</f>
        <v>94</v>
      </c>
      <c r="E89" s="544">
        <f>D89-$K15</f>
        <v>88</v>
      </c>
      <c r="F89" s="544">
        <f>E89-$K15</f>
        <v>82</v>
      </c>
      <c r="G89" s="544">
        <f>F89-$K15</f>
        <v>76</v>
      </c>
      <c r="H89" s="544"/>
      <c r="I89" s="544"/>
      <c r="J89" s="544"/>
      <c r="K89" s="544"/>
      <c r="L89" s="544"/>
      <c r="M89" s="545"/>
      <c r="N89" s="1156"/>
      <c r="O89" s="1156"/>
      <c r="P89" s="45"/>
      <c r="Q89" s="504"/>
    </row>
    <row r="90" spans="1:17" ht="15.75" thickTop="1">
      <c r="A90" s="534"/>
      <c r="B90" s="538" t="s">
        <v>2737</v>
      </c>
      <c r="C90" s="578" t="s">
        <v>2551</v>
      </c>
      <c r="D90" s="578" t="s">
        <v>2552</v>
      </c>
      <c r="E90" s="578" t="s">
        <v>2553</v>
      </c>
      <c r="F90" s="578" t="s">
        <v>2554</v>
      </c>
      <c r="G90" s="578" t="s">
        <v>2555</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2651</v>
      </c>
      <c r="C92" s="578" t="s">
        <v>2551</v>
      </c>
      <c r="D92" s="578" t="s">
        <v>2552</v>
      </c>
      <c r="E92" s="578" t="s">
        <v>2553</v>
      </c>
      <c r="F92" s="578" t="s">
        <v>2554</v>
      </c>
      <c r="G92" s="578" t="s">
        <v>2555</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2556</v>
      </c>
      <c r="C94" s="578" t="s">
        <v>2551</v>
      </c>
      <c r="D94" s="578" t="s">
        <v>2552</v>
      </c>
      <c r="E94" s="578" t="s">
        <v>2553</v>
      </c>
      <c r="F94" s="578" t="s">
        <v>2554</v>
      </c>
      <c r="G94" s="578" t="s">
        <v>2555</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2738</v>
      </c>
      <c r="C96" s="578" t="s">
        <v>2551</v>
      </c>
      <c r="D96" s="578" t="s">
        <v>2552</v>
      </c>
      <c r="E96" s="578" t="s">
        <v>2553</v>
      </c>
      <c r="F96" s="578" t="s">
        <v>2554</v>
      </c>
      <c r="G96" s="578" t="s">
        <v>2555</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2739</v>
      </c>
      <c r="C98" s="573" t="s">
        <v>2551</v>
      </c>
      <c r="D98" s="573" t="s">
        <v>2552</v>
      </c>
      <c r="E98" s="573" t="s">
        <v>2553</v>
      </c>
      <c r="F98" s="573" t="s">
        <v>2554</v>
      </c>
      <c r="G98" s="573" t="s">
        <v>2555</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2608</v>
      </c>
      <c r="C100" s="573" t="s">
        <v>2551</v>
      </c>
      <c r="D100" s="573" t="s">
        <v>2552</v>
      </c>
      <c r="E100" s="573" t="s">
        <v>2553</v>
      </c>
      <c r="F100" s="573" t="s">
        <v>2554</v>
      </c>
      <c r="G100" s="573" t="s">
        <v>2555</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2609</v>
      </c>
      <c r="C102" s="660" t="s">
        <v>2629</v>
      </c>
      <c r="D102" s="660" t="s">
        <v>2630</v>
      </c>
      <c r="E102" s="660" t="s">
        <v>2631</v>
      </c>
      <c r="F102" s="660" t="s">
        <v>2632</v>
      </c>
      <c r="G102" s="660" t="s">
        <v>2633</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2645</v>
      </c>
      <c r="C106" s="554" t="s">
        <v>3055</v>
      </c>
      <c r="D106" s="554" t="s">
        <v>3056</v>
      </c>
      <c r="E106" s="554" t="s">
        <v>3057</v>
      </c>
      <c r="F106" s="554" t="s">
        <v>3058</v>
      </c>
      <c r="G106" s="554" t="s">
        <v>3059</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2703</v>
      </c>
      <c r="C108" s="583" t="s">
        <v>3052</v>
      </c>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2518</v>
      </c>
      <c r="B116" s="528" t="s">
        <v>2744</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v>80000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2745</v>
      </c>
      <c r="C119" s="583" t="s">
        <v>3060</v>
      </c>
      <c r="D119" s="583" t="s">
        <v>3061</v>
      </c>
      <c r="E119" s="583" t="s">
        <v>3062</v>
      </c>
      <c r="F119" s="583" t="s">
        <v>3063</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2746</v>
      </c>
      <c r="C121" s="554" t="s">
        <v>3064</v>
      </c>
      <c r="D121" s="554" t="s">
        <v>3065</v>
      </c>
      <c r="E121" s="554" t="s">
        <v>3066</v>
      </c>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2747</v>
      </c>
      <c r="C123" s="2950" t="s">
        <v>3067</v>
      </c>
      <c r="D123" s="2950" t="s">
        <v>3068</v>
      </c>
      <c r="E123" s="2950" t="s">
        <v>3069</v>
      </c>
      <c r="F123" s="2950" t="s">
        <v>3070</v>
      </c>
      <c r="G123" s="2950" t="s">
        <v>3071</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2748</v>
      </c>
      <c r="C125" s="554" t="s">
        <v>3072</v>
      </c>
      <c r="D125" s="554" t="s">
        <v>3073</v>
      </c>
      <c r="E125" s="583" t="s">
        <v>3051</v>
      </c>
      <c r="F125" s="583" t="s">
        <v>3074</v>
      </c>
      <c r="G125" s="583" t="s">
        <v>3075</v>
      </c>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3020" t="str">
        <f>项目基本情况!B1</f>
        <v>湖南省长沙市出让国有建设用地使用权及在建建筑物抵押价格预评估</v>
      </c>
      <c r="C37" s="3020"/>
      <c r="D37" s="3020"/>
      <c r="E37" s="3020"/>
      <c r="F37" s="3020"/>
      <c r="G37" s="3020"/>
      <c r="H37" s="3020"/>
      <c r="I37" s="3020"/>
    </row>
    <row r="38" spans="1:9">
      <c r="A38" s="1019"/>
      <c r="B38" s="1019"/>
    </row>
    <row r="39" spans="1:9">
      <c r="A39" s="1017" t="s">
        <v>817</v>
      </c>
      <c r="B39" s="1017" t="s">
        <v>819</v>
      </c>
    </row>
    <row r="40" spans="1:9">
      <c r="A40" s="1017"/>
      <c r="B40" s="1944" t="str">
        <f>项目基本情况!B5</f>
        <v>大业信托</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王鹏（注册号：1120050019)、崔锴（注册号：1120100036)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2284</v>
      </c>
      <c r="B1" s="1939"/>
      <c r="C1" s="242"/>
      <c r="D1" s="242"/>
      <c r="E1" s="242"/>
      <c r="F1" s="242"/>
      <c r="G1" s="1382">
        <f>MATCH(B1,'数据-取费表'!A6:A16,0)+5</f>
        <v>7</v>
      </c>
    </row>
    <row r="2" spans="1:9" s="244" customFormat="1" ht="18" customHeight="1">
      <c r="A2" s="245" t="s">
        <v>2285</v>
      </c>
      <c r="B2" s="246">
        <f ca="1">IF(D2="——",C52,C52-E2)</f>
        <v>34540</v>
      </c>
      <c r="C2" s="243" t="s">
        <v>2286</v>
      </c>
      <c r="D2" s="2553" t="s">
        <v>70</v>
      </c>
      <c r="E2" s="1443" t="e">
        <f ca="1">SUMIF(INDIRECT("'"&amp;G2&amp;"'"&amp;"!A:A"),"承租人权益价值",INDIRECT("'"&amp;G2&amp;"'"&amp;"!c:c"))</f>
        <v>#REF!</v>
      </c>
      <c r="F2" s="2554" t="s">
        <v>2286</v>
      </c>
      <c r="G2" s="2555"/>
    </row>
    <row r="3" spans="1:9" s="244" customFormat="1" ht="18" customHeight="1" thickBot="1">
      <c r="A3" s="247" t="s">
        <v>2287</v>
      </c>
      <c r="B3" s="248">
        <f ca="1">ROUND(B2*10000/(IF(B1="",'数据-汇总表'!E3,INDIRECT("'数据-取费表'!k"&amp;$G$1))),0)</f>
        <v>7777</v>
      </c>
      <c r="C3" s="243" t="s">
        <v>2288</v>
      </c>
      <c r="D3" s="243"/>
      <c r="E3" s="243"/>
      <c r="F3" s="243"/>
      <c r="G3" s="243"/>
    </row>
    <row r="4" spans="1:9" s="252" customFormat="1" ht="15.75">
      <c r="A4" s="249" t="s">
        <v>2289</v>
      </c>
      <c r="B4" s="250"/>
      <c r="C4" s="250"/>
      <c r="D4" s="250"/>
      <c r="E4" s="250"/>
      <c r="F4" s="250"/>
      <c r="G4" s="251"/>
    </row>
    <row r="5" spans="1:9" s="258" customFormat="1" ht="13.5" customHeight="1">
      <c r="A5" s="299" t="s">
        <v>2290</v>
      </c>
      <c r="B5" s="254" t="s">
        <v>2291</v>
      </c>
      <c r="C5" s="255">
        <f ca="1">C6+C7+C8</f>
        <v>20746</v>
      </c>
      <c r="D5" s="255" t="s">
        <v>2292</v>
      </c>
      <c r="E5" s="256" t="s">
        <v>2293</v>
      </c>
      <c r="F5" s="256" t="s">
        <v>2294</v>
      </c>
      <c r="G5" s="257"/>
    </row>
    <row r="6" spans="1:9" s="258" customFormat="1" ht="13.5" customHeight="1">
      <c r="A6" s="952" t="s">
        <v>2295</v>
      </c>
      <c r="B6" s="259" t="s">
        <v>2296</v>
      </c>
      <c r="C6" s="260">
        <f>'土地比较法-住宅、综合'!B2</f>
        <v>19421</v>
      </c>
      <c r="D6" s="261"/>
      <c r="E6" s="262"/>
      <c r="F6" s="262"/>
      <c r="G6" s="263"/>
    </row>
    <row r="7" spans="1:9" s="258" customFormat="1" ht="13.5" customHeight="1">
      <c r="A7" s="952" t="s">
        <v>2297</v>
      </c>
      <c r="B7" s="259" t="s">
        <v>2298</v>
      </c>
      <c r="C7" s="264">
        <f>ROUND(C6*F7,0)</f>
        <v>787</v>
      </c>
      <c r="D7" s="264"/>
      <c r="E7" s="262"/>
      <c r="F7" s="265">
        <f>'数据-取费表'!B48+'数据-取费表'!B49</f>
        <v>4.0500000000000001E-2</v>
      </c>
      <c r="G7" s="263"/>
    </row>
    <row r="8" spans="1:9" s="267" customFormat="1">
      <c r="A8" s="952" t="s">
        <v>2299</v>
      </c>
      <c r="B8" s="259" t="s">
        <v>2300</v>
      </c>
      <c r="C8" s="264">
        <f ca="1">IF(G8="已包含在土地购买价格中","0",IF(B1="",'数据-取费表'!B29,IF(G9="全部缴纳",C9+C10,H9)))</f>
        <v>538</v>
      </c>
      <c r="D8" s="266"/>
      <c r="E8" s="264"/>
      <c r="F8" s="265"/>
      <c r="G8" s="2556" t="s">
        <v>3395</v>
      </c>
    </row>
    <row r="9" spans="1:9" s="258" customFormat="1" ht="13.5" customHeight="1">
      <c r="A9" s="953" t="s">
        <v>799</v>
      </c>
      <c r="B9" s="268" t="s">
        <v>2301</v>
      </c>
      <c r="C9" s="269">
        <f ca="1">ROUND(D9*E9/10000,0)</f>
        <v>518</v>
      </c>
      <c r="D9" s="1035">
        <f ca="1">IF(B1="",'数据-汇总表'!E5,IF(INDIRECT("'数据-取费表'!c"&amp;$G$1)="住宅",INDIRECT("'数据-取费表'!k"&amp;$G$1),0))</f>
        <v>43156.770000000026</v>
      </c>
      <c r="E9" s="269">
        <f>'数据-取费表'!B27</f>
        <v>120</v>
      </c>
      <c r="F9" s="265"/>
      <c r="G9" s="2557" t="s">
        <v>3095</v>
      </c>
      <c r="H9" s="1393"/>
      <c r="I9" s="2558" t="s">
        <v>2302</v>
      </c>
    </row>
    <row r="10" spans="1:9" s="258" customFormat="1" ht="13.5" customHeight="1">
      <c r="A10" s="953" t="s">
        <v>800</v>
      </c>
      <c r="B10" s="268" t="s">
        <v>2303</v>
      </c>
      <c r="C10" s="269">
        <f ca="1">ROUND(D10*E10/10000,0)</f>
        <v>20</v>
      </c>
      <c r="D10" s="1035">
        <f ca="1">IF(B1="",'数据-汇总表'!E6,IF(INDIRECT("'数据-取费表'!c"&amp;$G$1)="住宅",INDIRECT("'数据-取费表'!s"&amp;$G$1),INDIRECT("'数据-取费表'!k"&amp;$G$1)+INDIRECT("'数据-取费表'!s"&amp;$G$1)))</f>
        <v>1255.6800000000003</v>
      </c>
      <c r="E10" s="269">
        <f>'数据-取费表'!B28</f>
        <v>160</v>
      </c>
      <c r="F10" s="265"/>
      <c r="G10" s="270"/>
    </row>
    <row r="11" spans="1:9" s="258" customFormat="1" ht="13.5" hidden="1" customHeight="1">
      <c r="A11" s="271" t="s">
        <v>7</v>
      </c>
      <c r="B11" s="259" t="s">
        <v>2304</v>
      </c>
      <c r="C11" s="255"/>
      <c r="D11" s="1037"/>
      <c r="E11" s="262"/>
      <c r="F11" s="262"/>
      <c r="G11" s="263"/>
    </row>
    <row r="12" spans="1:9" s="258" customFormat="1" ht="13.5" hidden="1" customHeight="1">
      <c r="A12" s="271" t="s">
        <v>8</v>
      </c>
      <c r="B12" s="259" t="s">
        <v>2305</v>
      </c>
      <c r="C12" s="255">
        <v>0</v>
      </c>
      <c r="D12" s="1037"/>
      <c r="E12" s="272"/>
      <c r="F12" s="265">
        <v>3.0499999999999999E-2</v>
      </c>
      <c r="G12" s="263"/>
    </row>
    <row r="13" spans="1:9" s="258" customFormat="1" ht="13.5" hidden="1" customHeight="1">
      <c r="A13" s="271" t="s">
        <v>9</v>
      </c>
      <c r="B13" s="259" t="s">
        <v>2306</v>
      </c>
      <c r="C13" s="255"/>
      <c r="D13" s="1037"/>
      <c r="E13" s="262"/>
      <c r="F13" s="262"/>
      <c r="G13" s="263"/>
    </row>
    <row r="14" spans="1:9" s="258" customFormat="1" ht="13.5" hidden="1" customHeight="1">
      <c r="A14" s="271" t="s">
        <v>10</v>
      </c>
      <c r="B14" s="259" t="s">
        <v>2307</v>
      </c>
      <c r="C14" s="255"/>
      <c r="D14" s="1037"/>
      <c r="E14" s="262"/>
      <c r="F14" s="262"/>
      <c r="G14" s="263" t="s">
        <v>2308</v>
      </c>
    </row>
    <row r="15" spans="1:9" s="258" customFormat="1" ht="13.5" hidden="1" customHeight="1">
      <c r="A15" s="271" t="s">
        <v>11</v>
      </c>
      <c r="B15" s="259" t="s">
        <v>2309</v>
      </c>
      <c r="C15" s="264"/>
      <c r="D15" s="1037"/>
      <c r="E15" s="262"/>
      <c r="F15" s="262"/>
      <c r="G15" s="263" t="s">
        <v>2310</v>
      </c>
    </row>
    <row r="16" spans="1:9" s="258" customFormat="1" ht="13.5" hidden="1" customHeight="1">
      <c r="A16" s="271" t="s">
        <v>12</v>
      </c>
      <c r="B16" s="259" t="s">
        <v>2307</v>
      </c>
      <c r="C16" s="264"/>
      <c r="D16" s="1037"/>
      <c r="E16" s="262"/>
      <c r="F16" s="262"/>
      <c r="G16" s="263"/>
    </row>
    <row r="17" spans="1:7" s="258" customFormat="1" ht="13.5" hidden="1" customHeight="1">
      <c r="A17" s="271" t="s">
        <v>13</v>
      </c>
      <c r="B17" s="259" t="s">
        <v>2311</v>
      </c>
      <c r="C17" s="273"/>
      <c r="D17" s="1038"/>
      <c r="E17" s="273"/>
      <c r="F17" s="273"/>
      <c r="G17" s="263" t="s">
        <v>2310</v>
      </c>
    </row>
    <row r="18" spans="1:7" s="258" customFormat="1" ht="13.5" hidden="1" customHeight="1">
      <c r="A18" s="271" t="s">
        <v>14</v>
      </c>
      <c r="B18" s="259" t="s">
        <v>2312</v>
      </c>
      <c r="C18" s="264">
        <v>0</v>
      </c>
      <c r="D18" s="1037"/>
      <c r="E18" s="262"/>
      <c r="F18" s="265">
        <v>3.0499999999999999E-2</v>
      </c>
      <c r="G18" s="263" t="s">
        <v>2313</v>
      </c>
    </row>
    <row r="19" spans="1:7" s="267" customFormat="1" ht="13.5" customHeight="1">
      <c r="A19" s="299" t="s">
        <v>2314</v>
      </c>
      <c r="B19" s="254" t="s">
        <v>2315</v>
      </c>
      <c r="C19" s="255" t="str">
        <f>IF(G19="已包含在土地取得成本中","0",ROUND(D19*E19/10000,0))</f>
        <v>0</v>
      </c>
      <c r="D19" s="1039">
        <f ca="1">D9+D10</f>
        <v>44412.450000000026</v>
      </c>
      <c r="E19" s="255">
        <f>'数据-取费表'!B31</f>
        <v>150</v>
      </c>
      <c r="F19" s="275"/>
      <c r="G19" s="2556" t="s">
        <v>3096</v>
      </c>
    </row>
    <row r="20" spans="1:7" s="258" customFormat="1" ht="13.5" customHeight="1">
      <c r="A20" s="299" t="s">
        <v>2316</v>
      </c>
      <c r="B20" s="254" t="s">
        <v>2317</v>
      </c>
      <c r="C20" s="276">
        <f ca="1">ROUND((C5+C19)*F20,0)</f>
        <v>415</v>
      </c>
      <c r="D20" s="276"/>
      <c r="E20" s="276"/>
      <c r="F20" s="277">
        <f>'数据-取费表'!B37</f>
        <v>0.02</v>
      </c>
      <c r="G20" s="278" t="s">
        <v>2318</v>
      </c>
    </row>
    <row r="21" spans="1:7" s="258" customFormat="1" ht="13.5" customHeight="1">
      <c r="A21" s="299" t="s">
        <v>2319</v>
      </c>
      <c r="B21" s="254" t="s">
        <v>2320</v>
      </c>
      <c r="C21" s="279">
        <f>F21</f>
        <v>0.02</v>
      </c>
      <c r="D21" s="280" t="s">
        <v>2321</v>
      </c>
      <c r="E21" s="276"/>
      <c r="F21" s="277">
        <f>'数据-取费表'!B38</f>
        <v>0.02</v>
      </c>
      <c r="G21" s="278" t="s">
        <v>2322</v>
      </c>
    </row>
    <row r="22" spans="1:7" s="258" customFormat="1" ht="13.5" customHeight="1">
      <c r="A22" s="299" t="s">
        <v>2323</v>
      </c>
      <c r="B22" s="254" t="s">
        <v>2324</v>
      </c>
      <c r="C22" s="1357">
        <f ca="1">ROUND(SUM(C23:C25),0)</f>
        <v>995</v>
      </c>
      <c r="D22" s="279">
        <f ca="1">C26</f>
        <v>5.0000000000000001E-4</v>
      </c>
      <c r="E22" s="280" t="s">
        <v>2321</v>
      </c>
      <c r="F22" s="281">
        <f ca="1">'数据-取费表'!B40</f>
        <v>4.7500000000000001E-2</v>
      </c>
      <c r="G22" s="278" t="str">
        <f>IF('数据-取费表'!B22&lt;=1,"单利计息","复利计息")</f>
        <v>复利计息</v>
      </c>
    </row>
    <row r="23" spans="1:7" s="258" customFormat="1" ht="13.5" customHeight="1">
      <c r="A23" s="954" t="s">
        <v>2325</v>
      </c>
      <c r="B23" s="259" t="s">
        <v>2326</v>
      </c>
      <c r="C23" s="1358">
        <f ca="1">ROUND(IF('数据-取费表'!B22&lt;=1,C5*F22*'数据-取费表'!B23,C5*(POWER((1+F22),'数据-取费表'!B23)-1)),0)</f>
        <v>985</v>
      </c>
      <c r="D23" s="282"/>
      <c r="E23" s="282"/>
      <c r="F23" s="283"/>
      <c r="G23" s="284" t="s">
        <v>2327</v>
      </c>
    </row>
    <row r="24" spans="1:7" s="258" customFormat="1" ht="13.5" customHeight="1">
      <c r="A24" s="954" t="s">
        <v>2328</v>
      </c>
      <c r="B24" s="259" t="s">
        <v>2329</v>
      </c>
      <c r="C24" s="1358">
        <f ca="1">ROUND(IF('数据-取费表'!B22&lt;=1,C19*F22*('数据-取费表'!B19/2+'数据-取费表'!B21),C19*(POWER((1+F22),('数据-取费表'!B19/2+'数据-取费表'!B21))-1)),0)</f>
        <v>0</v>
      </c>
      <c r="D24" s="282"/>
      <c r="E24" s="282"/>
      <c r="F24" s="283"/>
      <c r="G24" s="284" t="s">
        <v>2330</v>
      </c>
    </row>
    <row r="25" spans="1:7" s="258" customFormat="1" ht="24">
      <c r="A25" s="954" t="s">
        <v>2331</v>
      </c>
      <c r="B25" s="259" t="s">
        <v>2332</v>
      </c>
      <c r="C25" s="1358">
        <f ca="1">ROUND(IF('数据-取费表'!B22&lt;=1,C20*F22*'数据-取费表'!B23/2,C20*(POWER((1+F22),'数据-取费表'!B23/2)-1)),0)</f>
        <v>10</v>
      </c>
      <c r="D25" s="282"/>
      <c r="E25" s="285"/>
      <c r="F25" s="283"/>
      <c r="G25" s="286" t="s">
        <v>2333</v>
      </c>
    </row>
    <row r="26" spans="1:7" s="258" customFormat="1">
      <c r="A26" s="954" t="s">
        <v>794</v>
      </c>
      <c r="B26" s="259" t="s">
        <v>2334</v>
      </c>
      <c r="C26" s="282">
        <f ca="1">ROUND(IF('数据-取费表'!B22&lt;=1,F21*F22*'数据-取费表'!B23/2,F21*(POWER((1+F22),'数据-取费表'!B23/2)-1)),4)</f>
        <v>5.0000000000000001E-4</v>
      </c>
      <c r="D26" s="282"/>
      <c r="E26" s="285"/>
      <c r="F26" s="283"/>
      <c r="G26" s="287"/>
    </row>
    <row r="27" spans="1:7" s="258" customFormat="1" ht="24.75">
      <c r="A27" s="299" t="s">
        <v>2335</v>
      </c>
      <c r="B27" s="288" t="s">
        <v>2336</v>
      </c>
      <c r="C27" s="289">
        <f ca="1">C28</f>
        <v>1058</v>
      </c>
      <c r="D27" s="279">
        <f ca="1">C29</f>
        <v>1E-3</v>
      </c>
      <c r="E27" s="280" t="s">
        <v>2337</v>
      </c>
      <c r="F27" s="290">
        <f ca="1">IF(B1="",'数据-取费表'!Q16,INDIRECT("'数据-取费表'!q"&amp;$G$1))</f>
        <v>0.1</v>
      </c>
      <c r="G27" s="291" t="s">
        <v>2338</v>
      </c>
    </row>
    <row r="28" spans="1:7" s="258" customFormat="1" ht="13.5" customHeight="1">
      <c r="A28" s="954" t="s">
        <v>790</v>
      </c>
      <c r="B28" s="292" t="s">
        <v>2339</v>
      </c>
      <c r="C28" s="293">
        <f ca="1">ROUND((C5+C19+C20)*F27*'数据-取费表'!B21/'数据-取费表'!B20,0)</f>
        <v>1058</v>
      </c>
      <c r="D28" s="279"/>
      <c r="E28" s="280"/>
      <c r="F28" s="290"/>
      <c r="G28" s="291"/>
    </row>
    <row r="29" spans="1:7" s="258" customFormat="1" ht="13.5" customHeight="1">
      <c r="A29" s="954" t="s">
        <v>791</v>
      </c>
      <c r="B29" s="292" t="s">
        <v>2340</v>
      </c>
      <c r="C29" s="282">
        <f ca="1">ROUND(C21*F27*'数据-取费表'!B21/'数据-取费表'!B20,4)</f>
        <v>1E-3</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25091</v>
      </c>
      <c r="D31" s="274"/>
      <c r="E31" s="255"/>
      <c r="F31" s="294"/>
      <c r="G31" s="278" t="s">
        <v>2345</v>
      </c>
    </row>
    <row r="32" spans="1:7" s="252" customFormat="1" ht="15.75">
      <c r="A32" s="296" t="s">
        <v>2346</v>
      </c>
      <c r="B32" s="297"/>
      <c r="C32" s="297"/>
      <c r="D32" s="297"/>
      <c r="E32" s="297"/>
      <c r="F32" s="297"/>
      <c r="G32" s="298"/>
    </row>
    <row r="33" spans="1:7" s="258" customFormat="1" ht="13.5" customHeight="1">
      <c r="A33" s="299" t="s">
        <v>781</v>
      </c>
      <c r="B33" s="254" t="s">
        <v>2347</v>
      </c>
      <c r="C33" s="300">
        <f ca="1">SUM(C34:C38)</f>
        <v>7621</v>
      </c>
      <c r="D33" s="276"/>
      <c r="E33" s="256"/>
      <c r="F33" s="285"/>
      <c r="G33" s="278"/>
    </row>
    <row r="34" spans="1:7" s="302" customFormat="1" ht="13.5" customHeight="1">
      <c r="A34" s="954" t="s">
        <v>790</v>
      </c>
      <c r="B34" s="259" t="s">
        <v>2348</v>
      </c>
      <c r="C34" s="264">
        <f ca="1">IF(B1="",IF(F34=100%,'数据-取费表'!M16,'数据-取费表'!O16),IF(F34=100%,INDIRECT("'数据-取费表'!m"&amp;$G$1)+INDIRECT("'数据-取费表'!t"&amp;$G$1),INDIRECT("'数据-取费表'!o"&amp;$G$1)+INDIRECT("'数据-取费表'!aq"&amp;$G$1)))</f>
        <v>6473</v>
      </c>
      <c r="D34" s="261"/>
      <c r="E34" s="264"/>
      <c r="F34" s="301">
        <f ca="1">IF('数据-取费表'!B24=0,1,IF(B1="",'数据-取费表'!N16,INDIRECT("'数据-取费表'!n"&amp;$G$1)))</f>
        <v>0.6</v>
      </c>
      <c r="G34" s="263" t="s">
        <v>2349</v>
      </c>
    </row>
    <row r="35" spans="1:7" ht="13.5" customHeight="1">
      <c r="A35" s="954" t="s">
        <v>795</v>
      </c>
      <c r="B35" s="259" t="s">
        <v>2350</v>
      </c>
      <c r="C35" s="264">
        <f ca="1">ROUND(C34*F35,0)</f>
        <v>324</v>
      </c>
      <c r="D35" s="264"/>
      <c r="E35" s="264"/>
      <c r="F35" s="303">
        <f>'数据-取费表'!B33</f>
        <v>0.05</v>
      </c>
      <c r="G35" s="263" t="s">
        <v>2351</v>
      </c>
    </row>
    <row r="36" spans="1:7" ht="24">
      <c r="A36" s="954" t="s">
        <v>796</v>
      </c>
      <c r="B36" s="259" t="s">
        <v>2352</v>
      </c>
      <c r="C36" s="264">
        <f ca="1">ROUND(IF(B1="",SUMIF('数据-取费表'!C:C,"住宅",IF(F34=100%,'数据-取费表'!M:M,'数据-取费表'!O:O))*F36,IF(INDIRECT("'数据-取费表'!c"&amp;$G$1)="住宅",IF(F34=100%,INDIRECT("'数据-取费表'!m"&amp;$G$1)*F36,INDIRECT("'数据-取费表'!o"&amp;$G$1)*F36),0)),0)</f>
        <v>194</v>
      </c>
      <c r="D36" s="264"/>
      <c r="E36" s="264"/>
      <c r="F36" s="303">
        <f>'数据-取费表'!B34</f>
        <v>0.03</v>
      </c>
      <c r="G36" s="304" t="s">
        <v>2353</v>
      </c>
    </row>
    <row r="37" spans="1:7" s="302" customFormat="1" ht="13.5" customHeight="1">
      <c r="A37" s="954" t="s">
        <v>797</v>
      </c>
      <c r="B37" s="259" t="s">
        <v>2354</v>
      </c>
      <c r="C37" s="293">
        <f ca="1">ROUND(E37*D37*F34/10000,0)</f>
        <v>533</v>
      </c>
      <c r="D37" s="261">
        <f ca="1">D19</f>
        <v>44412.450000000026</v>
      </c>
      <c r="E37" s="293">
        <f>'数据-取费表'!B35</f>
        <v>200</v>
      </c>
      <c r="F37" s="303"/>
      <c r="G37" s="305" t="s">
        <v>2355</v>
      </c>
    </row>
    <row r="38" spans="1:7" ht="13.5" customHeight="1">
      <c r="A38" s="954" t="s">
        <v>798</v>
      </c>
      <c r="B38" s="259" t="s">
        <v>2356</v>
      </c>
      <c r="C38" s="264">
        <f ca="1">ROUND(C34*F38,0)</f>
        <v>97</v>
      </c>
      <c r="D38" s="264"/>
      <c r="E38" s="264"/>
      <c r="F38" s="303">
        <f>'数据-取费表'!B36</f>
        <v>1.4999999999999999E-2</v>
      </c>
      <c r="G38" s="263" t="s">
        <v>2351</v>
      </c>
    </row>
    <row r="39" spans="1:7" s="258" customFormat="1" ht="13.5" customHeight="1">
      <c r="A39" s="299" t="s">
        <v>2357</v>
      </c>
      <c r="B39" s="254" t="s">
        <v>2358</v>
      </c>
      <c r="C39" s="276">
        <f ca="1">ROUND(C33*F20,0)</f>
        <v>152</v>
      </c>
      <c r="D39" s="276"/>
      <c r="E39" s="276"/>
      <c r="F39" s="277"/>
      <c r="G39" s="278" t="s">
        <v>2359</v>
      </c>
    </row>
    <row r="40" spans="1:7" s="258" customFormat="1" ht="13.5" customHeight="1">
      <c r="A40" s="299" t="s">
        <v>2360</v>
      </c>
      <c r="B40" s="254" t="s">
        <v>2361</v>
      </c>
      <c r="C40" s="1730">
        <f>F21</f>
        <v>0.02</v>
      </c>
      <c r="D40" s="280" t="s">
        <v>2362</v>
      </c>
      <c r="E40" s="276"/>
      <c r="F40" s="277"/>
      <c r="G40" s="278" t="s">
        <v>2363</v>
      </c>
    </row>
    <row r="41" spans="1:7" s="258" customFormat="1" ht="13.5" customHeight="1">
      <c r="A41" s="299" t="s">
        <v>2364</v>
      </c>
      <c r="B41" s="254" t="s">
        <v>2365</v>
      </c>
      <c r="C41" s="276">
        <f ca="1">ROUND(SUM(C42:C43),0)</f>
        <v>183</v>
      </c>
      <c r="D41" s="279">
        <f ca="1">C44</f>
        <v>5.0000000000000001E-4</v>
      </c>
      <c r="E41" s="280" t="s">
        <v>2362</v>
      </c>
      <c r="F41" s="281"/>
      <c r="G41" s="278" t="str">
        <f>IF('数据-取费表'!B22&lt;=1,"单利计息","复利计息")</f>
        <v>复利计息</v>
      </c>
    </row>
    <row r="42" spans="1:7" ht="13.5" customHeight="1">
      <c r="A42" s="954" t="s">
        <v>790</v>
      </c>
      <c r="B42" s="259" t="s">
        <v>2366</v>
      </c>
      <c r="C42" s="282">
        <f ca="1">ROUND(IF('数据-取费表'!B22&lt;=1,C33*F22*'数据-取费表'!B21/2,C33*(POWER((1+F22),'数据-取费表'!B21/2)-1)),0)</f>
        <v>179</v>
      </c>
      <c r="D42" s="282"/>
      <c r="E42" s="282"/>
      <c r="F42" s="283"/>
      <c r="G42" s="3250" t="s">
        <v>2367</v>
      </c>
    </row>
    <row r="43" spans="1:7" ht="13.5" customHeight="1">
      <c r="A43" s="954" t="s">
        <v>791</v>
      </c>
      <c r="B43" s="259" t="s">
        <v>2368</v>
      </c>
      <c r="C43" s="282">
        <f ca="1">ROUND(IF('数据-取费表'!B22&lt;=1,C39*F22*'数据-取费表'!B21/2,C39*(POWER((1+F22),'数据-取费表'!B21/2)-1)),0)</f>
        <v>4</v>
      </c>
      <c r="D43" s="282"/>
      <c r="E43" s="282"/>
      <c r="F43" s="283"/>
      <c r="G43" s="3251"/>
    </row>
    <row r="44" spans="1:7" ht="13.5" customHeight="1">
      <c r="A44" s="954" t="s">
        <v>792</v>
      </c>
      <c r="B44" s="259" t="s">
        <v>2369</v>
      </c>
      <c r="C44" s="282">
        <f ca="1">ROUND(IF('数据-取费表'!B22&lt;=1,C40*F22*'数据-取费表'!B21/2,C40*(POWER((1+F22),'数据-取费表'!B21/2)-1)),4)</f>
        <v>5.0000000000000001E-4</v>
      </c>
      <c r="D44" s="282"/>
      <c r="E44" s="282"/>
      <c r="F44" s="283"/>
      <c r="G44" s="3252"/>
    </row>
    <row r="45" spans="1:7" s="258" customFormat="1" ht="13.5" customHeight="1">
      <c r="A45" s="299" t="s">
        <v>2370</v>
      </c>
      <c r="B45" s="288" t="s">
        <v>2336</v>
      </c>
      <c r="C45" s="289">
        <f ca="1">C46</f>
        <v>777</v>
      </c>
      <c r="D45" s="279">
        <f ca="1">C47</f>
        <v>2E-3</v>
      </c>
      <c r="E45" s="280" t="s">
        <v>2362</v>
      </c>
      <c r="F45" s="290"/>
      <c r="G45" s="291" t="s">
        <v>2371</v>
      </c>
    </row>
    <row r="46" spans="1:7" s="258" customFormat="1" ht="13.5" customHeight="1">
      <c r="A46" s="954" t="s">
        <v>790</v>
      </c>
      <c r="B46" s="292" t="s">
        <v>2372</v>
      </c>
      <c r="C46" s="293">
        <f ca="1">ROUND((C33+C39)*F27,0)</f>
        <v>777</v>
      </c>
      <c r="D46" s="307"/>
      <c r="E46" s="280"/>
      <c r="F46" s="290"/>
      <c r="G46" s="291"/>
    </row>
    <row r="47" spans="1:7" s="258" customFormat="1" ht="13.5" customHeight="1">
      <c r="A47" s="954" t="s">
        <v>791</v>
      </c>
      <c r="B47" s="292" t="s">
        <v>2373</v>
      </c>
      <c r="C47" s="282">
        <f ca="1">ROUND(C40*F27,4)</f>
        <v>2E-3</v>
      </c>
      <c r="D47" s="307"/>
      <c r="E47" s="280"/>
      <c r="F47" s="290"/>
      <c r="G47" s="291"/>
    </row>
    <row r="48" spans="1:7" s="258" customFormat="1" ht="13.5" customHeight="1">
      <c r="A48" s="299" t="s">
        <v>2335</v>
      </c>
      <c r="B48" s="254" t="s">
        <v>2374</v>
      </c>
      <c r="C48" s="1730">
        <f>ROUND(F30/(1+'数据-取费表'!C42),4)</f>
        <v>5.33E-2</v>
      </c>
      <c r="D48" s="280" t="s">
        <v>2362</v>
      </c>
      <c r="E48" s="276"/>
      <c r="F48" s="281"/>
      <c r="G48" s="278" t="s">
        <v>2375</v>
      </c>
    </row>
    <row r="49" spans="1:7" ht="16.5" customHeight="1">
      <c r="A49" s="299" t="s">
        <v>2341</v>
      </c>
      <c r="B49" s="254" t="s">
        <v>2376</v>
      </c>
      <c r="C49" s="276">
        <f ca="1">ROUND((C33+C39+C41+C45)/(1-C40-D41-D45-C48),0)</f>
        <v>9449</v>
      </c>
      <c r="D49" s="276"/>
      <c r="E49" s="276"/>
      <c r="F49" s="308"/>
      <c r="G49" s="278" t="s">
        <v>2377</v>
      </c>
    </row>
    <row r="50" spans="1:7" s="302" customFormat="1" ht="24">
      <c r="A50" s="299" t="s">
        <v>2378</v>
      </c>
      <c r="B50" s="254" t="s">
        <v>2379</v>
      </c>
      <c r="C50" s="276"/>
      <c r="D50" s="276"/>
      <c r="E50" s="276"/>
      <c r="F50" s="308">
        <f>IF('数据-取费表'!B24=0,'数据-取费表'!N16,1)</f>
        <v>1</v>
      </c>
      <c r="G50" s="291" t="s">
        <v>2380</v>
      </c>
    </row>
    <row r="51" spans="1:7" ht="16.5" customHeight="1">
      <c r="A51" s="299" t="s">
        <v>2381</v>
      </c>
      <c r="B51" s="254" t="s">
        <v>2382</v>
      </c>
      <c r="C51" s="276">
        <f ca="1">ROUND(C49*F50,0)</f>
        <v>9449</v>
      </c>
      <c r="D51" s="276"/>
      <c r="E51" s="276"/>
      <c r="F51" s="308"/>
      <c r="G51" s="278" t="s">
        <v>2383</v>
      </c>
    </row>
    <row r="52" spans="1:7" s="252" customFormat="1" ht="16.5" thickBot="1">
      <c r="A52" s="309" t="s">
        <v>2384</v>
      </c>
      <c r="B52" s="310"/>
      <c r="C52" s="311">
        <f ca="1">C31+C51</f>
        <v>34540</v>
      </c>
      <c r="D52" s="310"/>
      <c r="E52" s="310"/>
      <c r="F52" s="310"/>
      <c r="G52" s="312"/>
    </row>
    <row r="55" spans="1:7" ht="15">
      <c r="B55" s="314" t="s">
        <v>2385</v>
      </c>
      <c r="C55" s="315"/>
    </row>
    <row r="56" spans="1:7">
      <c r="B56" s="317" t="s">
        <v>1509</v>
      </c>
      <c r="C56" s="319">
        <f ca="1">1-C57</f>
        <v>0.72599999999999998</v>
      </c>
    </row>
    <row r="57" spans="1:7">
      <c r="B57" s="317" t="s">
        <v>1510</v>
      </c>
      <c r="C57" s="318">
        <f ca="1">ROUND(C51/C52,3)</f>
        <v>0.27400000000000002</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2284</v>
      </c>
      <c r="B1" s="1939"/>
      <c r="C1" s="2559" t="s">
        <v>2386</v>
      </c>
      <c r="D1" s="242"/>
      <c r="E1" s="242"/>
      <c r="F1" s="242"/>
      <c r="G1" s="1382">
        <f>MATCH(B1,'数据-取费表'!A6:A16,0)+5</f>
        <v>7</v>
      </c>
      <c r="H1" s="1285" t="str">
        <f>IF(ISERROR(FIND("住宅",B1)),"非住宅","住宅")</f>
        <v>非住宅</v>
      </c>
    </row>
    <row r="2" spans="1:8" s="244" customFormat="1" ht="18" customHeight="1">
      <c r="A2" s="245" t="s">
        <v>2285</v>
      </c>
      <c r="B2" s="246">
        <f ca="1">ROUND(IF(D2="——",C52/10000,C52/10000-E2),0)</f>
        <v>17686</v>
      </c>
      <c r="C2" s="243" t="s">
        <v>2286</v>
      </c>
      <c r="D2" s="2553" t="s">
        <v>70</v>
      </c>
      <c r="E2" s="1443" t="e">
        <f ca="1">SUMIF(INDIRECT("'"&amp;G2&amp;"'"&amp;"!A:A"),"承租人权益价值",INDIRECT("'"&amp;G2&amp;"'"&amp;"!c:c"))</f>
        <v>#REF!</v>
      </c>
      <c r="F2" s="2554" t="s">
        <v>2286</v>
      </c>
      <c r="G2" s="2555"/>
    </row>
    <row r="3" spans="1:8" s="244" customFormat="1" ht="18" customHeight="1" thickBot="1">
      <c r="A3" s="247" t="s">
        <v>2287</v>
      </c>
      <c r="B3" s="248">
        <f ca="1">ROUND(B2*10000/(IF(B1="",'数据-汇总表'!E3,INDIRECT("'数据-取费表'!k"&amp;$G$1))),0)</f>
        <v>3982</v>
      </c>
      <c r="C3" s="243" t="s">
        <v>2288</v>
      </c>
      <c r="D3" s="243"/>
      <c r="E3" s="243"/>
      <c r="F3" s="243"/>
      <c r="G3" s="243"/>
    </row>
    <row r="4" spans="1:8" s="252" customFormat="1" ht="15.75">
      <c r="A4" s="249" t="s">
        <v>2289</v>
      </c>
      <c r="B4" s="250"/>
      <c r="C4" s="250"/>
      <c r="D4" s="250"/>
      <c r="E4" s="250"/>
      <c r="F4" s="250"/>
      <c r="G4" s="251"/>
    </row>
    <row r="5" spans="1:8" s="258" customFormat="1" ht="13.5" customHeight="1">
      <c r="A5" s="299" t="s">
        <v>2290</v>
      </c>
      <c r="B5" s="254" t="s">
        <v>2291</v>
      </c>
      <c r="C5" s="255">
        <f ca="1">C6+C7+C8</f>
        <v>5379721</v>
      </c>
      <c r="D5" s="255" t="s">
        <v>2292</v>
      </c>
      <c r="E5" s="256" t="s">
        <v>2293</v>
      </c>
      <c r="F5" s="256" t="s">
        <v>2294</v>
      </c>
      <c r="G5" s="257"/>
    </row>
    <row r="6" spans="1:8" s="258" customFormat="1" ht="13.5" customHeight="1">
      <c r="A6" s="952" t="s">
        <v>2295</v>
      </c>
      <c r="B6" s="259" t="s">
        <v>2296</v>
      </c>
      <c r="C6" s="260"/>
      <c r="D6" s="261"/>
      <c r="E6" s="262"/>
      <c r="F6" s="262"/>
      <c r="G6" s="263"/>
    </row>
    <row r="7" spans="1:8" s="258" customFormat="1" ht="13.5" customHeight="1">
      <c r="A7" s="952" t="s">
        <v>2297</v>
      </c>
      <c r="B7" s="259" t="s">
        <v>2298</v>
      </c>
      <c r="C7" s="264">
        <f>ROUND(C6*F7,0)</f>
        <v>0</v>
      </c>
      <c r="D7" s="264"/>
      <c r="E7" s="262"/>
      <c r="F7" s="265">
        <f>'数据-取费表'!B48+'数据-取费表'!B49</f>
        <v>4.0500000000000001E-2</v>
      </c>
      <c r="G7" s="263"/>
    </row>
    <row r="8" spans="1:8" s="267" customFormat="1">
      <c r="A8" s="952" t="s">
        <v>2299</v>
      </c>
      <c r="B8" s="259" t="s">
        <v>2300</v>
      </c>
      <c r="C8" s="264">
        <f ca="1">IF(G8="已包含在土地购买价格中",0,C9+C10)</f>
        <v>5379721</v>
      </c>
      <c r="D8" s="266"/>
      <c r="E8" s="264"/>
      <c r="F8" s="265"/>
      <c r="G8" s="2556"/>
    </row>
    <row r="9" spans="1:8" s="258" customFormat="1" ht="13.5" customHeight="1">
      <c r="A9" s="953" t="s">
        <v>799</v>
      </c>
      <c r="B9" s="268" t="s">
        <v>2301</v>
      </c>
      <c r="C9" s="269">
        <f ca="1">ROUND(D9*E9,0)</f>
        <v>5178812</v>
      </c>
      <c r="D9" s="1035">
        <f ca="1">IF(B1="",'数据-汇总表'!E5,IF(INDIRECT("'数据-取费表'!c"&amp;$G$1)="住宅",INDIRECT("'数据-取费表'!k"&amp;$G$1),0))</f>
        <v>43156.770000000026</v>
      </c>
      <c r="E9" s="269">
        <f>'数据-取费表'!B27</f>
        <v>120</v>
      </c>
      <c r="F9" s="265"/>
      <c r="G9" s="270"/>
    </row>
    <row r="10" spans="1:8" s="258" customFormat="1" ht="13.5" customHeight="1">
      <c r="A10" s="953" t="s">
        <v>800</v>
      </c>
      <c r="B10" s="268" t="s">
        <v>2303</v>
      </c>
      <c r="C10" s="269">
        <f ca="1">ROUND(D10*E10,0)</f>
        <v>200909</v>
      </c>
      <c r="D10" s="1035">
        <f ca="1">IF(B1="",'数据-汇总表'!E6,IF(INDIRECT("'数据-取费表'!c"&amp;$G$1)="住宅",INDIRECT("'数据-取费表'!s"&amp;$G$1),INDIRECT("'数据-取费表'!k"&amp;$G$1)+INDIRECT("'数据-取费表'!s"&amp;$G$1)))</f>
        <v>1255.6800000000003</v>
      </c>
      <c r="E10" s="269">
        <f>'数据-取费表'!B28</f>
        <v>160</v>
      </c>
      <c r="F10" s="265"/>
      <c r="G10" s="270"/>
    </row>
    <row r="11" spans="1:8" s="258" customFormat="1" ht="13.5" hidden="1" customHeight="1">
      <c r="A11" s="271" t="s">
        <v>7</v>
      </c>
      <c r="B11" s="259" t="s">
        <v>2304</v>
      </c>
      <c r="C11" s="255"/>
      <c r="D11" s="1037"/>
      <c r="E11" s="262"/>
      <c r="F11" s="262"/>
      <c r="G11" s="263"/>
    </row>
    <row r="12" spans="1:8" s="258" customFormat="1" ht="13.5" hidden="1" customHeight="1">
      <c r="A12" s="271" t="s">
        <v>8</v>
      </c>
      <c r="B12" s="259" t="s">
        <v>2387</v>
      </c>
      <c r="C12" s="255">
        <v>0</v>
      </c>
      <c r="D12" s="1037"/>
      <c r="E12" s="272"/>
      <c r="F12" s="265">
        <v>3.0499999999999999E-2</v>
      </c>
      <c r="G12" s="263"/>
    </row>
    <row r="13" spans="1:8" s="258" customFormat="1" ht="13.5" hidden="1" customHeight="1">
      <c r="A13" s="271" t="s">
        <v>9</v>
      </c>
      <c r="B13" s="259" t="s">
        <v>2388</v>
      </c>
      <c r="C13" s="255"/>
      <c r="D13" s="1037"/>
      <c r="E13" s="262"/>
      <c r="F13" s="262"/>
      <c r="G13" s="263"/>
    </row>
    <row r="14" spans="1:8" s="258" customFormat="1" ht="13.5" hidden="1" customHeight="1">
      <c r="A14" s="271" t="s">
        <v>10</v>
      </c>
      <c r="B14" s="259" t="s">
        <v>2300</v>
      </c>
      <c r="C14" s="255"/>
      <c r="D14" s="1037"/>
      <c r="E14" s="262"/>
      <c r="F14" s="262"/>
      <c r="G14" s="263" t="s">
        <v>2389</v>
      </c>
    </row>
    <row r="15" spans="1:8" s="258" customFormat="1" ht="13.5" hidden="1" customHeight="1">
      <c r="A15" s="271" t="s">
        <v>11</v>
      </c>
      <c r="B15" s="259" t="s">
        <v>2390</v>
      </c>
      <c r="C15" s="264"/>
      <c r="D15" s="1037"/>
      <c r="E15" s="262"/>
      <c r="F15" s="262"/>
      <c r="G15" s="263" t="s">
        <v>2391</v>
      </c>
    </row>
    <row r="16" spans="1:8" s="258" customFormat="1" ht="13.5" hidden="1" customHeight="1">
      <c r="A16" s="271" t="s">
        <v>12</v>
      </c>
      <c r="B16" s="259" t="s">
        <v>2300</v>
      </c>
      <c r="C16" s="264"/>
      <c r="D16" s="1037"/>
      <c r="E16" s="262"/>
      <c r="F16" s="262"/>
      <c r="G16" s="263"/>
    </row>
    <row r="17" spans="1:7" s="258" customFormat="1" ht="13.5" hidden="1" customHeight="1">
      <c r="A17" s="271" t="s">
        <v>13</v>
      </c>
      <c r="B17" s="259" t="s">
        <v>2392</v>
      </c>
      <c r="C17" s="273"/>
      <c r="D17" s="1038"/>
      <c r="E17" s="273"/>
      <c r="F17" s="273"/>
      <c r="G17" s="263" t="s">
        <v>2391</v>
      </c>
    </row>
    <row r="18" spans="1:7" s="258" customFormat="1" ht="13.5" hidden="1" customHeight="1">
      <c r="A18" s="271" t="s">
        <v>14</v>
      </c>
      <c r="B18" s="259" t="s">
        <v>2393</v>
      </c>
      <c r="C18" s="264">
        <v>0</v>
      </c>
      <c r="D18" s="1037"/>
      <c r="E18" s="262"/>
      <c r="F18" s="265">
        <v>3.0499999999999999E-2</v>
      </c>
      <c r="G18" s="263" t="s">
        <v>2394</v>
      </c>
    </row>
    <row r="19" spans="1:7" s="267" customFormat="1" ht="13.5" customHeight="1">
      <c r="A19" s="299" t="s">
        <v>2395</v>
      </c>
      <c r="B19" s="254" t="s">
        <v>2396</v>
      </c>
      <c r="C19" s="255">
        <f ca="1">IF(G19="已包含在土地取得成本中","0",ROUND(D19*E19,0))</f>
        <v>6661868</v>
      </c>
      <c r="D19" s="1039">
        <f ca="1">D9+D10</f>
        <v>44412.450000000026</v>
      </c>
      <c r="E19" s="255">
        <f>'数据-取费表'!B31</f>
        <v>150</v>
      </c>
      <c r="F19" s="275"/>
      <c r="G19" s="2556"/>
    </row>
    <row r="20" spans="1:7" s="258" customFormat="1" ht="13.5" customHeight="1">
      <c r="A20" s="299" t="s">
        <v>2397</v>
      </c>
      <c r="B20" s="254" t="s">
        <v>2398</v>
      </c>
      <c r="C20" s="276">
        <f ca="1">ROUND((C5+C19)*F20,0)</f>
        <v>240832</v>
      </c>
      <c r="D20" s="276"/>
      <c r="E20" s="276"/>
      <c r="F20" s="277">
        <f>'数据-取费表'!B37</f>
        <v>0.02</v>
      </c>
      <c r="G20" s="278" t="s">
        <v>2399</v>
      </c>
    </row>
    <row r="21" spans="1:7" s="258" customFormat="1" ht="13.5" customHeight="1">
      <c r="A21" s="299" t="s">
        <v>2400</v>
      </c>
      <c r="B21" s="254" t="s">
        <v>2401</v>
      </c>
      <c r="C21" s="279">
        <f>F21</f>
        <v>0.02</v>
      </c>
      <c r="D21" s="280" t="s">
        <v>2402</v>
      </c>
      <c r="E21" s="276"/>
      <c r="F21" s="277">
        <f>'数据-取费表'!B38</f>
        <v>0.02</v>
      </c>
      <c r="G21" s="278" t="s">
        <v>2403</v>
      </c>
    </row>
    <row r="22" spans="1:7" s="258" customFormat="1" ht="13.5" customHeight="1">
      <c r="A22" s="299" t="s">
        <v>2404</v>
      </c>
      <c r="B22" s="254" t="s">
        <v>2405</v>
      </c>
      <c r="C22" s="1383">
        <f ca="1">ROUND(SUM(C23:C25),0)</f>
        <v>1182559</v>
      </c>
      <c r="D22" s="279">
        <f ca="1">C26</f>
        <v>1E-3</v>
      </c>
      <c r="E22" s="280" t="s">
        <v>2402</v>
      </c>
      <c r="F22" s="281">
        <f ca="1">'数据-取费表'!B40</f>
        <v>4.7500000000000001E-2</v>
      </c>
      <c r="G22" s="278" t="str">
        <f>IF('数据-取费表'!B22&lt;=1,"单利计息","复利计息")</f>
        <v>复利计息</v>
      </c>
    </row>
    <row r="23" spans="1:7" s="258" customFormat="1" ht="13.5" customHeight="1">
      <c r="A23" s="954" t="s">
        <v>2295</v>
      </c>
      <c r="B23" s="259" t="s">
        <v>2406</v>
      </c>
      <c r="C23" s="1384">
        <f ca="1">ROUND(IF('数据-取费表'!B22&lt;=1,C5*F22*'数据-取费表'!B22,C5*(POWER((1+F22),'数据-取费表'!B22)-1)),0)</f>
        <v>523211</v>
      </c>
      <c r="D23" s="282"/>
      <c r="E23" s="282"/>
      <c r="F23" s="283"/>
      <c r="G23" s="284" t="s">
        <v>2407</v>
      </c>
    </row>
    <row r="24" spans="1:7" s="258" customFormat="1" ht="13.5" customHeight="1">
      <c r="A24" s="954" t="s">
        <v>2297</v>
      </c>
      <c r="B24" s="259" t="s">
        <v>2408</v>
      </c>
      <c r="C24" s="1384">
        <f ca="1">ROUND(IF('数据-取费表'!B22&lt;=1,C19*F22*('数据-取费表'!B19/2+'数据-取费表'!B20),C19*(POWER((1+F22),('数据-取费表'!B19/2+'数据-取费表'!B20))-1)),0)</f>
        <v>647908</v>
      </c>
      <c r="D24" s="282"/>
      <c r="E24" s="282"/>
      <c r="F24" s="283"/>
      <c r="G24" s="284" t="s">
        <v>2409</v>
      </c>
    </row>
    <row r="25" spans="1:7" s="258" customFormat="1" ht="24">
      <c r="A25" s="954" t="s">
        <v>2299</v>
      </c>
      <c r="B25" s="259" t="s">
        <v>2410</v>
      </c>
      <c r="C25" s="1384">
        <f ca="1">ROUND(IF('数据-取费表'!B22&lt;=1,C20*F22*'数据-取费表'!B22/2,C20*(POWER((1+F22),'数据-取费表'!B22/2)-1)),0)</f>
        <v>11440</v>
      </c>
      <c r="D25" s="282"/>
      <c r="E25" s="285"/>
      <c r="F25" s="283"/>
      <c r="G25" s="286" t="s">
        <v>2411</v>
      </c>
    </row>
    <row r="26" spans="1:7" s="258" customFormat="1">
      <c r="A26" s="954" t="s">
        <v>794</v>
      </c>
      <c r="B26" s="259" t="s">
        <v>2334</v>
      </c>
      <c r="C26" s="282">
        <f ca="1">ROUND(IF('数据-取费表'!B22&lt;=1,F21*F22*'数据-取费表'!B22/2,F21*(POWER((1+F22),'数据-取费表'!B22/2)-1)),4)</f>
        <v>1E-3</v>
      </c>
      <c r="D26" s="282"/>
      <c r="E26" s="285"/>
      <c r="F26" s="283"/>
      <c r="G26" s="287"/>
    </row>
    <row r="27" spans="1:7" s="258" customFormat="1" ht="24.75">
      <c r="A27" s="299" t="s">
        <v>2335</v>
      </c>
      <c r="B27" s="288" t="s">
        <v>2336</v>
      </c>
      <c r="C27" s="289">
        <f ca="1">C28</f>
        <v>1228242</v>
      </c>
      <c r="D27" s="279">
        <f ca="1">C29</f>
        <v>2E-3</v>
      </c>
      <c r="E27" s="280" t="s">
        <v>2337</v>
      </c>
      <c r="F27" s="290">
        <f ca="1">IF(B1="",'数据-取费表'!Q16,INDIRECT("'数据-取费表'!q"&amp;$G$1))</f>
        <v>0.1</v>
      </c>
      <c r="G27" s="291" t="s">
        <v>2338</v>
      </c>
    </row>
    <row r="28" spans="1:7" s="258" customFormat="1" ht="13.5" customHeight="1">
      <c r="A28" s="954" t="s">
        <v>790</v>
      </c>
      <c r="B28" s="292" t="s">
        <v>2339</v>
      </c>
      <c r="C28" s="293">
        <f ca="1">ROUND((C5+C19+C20)*F27,0)</f>
        <v>1228242</v>
      </c>
      <c r="D28" s="279"/>
      <c r="E28" s="280"/>
      <c r="F28" s="290"/>
      <c r="G28" s="291"/>
    </row>
    <row r="29" spans="1:7" s="258" customFormat="1" ht="13.5" customHeight="1">
      <c r="A29" s="954" t="s">
        <v>791</v>
      </c>
      <c r="B29" s="292" t="s">
        <v>2340</v>
      </c>
      <c r="C29" s="282">
        <f ca="1">ROUND(C21*F27,4)</f>
        <v>2E-3</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15906920</v>
      </c>
      <c r="D31" s="274"/>
      <c r="E31" s="255"/>
      <c r="F31" s="294"/>
      <c r="G31" s="278" t="s">
        <v>2345</v>
      </c>
    </row>
    <row r="32" spans="1:7" s="252" customFormat="1" ht="15.75">
      <c r="A32" s="296" t="s">
        <v>2412</v>
      </c>
      <c r="B32" s="297"/>
      <c r="C32" s="297"/>
      <c r="D32" s="297"/>
      <c r="E32" s="297"/>
      <c r="F32" s="297"/>
      <c r="G32" s="298"/>
    </row>
    <row r="33" spans="1:7" s="258" customFormat="1" ht="13.5" customHeight="1">
      <c r="A33" s="299" t="s">
        <v>781</v>
      </c>
      <c r="B33" s="254" t="s">
        <v>2413</v>
      </c>
      <c r="C33" s="300">
        <f ca="1">SUM(C34:C38)</f>
        <v>127024148</v>
      </c>
      <c r="D33" s="276"/>
      <c r="E33" s="256"/>
      <c r="F33" s="285"/>
      <c r="G33" s="278"/>
    </row>
    <row r="34" spans="1:7" s="302" customFormat="1" ht="13.5" customHeight="1">
      <c r="A34" s="954" t="s">
        <v>790</v>
      </c>
      <c r="B34" s="259" t="s">
        <v>2348</v>
      </c>
      <c r="C34" s="264">
        <f ca="1">ROUND(IF(B1="",SUMPRODUCT('数据-取费表'!K6:K14,'数据-取费表'!L6:L14),INDIRECT("'数据-取费表'!l"&amp;$G$1)*INDIRECT("'数据-取费表'!k"&amp;$G$1)+'数据-取费表'!L14*INDIRECT("'数据-取费表'!S"&amp;$G$1)),0)</f>
        <v>107891925</v>
      </c>
      <c r="D34" s="261"/>
      <c r="E34" s="264"/>
      <c r="F34" s="301"/>
      <c r="G34" s="263"/>
    </row>
    <row r="35" spans="1:7" ht="13.5" customHeight="1">
      <c r="A35" s="954" t="s">
        <v>795</v>
      </c>
      <c r="B35" s="259" t="s">
        <v>2350</v>
      </c>
      <c r="C35" s="264">
        <f ca="1">ROUND(C34*F35,0)</f>
        <v>5394596</v>
      </c>
      <c r="D35" s="264"/>
      <c r="E35" s="264"/>
      <c r="F35" s="303">
        <f>'数据-取费表'!B33</f>
        <v>0.05</v>
      </c>
      <c r="G35" s="263" t="s">
        <v>2351</v>
      </c>
    </row>
    <row r="36" spans="1:7" ht="24">
      <c r="A36" s="954" t="s">
        <v>796</v>
      </c>
      <c r="B36" s="259" t="s">
        <v>2352</v>
      </c>
      <c r="C36" s="264">
        <f ca="1">ROUND(IF(B1="",SUM('数据-取费表'!AP6:AP13)*F36,IF(INDIRECT("'数据-取费表'!c"&amp;$G$1)="住宅",INDIRECT("'数据-取费表'!k"&amp;$G$1)*INDIRECT("'数据-取费表'!l"&amp;$G$1)*F36,0)),0)</f>
        <v>3236758</v>
      </c>
      <c r="D36" s="264"/>
      <c r="E36" s="264"/>
      <c r="F36" s="303">
        <f>'数据-取费表'!B34</f>
        <v>0.03</v>
      </c>
      <c r="G36" s="304" t="s">
        <v>2353</v>
      </c>
    </row>
    <row r="37" spans="1:7" s="302" customFormat="1" ht="13.5" customHeight="1">
      <c r="A37" s="954" t="s">
        <v>797</v>
      </c>
      <c r="B37" s="259" t="s">
        <v>2354</v>
      </c>
      <c r="C37" s="293">
        <f ca="1">ROUND(E37*D37,0)</f>
        <v>8882490</v>
      </c>
      <c r="D37" s="261">
        <f ca="1">D19</f>
        <v>44412.450000000026</v>
      </c>
      <c r="E37" s="293">
        <f>'数据-取费表'!B35</f>
        <v>200</v>
      </c>
      <c r="F37" s="303"/>
      <c r="G37" s="305"/>
    </row>
    <row r="38" spans="1:7" ht="13.5" customHeight="1">
      <c r="A38" s="954" t="s">
        <v>798</v>
      </c>
      <c r="B38" s="259" t="s">
        <v>2356</v>
      </c>
      <c r="C38" s="264">
        <f ca="1">ROUND(C34*F38,0)</f>
        <v>1618379</v>
      </c>
      <c r="D38" s="264"/>
      <c r="E38" s="264"/>
      <c r="F38" s="303">
        <f>'数据-取费表'!B36</f>
        <v>1.4999999999999999E-2</v>
      </c>
      <c r="G38" s="263" t="s">
        <v>2351</v>
      </c>
    </row>
    <row r="39" spans="1:7" s="258" customFormat="1" ht="13.5" customHeight="1">
      <c r="A39" s="299" t="s">
        <v>2357</v>
      </c>
      <c r="B39" s="254" t="s">
        <v>2358</v>
      </c>
      <c r="C39" s="276">
        <f ca="1">ROUND(C33*F20,0)</f>
        <v>2540483</v>
      </c>
      <c r="D39" s="276"/>
      <c r="E39" s="276"/>
      <c r="F39" s="277"/>
      <c r="G39" s="278" t="s">
        <v>2359</v>
      </c>
    </row>
    <row r="40" spans="1:7" s="258" customFormat="1" ht="13.5" customHeight="1">
      <c r="A40" s="299" t="s">
        <v>2360</v>
      </c>
      <c r="B40" s="254" t="s">
        <v>2361</v>
      </c>
      <c r="C40" s="1730">
        <f>F21</f>
        <v>0.02</v>
      </c>
      <c r="D40" s="280" t="s">
        <v>2362</v>
      </c>
      <c r="E40" s="276"/>
      <c r="F40" s="277"/>
      <c r="G40" s="278" t="s">
        <v>2363</v>
      </c>
    </row>
    <row r="41" spans="1:7" s="258" customFormat="1" ht="13.5" customHeight="1">
      <c r="A41" s="299" t="s">
        <v>2364</v>
      </c>
      <c r="B41" s="254" t="s">
        <v>2365</v>
      </c>
      <c r="C41" s="276">
        <f ca="1">ROUND(SUM(C42:C43),0)</f>
        <v>6154320</v>
      </c>
      <c r="D41" s="279">
        <f ca="1">C44</f>
        <v>1E-3</v>
      </c>
      <c r="E41" s="280" t="s">
        <v>2362</v>
      </c>
      <c r="F41" s="281"/>
      <c r="G41" s="278" t="str">
        <f>IF('数据-取费表'!B22&lt;=1,"单利计息","复利计息")</f>
        <v>复利计息</v>
      </c>
    </row>
    <row r="42" spans="1:7" ht="13.5" customHeight="1">
      <c r="A42" s="954" t="s">
        <v>790</v>
      </c>
      <c r="B42" s="259" t="s">
        <v>2366</v>
      </c>
      <c r="C42" s="282">
        <f ca="1">ROUND(IF('数据-取费表'!B22&lt;=1,C33*F22*'数据-取费表'!B20/2,C33*(POWER((1+F22),'数据-取费表'!B20/2)-1)),0)</f>
        <v>6033647</v>
      </c>
      <c r="D42" s="282"/>
      <c r="E42" s="282"/>
      <c r="F42" s="283"/>
      <c r="G42" s="3250" t="s">
        <v>2414</v>
      </c>
    </row>
    <row r="43" spans="1:7" ht="13.5" customHeight="1">
      <c r="A43" s="954" t="s">
        <v>791</v>
      </c>
      <c r="B43" s="259" t="s">
        <v>2368</v>
      </c>
      <c r="C43" s="282">
        <f ca="1">ROUND(IF('数据-取费表'!B22&lt;=1,C39*F22*'数据-取费表'!B20/2,C39*(POWER((1+F22),'数据-取费表'!B20/2)-1)),0)</f>
        <v>120673</v>
      </c>
      <c r="D43" s="282"/>
      <c r="E43" s="282"/>
      <c r="F43" s="283"/>
      <c r="G43" s="3251"/>
    </row>
    <row r="44" spans="1:7" ht="13.5" customHeight="1">
      <c r="A44" s="954" t="s">
        <v>792</v>
      </c>
      <c r="B44" s="259" t="s">
        <v>2369</v>
      </c>
      <c r="C44" s="282">
        <f ca="1">ROUND(IF('数据-取费表'!B22&lt;=1,C40*F22*'数据-取费表'!B20/2,C40*(POWER((1+F22),'数据-取费表'!B20/2)-1)),4)</f>
        <v>1E-3</v>
      </c>
      <c r="D44" s="282"/>
      <c r="E44" s="282"/>
      <c r="F44" s="283"/>
      <c r="G44" s="3252"/>
    </row>
    <row r="45" spans="1:7" s="258" customFormat="1" ht="13.5" customHeight="1">
      <c r="A45" s="299" t="s">
        <v>2370</v>
      </c>
      <c r="B45" s="288" t="s">
        <v>2336</v>
      </c>
      <c r="C45" s="289">
        <f ca="1">C46</f>
        <v>12956463</v>
      </c>
      <c r="D45" s="279">
        <f ca="1">C47</f>
        <v>2E-3</v>
      </c>
      <c r="E45" s="280" t="s">
        <v>2362</v>
      </c>
      <c r="F45" s="290"/>
      <c r="G45" s="291" t="s">
        <v>2371</v>
      </c>
    </row>
    <row r="46" spans="1:7" s="258" customFormat="1" ht="13.5" customHeight="1">
      <c r="A46" s="954" t="s">
        <v>790</v>
      </c>
      <c r="B46" s="292" t="s">
        <v>2372</v>
      </c>
      <c r="C46" s="293">
        <f ca="1">ROUND((C33+C39)*F27,0)</f>
        <v>12956463</v>
      </c>
      <c r="D46" s="307"/>
      <c r="E46" s="280"/>
      <c r="F46" s="290"/>
      <c r="G46" s="291"/>
    </row>
    <row r="47" spans="1:7" s="258" customFormat="1" ht="13.5" customHeight="1">
      <c r="A47" s="954" t="s">
        <v>791</v>
      </c>
      <c r="B47" s="292" t="s">
        <v>2373</v>
      </c>
      <c r="C47" s="282">
        <f ca="1">ROUND(C40*F27,4)</f>
        <v>2E-3</v>
      </c>
      <c r="D47" s="307"/>
      <c r="E47" s="280"/>
      <c r="F47" s="290"/>
      <c r="G47" s="291"/>
    </row>
    <row r="48" spans="1:7" s="258" customFormat="1" ht="13.5" customHeight="1">
      <c r="A48" s="299" t="s">
        <v>2335</v>
      </c>
      <c r="B48" s="254" t="s">
        <v>2374</v>
      </c>
      <c r="C48" s="306">
        <f>ROUND(F30/(1+'数据-取费表'!C42),4)</f>
        <v>5.33E-2</v>
      </c>
      <c r="D48" s="280" t="s">
        <v>2362</v>
      </c>
      <c r="E48" s="276"/>
      <c r="F48" s="281"/>
      <c r="G48" s="278" t="s">
        <v>2375</v>
      </c>
    </row>
    <row r="49" spans="1:7" ht="16.5" customHeight="1">
      <c r="A49" s="299" t="s">
        <v>2341</v>
      </c>
      <c r="B49" s="254" t="s">
        <v>2415</v>
      </c>
      <c r="C49" s="276">
        <f ca="1">ROUND((C33+C39+C41+C45)/(1-C40-D41-D45-C48),0)</f>
        <v>160956386</v>
      </c>
      <c r="D49" s="276"/>
      <c r="E49" s="276"/>
      <c r="F49" s="308"/>
      <c r="G49" s="278" t="s">
        <v>2377</v>
      </c>
    </row>
    <row r="50" spans="1:7" s="302" customFormat="1">
      <c r="A50" s="299" t="s">
        <v>2378</v>
      </c>
      <c r="B50" s="254" t="s">
        <v>2379</v>
      </c>
      <c r="C50" s="276"/>
      <c r="D50" s="276"/>
      <c r="E50" s="276"/>
      <c r="F50" s="308">
        <f>IF('数据-取费表'!B24=0,'数据-取费表'!N16,1)</f>
        <v>1</v>
      </c>
      <c r="G50" s="291"/>
    </row>
    <row r="51" spans="1:7" ht="16.5" customHeight="1">
      <c r="A51" s="299" t="s">
        <v>2381</v>
      </c>
      <c r="B51" s="254" t="s">
        <v>2416</v>
      </c>
      <c r="C51" s="276">
        <f ca="1">ROUND(C49*F50,0)</f>
        <v>160956386</v>
      </c>
      <c r="D51" s="276"/>
      <c r="E51" s="276"/>
      <c r="F51" s="308"/>
      <c r="G51" s="278" t="s">
        <v>2383</v>
      </c>
    </row>
    <row r="52" spans="1:7" s="252" customFormat="1" ht="16.5" thickBot="1">
      <c r="A52" s="309" t="s">
        <v>2384</v>
      </c>
      <c r="B52" s="310"/>
      <c r="C52" s="311">
        <f ca="1">C31+C51</f>
        <v>176863306</v>
      </c>
      <c r="D52" s="310"/>
      <c r="E52" s="310"/>
      <c r="F52" s="310"/>
      <c r="G52" s="312"/>
    </row>
    <row r="55" spans="1:7" ht="15">
      <c r="B55" s="314" t="s">
        <v>2385</v>
      </c>
      <c r="C55" s="315"/>
    </row>
    <row r="56" spans="1:7">
      <c r="B56" s="317" t="s">
        <v>1509</v>
      </c>
      <c r="C56" s="319">
        <f ca="1">1-C57</f>
        <v>8.9999999999999969E-2</v>
      </c>
    </row>
    <row r="57" spans="1:7">
      <c r="B57" s="317" t="s">
        <v>1510</v>
      </c>
      <c r="C57" s="318">
        <f ca="1">ROUND(C51/C52,3)</f>
        <v>0.91</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2417</v>
      </c>
      <c r="B1" s="1583"/>
      <c r="C1" s="1584"/>
      <c r="D1" s="1582"/>
      <c r="E1" s="320"/>
      <c r="F1" s="320"/>
      <c r="G1" s="1583"/>
      <c r="H1" s="320"/>
      <c r="I1" s="320"/>
      <c r="J1" s="320"/>
      <c r="K1" s="320">
        <f>MATCH(C1,'数据-取费表'!A6:A16,0)+5</f>
        <v>7</v>
      </c>
    </row>
    <row r="2" spans="1:33" ht="18" customHeight="1">
      <c r="A2" s="245" t="s">
        <v>2285</v>
      </c>
      <c r="B2" s="248">
        <f ca="1">C32</f>
        <v>26393</v>
      </c>
      <c r="C2" s="320" t="s">
        <v>2418</v>
      </c>
      <c r="D2" s="320"/>
      <c r="E2" s="320"/>
      <c r="F2" s="320"/>
      <c r="G2" s="320"/>
      <c r="H2" s="320"/>
      <c r="I2" s="320"/>
      <c r="J2" s="320"/>
      <c r="K2" s="320"/>
    </row>
    <row r="3" spans="1:33" ht="18" customHeight="1" thickBot="1">
      <c r="A3" s="247" t="s">
        <v>2287</v>
      </c>
      <c r="B3" s="248">
        <f ca="1">ROUND(B2*10000/IF(C1="",'数据-汇总表'!E3,INDIRECT("'数据-取费表'!K"&amp;$K$1)),0)</f>
        <v>5943</v>
      </c>
      <c r="C3" s="320" t="s">
        <v>2419</v>
      </c>
      <c r="D3" s="320"/>
      <c r="E3" s="320"/>
      <c r="F3" s="320"/>
      <c r="G3" s="320"/>
      <c r="H3" s="320"/>
      <c r="I3" s="320"/>
      <c r="J3" s="320"/>
      <c r="K3" s="320"/>
    </row>
    <row r="4" spans="1:33" s="959" customFormat="1" ht="16.5" customHeight="1">
      <c r="A4" s="956" t="s">
        <v>2420</v>
      </c>
      <c r="B4" s="957"/>
      <c r="C4" s="999">
        <f>SUM(C8:K8)</f>
        <v>38292</v>
      </c>
      <c r="D4" s="957"/>
      <c r="E4" s="957"/>
      <c r="F4" s="957"/>
      <c r="G4" s="957"/>
      <c r="H4" s="957"/>
      <c r="I4" s="957"/>
      <c r="J4" s="957"/>
      <c r="K4" s="958"/>
    </row>
    <row r="5" spans="1:33" s="963" customFormat="1" ht="15">
      <c r="A5" s="960" t="s">
        <v>2421</v>
      </c>
      <c r="B5" s="961" t="s">
        <v>2422</v>
      </c>
      <c r="C5" s="2560" t="s">
        <v>3002</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2423</v>
      </c>
      <c r="C6" s="965">
        <f>'比较法-住宅'!B3</f>
        <v>8622</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2424</v>
      </c>
      <c r="B7" s="140" t="s">
        <v>2425</v>
      </c>
      <c r="C7" s="321">
        <f>SUMIF('数据-汇总表'!$C19:$C33,假设开发法!C5,'数据-汇总表'!$E19:$E33)</f>
        <v>43156.770000000033</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2426</v>
      </c>
      <c r="B8" s="177" t="s">
        <v>2427</v>
      </c>
      <c r="C8" s="1000">
        <f>'比较法-住宅'!B2</f>
        <v>38292</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2428</v>
      </c>
      <c r="B9" s="957"/>
      <c r="C9" s="957"/>
      <c r="D9" s="957"/>
      <c r="E9" s="957"/>
      <c r="F9" s="957"/>
      <c r="G9" s="957"/>
      <c r="H9" s="957"/>
      <c r="I9" s="957"/>
      <c r="J9" s="957"/>
      <c r="K9" s="958"/>
    </row>
    <row r="10" spans="1:33" s="973" customFormat="1" ht="13.5" customHeight="1">
      <c r="A10" s="960" t="s">
        <v>2429</v>
      </c>
      <c r="B10" s="8" t="s">
        <v>2430</v>
      </c>
      <c r="C10" s="969" t="s">
        <v>2431</v>
      </c>
      <c r="D10" s="970" t="s">
        <v>2432</v>
      </c>
      <c r="E10" s="970" t="s">
        <v>2433</v>
      </c>
      <c r="F10" s="970" t="s">
        <v>2434</v>
      </c>
      <c r="G10" s="8"/>
      <c r="H10" s="971"/>
      <c r="I10" s="971"/>
      <c r="J10" s="971"/>
      <c r="K10" s="972"/>
    </row>
    <row r="11" spans="1:33" s="978" customFormat="1" ht="13.5" customHeight="1">
      <c r="A11" s="974" t="s">
        <v>1330</v>
      </c>
      <c r="B11" s="975" t="s">
        <v>2435</v>
      </c>
      <c r="C11" s="323">
        <f ca="1">IF(C1="",'数据-取费表'!P16,INDIRECT("'数据-取费表'!p"&amp;$K$1)+INDIRECT("'数据-取费表'!ar"&amp;$K$1))</f>
        <v>4316</v>
      </c>
      <c r="D11" s="976"/>
      <c r="E11" s="375"/>
      <c r="F11" s="977">
        <f ca="1">1-IF('数据-取费表'!B24=0,1,IF(C1="",'数据-取费表'!N16,INDIRECT("'数据-取费表'!n"&amp;$K$1)))</f>
        <v>0.4</v>
      </c>
      <c r="G11" s="8"/>
      <c r="H11" s="971"/>
      <c r="I11" s="971"/>
      <c r="J11" s="971"/>
      <c r="K11" s="972"/>
    </row>
    <row r="12" spans="1:33" s="978" customFormat="1" ht="13.5" customHeight="1">
      <c r="A12" s="974" t="s">
        <v>1331</v>
      </c>
      <c r="B12" s="975" t="s">
        <v>2436</v>
      </c>
      <c r="C12" s="24">
        <f ca="1">ROUND(C11*F12,0)</f>
        <v>216</v>
      </c>
      <c r="D12" s="976"/>
      <c r="E12" s="375"/>
      <c r="F12" s="979">
        <f>'数据-取费表'!B33</f>
        <v>0.05</v>
      </c>
      <c r="G12" s="8" t="s">
        <v>2437</v>
      </c>
      <c r="H12" s="971"/>
      <c r="I12" s="971"/>
      <c r="J12" s="971"/>
      <c r="K12" s="972"/>
    </row>
    <row r="13" spans="1:33" s="978" customFormat="1" ht="13.5" customHeight="1">
      <c r="A13" s="974" t="s">
        <v>1332</v>
      </c>
      <c r="B13" s="975" t="s">
        <v>2438</v>
      </c>
      <c r="C13" s="24">
        <f ca="1">ROUND(IF(C1="",SUMIF('数据-取费表'!C:C,"住宅",'数据-取费表'!P:P)*F13,IF(INDIRECT("'数据-取费表'!c"&amp;$K$1)="住宅",INDIRECT("'数据-取费表'!P"&amp;$K$1)*F13,0)),0)</f>
        <v>129</v>
      </c>
      <c r="D13" s="1036"/>
      <c r="E13" s="375"/>
      <c r="F13" s="979">
        <f>'数据-取费表'!B34</f>
        <v>0.03</v>
      </c>
      <c r="G13" s="8" t="s">
        <v>2439</v>
      </c>
      <c r="H13" s="971"/>
      <c r="I13" s="971"/>
      <c r="J13" s="971"/>
      <c r="K13" s="972"/>
    </row>
    <row r="14" spans="1:33" s="980" customFormat="1" ht="13.5" customHeight="1">
      <c r="A14" s="974" t="s">
        <v>1333</v>
      </c>
      <c r="B14" s="975" t="s">
        <v>2440</v>
      </c>
      <c r="C14" s="24">
        <f ca="1">ROUND(D14*E14*F11/10000,0)</f>
        <v>355</v>
      </c>
      <c r="D14" s="1036">
        <f ca="1">IF(C1="",'数据-汇总表'!E3,INDIRECT("'数据-取费表'!K"&amp;$K$1)+INDIRECT("'数据-取费表'!S"&amp;$K$1))</f>
        <v>44412.450000000026</v>
      </c>
      <c r="E14" s="24">
        <f>'数据-取费表'!B35</f>
        <v>200</v>
      </c>
      <c r="F14" s="979"/>
      <c r="G14" s="8" t="s">
        <v>2441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2442</v>
      </c>
      <c r="C15" s="986">
        <f ca="1">ROUND(C11*F15,0)</f>
        <v>65</v>
      </c>
      <c r="D15" s="981"/>
      <c r="E15" s="986"/>
      <c r="F15" s="987">
        <f>'数据-取费表'!B36</f>
        <v>1.4999999999999999E-2</v>
      </c>
      <c r="G15" s="140" t="s">
        <v>2443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2444</v>
      </c>
      <c r="C16" s="986">
        <f ca="1">SUM(C11:C15)</f>
        <v>5081</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2445</v>
      </c>
      <c r="C17" s="24">
        <f ca="1">ROUND(D17*E17/10000,0)</f>
        <v>0</v>
      </c>
      <c r="D17" s="1036">
        <f ca="1">D14</f>
        <v>44412.450000000026</v>
      </c>
      <c r="E17" s="24">
        <f>'数据-取费表'!B32</f>
        <v>0</v>
      </c>
      <c r="F17" s="981"/>
      <c r="G17" s="140" t="s">
        <v>2446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2447</v>
      </c>
      <c r="C18" s="24">
        <f ca="1">C19+C20-IF(C1="",'数据-取费表'!B29,IF(G18="已全部缴纳",C19+C20,H18))</f>
        <v>0</v>
      </c>
      <c r="D18" s="1036"/>
      <c r="E18" s="24"/>
      <c r="F18" s="979"/>
      <c r="G18" s="2562" t="s">
        <v>3097</v>
      </c>
      <c r="H18" s="1579"/>
      <c r="I18" s="2563" t="s">
        <v>2448</v>
      </c>
      <c r="J18" s="982"/>
      <c r="K18" s="983"/>
    </row>
    <row r="19" spans="1:33" s="978" customFormat="1" ht="13.5" customHeight="1">
      <c r="A19" s="974" t="s">
        <v>804</v>
      </c>
      <c r="B19" s="975" t="s">
        <v>2449</v>
      </c>
      <c r="C19" s="24">
        <f ca="1">ROUND(D19*E19/10000,0)</f>
        <v>518</v>
      </c>
      <c r="D19" s="1036">
        <f ca="1">IF(C1="",'数据-汇总表'!E5,IF(INDIRECT("'数据-取费表'!c"&amp;$K$1)="住宅",INDIRECT("'数据-取费表'!k"&amp;$K$1),0))</f>
        <v>43156.770000000026</v>
      </c>
      <c r="E19" s="24">
        <f>'数据-取费表'!B27</f>
        <v>120</v>
      </c>
      <c r="F19" s="979"/>
      <c r="G19" s="15"/>
      <c r="H19" s="1581"/>
      <c r="I19" s="984"/>
      <c r="J19" s="984"/>
      <c r="K19" s="985"/>
    </row>
    <row r="20" spans="1:33" s="978" customFormat="1" ht="13.5" customHeight="1">
      <c r="A20" s="974" t="s">
        <v>805</v>
      </c>
      <c r="B20" s="975" t="s">
        <v>2450</v>
      </c>
      <c r="C20" s="24">
        <f ca="1">ROUND(D20*E20/10000,0)</f>
        <v>20</v>
      </c>
      <c r="D20" s="1036">
        <f ca="1">IF(C1="",'数据-汇总表'!E6,IF(INDIRECT("'数据-取费表'!c"&amp;$K$1)="住宅",INDIRECT("'数据-取费表'!s"&amp;$K$1),INDIRECT("'数据-取费表'!k"&amp;$K$1)+INDIRECT("'数据-取费表'!s"&amp;$K$1)))</f>
        <v>1255.6800000000003</v>
      </c>
      <c r="E20" s="24">
        <f>'数据-取费表'!B28</f>
        <v>160</v>
      </c>
      <c r="F20" s="979"/>
      <c r="G20" s="15"/>
      <c r="H20" s="984"/>
      <c r="I20" s="984"/>
      <c r="J20" s="984"/>
      <c r="K20" s="985"/>
    </row>
    <row r="21" spans="1:33" s="978" customFormat="1" ht="13.5" customHeight="1">
      <c r="A21" s="964" t="s">
        <v>801</v>
      </c>
      <c r="B21" s="988" t="s">
        <v>2451</v>
      </c>
      <c r="C21" s="989">
        <f ca="1">C16+C17+C18</f>
        <v>5081</v>
      </c>
      <c r="D21" s="990"/>
      <c r="E21" s="325"/>
      <c r="F21" s="325"/>
      <c r="G21" s="140" t="s">
        <v>2452</v>
      </c>
      <c r="H21" s="982"/>
      <c r="I21" s="982"/>
      <c r="J21" s="982"/>
      <c r="K21" s="983"/>
    </row>
    <row r="22" spans="1:33" s="978" customFormat="1" ht="13.5" customHeight="1">
      <c r="A22" s="964" t="s">
        <v>2424</v>
      </c>
      <c r="B22" s="988" t="s">
        <v>2453</v>
      </c>
      <c r="C22" s="989">
        <f ca="1">ROUND(C21*F22,0)</f>
        <v>102</v>
      </c>
      <c r="D22" s="325"/>
      <c r="E22" s="325"/>
      <c r="F22" s="991">
        <f>'数据-取费表'!B37</f>
        <v>0.02</v>
      </c>
      <c r="G22" s="8" t="s">
        <v>2454</v>
      </c>
      <c r="H22" s="971"/>
      <c r="I22" s="971"/>
      <c r="J22" s="971"/>
      <c r="K22" s="972"/>
    </row>
    <row r="23" spans="1:33" s="978" customFormat="1" ht="13.5" customHeight="1">
      <c r="A23" s="964" t="s">
        <v>2426</v>
      </c>
      <c r="B23" s="988" t="s">
        <v>2455</v>
      </c>
      <c r="C23" s="989">
        <f ca="1">ROUND(C4*F23*F11,0)</f>
        <v>306</v>
      </c>
      <c r="D23" s="325"/>
      <c r="E23" s="325"/>
      <c r="F23" s="991">
        <f>'数据-取费表'!B38</f>
        <v>0.02</v>
      </c>
      <c r="G23" s="8" t="s">
        <v>2456</v>
      </c>
      <c r="H23" s="971"/>
      <c r="I23" s="971"/>
      <c r="J23" s="971"/>
      <c r="K23" s="972"/>
    </row>
    <row r="24" spans="1:33" s="978" customFormat="1" ht="13.5" customHeight="1">
      <c r="A24" s="964" t="s">
        <v>2457</v>
      </c>
      <c r="B24" s="988" t="s">
        <v>2458</v>
      </c>
      <c r="C24" s="324">
        <f>ROUND(F24/(1+'数据-取费表'!C42),4)</f>
        <v>3.8600000000000002E-2</v>
      </c>
      <c r="D24" s="325" t="s">
        <v>15</v>
      </c>
      <c r="E24" s="325"/>
      <c r="F24" s="991">
        <f>'数据-取费表'!B48+'数据-取费表'!B49</f>
        <v>4.0500000000000001E-2</v>
      </c>
      <c r="G24" s="8" t="s">
        <v>2459</v>
      </c>
      <c r="H24" s="993"/>
      <c r="I24" s="993"/>
      <c r="J24" s="993"/>
      <c r="K24" s="994"/>
    </row>
    <row r="25" spans="1:33" s="978" customFormat="1" ht="13.5" customHeight="1">
      <c r="A25" s="964" t="s">
        <v>2460</v>
      </c>
      <c r="B25" s="990" t="s">
        <v>2461</v>
      </c>
      <c r="C25" s="1359">
        <f ca="1">C27</f>
        <v>129</v>
      </c>
      <c r="D25" s="324">
        <f ca="1">C26</f>
        <v>4.9299999999999997E-2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2462</v>
      </c>
      <c r="C26" s="1360">
        <f ca="1">ROUND(IF('数据-取费表'!B22&lt;=1,(1+C24)*F25*'数据-取费表'!B24,(1+C24)*(POWER((1+F25),'数据-取费表'!B24)-1)),4)</f>
        <v>4.9299999999999997E-2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2463</v>
      </c>
      <c r="C27" s="1361">
        <f ca="1">ROUND(IF('数据-取费表'!B22&lt;=1,(C21+C22+C23)*F25*'数据-取费表'!B24/2,(C21+C22+C23)*(POWER((1+F25),'数据-取费表'!B24/2)-1)),0)</f>
        <v>129</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2464</v>
      </c>
      <c r="B28" s="2565" t="s">
        <v>2465</v>
      </c>
      <c r="C28" s="331">
        <f ca="1">C30</f>
        <v>549</v>
      </c>
      <c r="D28" s="324">
        <f ca="1">C29</f>
        <v>5.1900000000000002E-2</v>
      </c>
      <c r="E28" s="326" t="s">
        <v>15</v>
      </c>
      <c r="F28" s="332">
        <f ca="1">IF(C1="",'数据-取费表'!Q16,INDIRECT("'数据-取费表'!q"&amp;$K$1))</f>
        <v>0.1</v>
      </c>
      <c r="G28" s="992"/>
      <c r="H28" s="993"/>
      <c r="I28" s="993"/>
      <c r="J28" s="993"/>
      <c r="K28" s="994"/>
    </row>
    <row r="29" spans="1:33" s="335" customFormat="1" ht="13.5" customHeight="1">
      <c r="A29" s="974" t="s">
        <v>802</v>
      </c>
      <c r="B29" s="997" t="s">
        <v>2466</v>
      </c>
      <c r="C29" s="328">
        <f ca="1">ROUND((1+C24)*F28*'数据-取费表'!B24/'数据-取费表'!B20,4)</f>
        <v>5.1900000000000002E-2</v>
      </c>
      <c r="D29" s="328"/>
      <c r="E29" s="329"/>
      <c r="F29" s="334"/>
      <c r="G29" s="140" t="s">
        <v>2467</v>
      </c>
      <c r="H29" s="982"/>
      <c r="I29" s="982"/>
      <c r="J29" s="982"/>
      <c r="K29" s="983"/>
    </row>
    <row r="30" spans="1:33" s="335" customFormat="1" ht="13.5" customHeight="1">
      <c r="A30" s="974" t="s">
        <v>803</v>
      </c>
      <c r="B30" s="997" t="s">
        <v>2468</v>
      </c>
      <c r="C30" s="336">
        <f ca="1">ROUND((C21+C22+C23)*F28,0)</f>
        <v>549</v>
      </c>
      <c r="D30" s="328"/>
      <c r="E30" s="329"/>
      <c r="F30" s="334"/>
      <c r="G30" s="140"/>
      <c r="H30" s="982"/>
      <c r="I30" s="982"/>
      <c r="J30" s="982"/>
      <c r="K30" s="983"/>
    </row>
    <row r="31" spans="1:33" s="978" customFormat="1" ht="13.5" customHeight="1" thickBot="1">
      <c r="A31" s="2566" t="s">
        <v>2469</v>
      </c>
      <c r="B31" s="1008" t="s">
        <v>2470</v>
      </c>
      <c r="C31" s="1009">
        <f>ROUND(C4*F31/(1+'数据-取费表'!C42),0)</f>
        <v>2042</v>
      </c>
      <c r="D31" s="1010"/>
      <c r="E31" s="1011"/>
      <c r="F31" s="1012">
        <f>'数据-取费表'!B41</f>
        <v>5.6000000000000001E-2</v>
      </c>
      <c r="G31" s="1013" t="s">
        <v>2471</v>
      </c>
      <c r="H31" s="1014"/>
      <c r="I31" s="1014"/>
      <c r="J31" s="1014"/>
      <c r="K31" s="1015"/>
    </row>
    <row r="32" spans="1:33" s="973" customFormat="1" ht="13.5" customHeight="1" thickBot="1">
      <c r="A32" s="1003" t="s">
        <v>2472</v>
      </c>
      <c r="B32" s="1004"/>
      <c r="C32" s="1005">
        <f ca="1">ROUND((C4-C21-C22-C23-C25-C28-C31)/(1+C24+D25+D28),0)</f>
        <v>26393</v>
      </c>
      <c r="D32" s="1004"/>
      <c r="E32" s="1004"/>
      <c r="F32" s="1004"/>
      <c r="G32" s="1006" t="s">
        <v>2473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0</v>
      </c>
      <c r="D5" s="1824" t="s">
        <v>1398</v>
      </c>
      <c r="E5" s="1296"/>
      <c r="F5" s="1297"/>
      <c r="G5" s="1853"/>
      <c r="H5" s="344">
        <v>1</v>
      </c>
      <c r="I5" s="345" t="s">
        <v>1397</v>
      </c>
      <c r="J5" s="1295">
        <f ca="1">J6+J10+J12</f>
        <v>0</v>
      </c>
      <c r="K5" s="1824" t="s">
        <v>1398</v>
      </c>
      <c r="L5" s="1296"/>
      <c r="M5" s="1297"/>
    </row>
    <row r="6" spans="1:37" ht="18" customHeight="1">
      <c r="A6" s="1294" t="s">
        <v>1034</v>
      </c>
      <c r="B6" s="3255" t="s">
        <v>1399</v>
      </c>
      <c r="C6" s="1299">
        <f ca="1">ROUND(F6*F8*F7*(1-F9)/10000,0)</f>
        <v>0</v>
      </c>
      <c r="D6" s="164" t="s">
        <v>2987</v>
      </c>
      <c r="E6" s="347" t="s">
        <v>1401</v>
      </c>
      <c r="F6" s="348">
        <f ca="1">INDIRECT("'数据-取费表'!u"&amp;$G$1)</f>
        <v>0</v>
      </c>
      <c r="G6" s="1853"/>
      <c r="H6" s="1294" t="s">
        <v>1034</v>
      </c>
      <c r="I6" s="3255" t="s">
        <v>1399</v>
      </c>
      <c r="J6" s="346">
        <f ca="1">ROUND(M6*M8*M7*(1-M9)/10000,0)</f>
        <v>0</v>
      </c>
      <c r="K6" s="164" t="s">
        <v>2986</v>
      </c>
      <c r="L6" s="347" t="s">
        <v>1401</v>
      </c>
      <c r="M6" s="348">
        <f ca="1">INDIRECT("'数据-取费表'!z"&amp;$G$1)</f>
        <v>0</v>
      </c>
    </row>
    <row r="7" spans="1:37" ht="18" customHeight="1">
      <c r="A7" s="1298"/>
      <c r="B7" s="3256"/>
      <c r="C7" s="1300"/>
      <c r="D7" s="352"/>
      <c r="E7" s="1301" t="s">
        <v>1402</v>
      </c>
      <c r="F7" s="348">
        <f ca="1">IF(INDIRECT("'数据-取费表'!ah"&amp;$G$1)="",INDIRECT("'数据-取费表'!k"&amp;$G$1),INDIRECT("'数据-取费表'!ah"&amp;$G$1))</f>
        <v>0</v>
      </c>
      <c r="G7" s="1853"/>
      <c r="H7" s="349"/>
      <c r="I7" s="3256"/>
      <c r="J7" s="351"/>
      <c r="K7" s="352"/>
      <c r="L7" s="347" t="s">
        <v>1402</v>
      </c>
      <c r="M7" s="348">
        <f ca="1">F7</f>
        <v>0</v>
      </c>
    </row>
    <row r="8" spans="1:37" ht="18" customHeight="1">
      <c r="A8" s="349"/>
      <c r="B8" s="3256"/>
      <c r="C8" s="351"/>
      <c r="D8" s="352"/>
      <c r="E8" s="347" t="s">
        <v>1403</v>
      </c>
      <c r="F8" s="348">
        <f ca="1">INDIRECT("'数据-取费表'!ai"&amp;$G$1)</f>
        <v>0</v>
      </c>
      <c r="G8" s="1853"/>
      <c r="H8" s="349"/>
      <c r="I8" s="3256"/>
      <c r="J8" s="351"/>
      <c r="K8" s="352"/>
      <c r="L8" s="347" t="s">
        <v>1403</v>
      </c>
      <c r="M8" s="348">
        <f ca="1">INDIRECT("'数据-取费表'!ai"&amp;$G$1)</f>
        <v>0</v>
      </c>
    </row>
    <row r="9" spans="1:37" ht="18" customHeight="1">
      <c r="A9" s="349"/>
      <c r="B9" s="3257"/>
      <c r="C9" s="351"/>
      <c r="D9" s="352"/>
      <c r="E9" s="347" t="s">
        <v>1404</v>
      </c>
      <c r="F9" s="357">
        <f ca="1">INDIRECT("'数据-取费表'!w"&amp;$G$1)</f>
        <v>0</v>
      </c>
      <c r="G9" s="1853"/>
      <c r="H9" s="349"/>
      <c r="I9" s="3257"/>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2996</v>
      </c>
      <c r="E10" s="358" t="s">
        <v>1406</v>
      </c>
      <c r="F10" s="1369"/>
      <c r="G10" s="1853"/>
      <c r="H10" s="1294" t="s">
        <v>1038</v>
      </c>
      <c r="I10" s="1825" t="s">
        <v>1405</v>
      </c>
      <c r="J10" s="346">
        <f ca="1">ROUND(IF(M10="押一",J6/12*M11,IF(M10="押二",J6/12*2*M11,IF(M10="押三",J6/12*3*M11,J11*M11))),0)</f>
        <v>0</v>
      </c>
      <c r="K10" s="1826" t="s">
        <v>2995</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INDIRECT("'数据-取费表'!m"&amp;$G$1)+INDIRECT("'数据-取费表'!t"&amp;$G$1)</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0.05</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1034</v>
      </c>
      <c r="I17" s="347" t="s">
        <v>1425</v>
      </c>
      <c r="J17" s="24">
        <f ca="1">ROUND(IF(项目基本情况!B11="自然人",J5*M17,J18+J19+J20),1)</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ROUND(M20*M21/10000,2)</f>
        <v>0</v>
      </c>
      <c r="K20" s="370" t="s">
        <v>1438</v>
      </c>
      <c r="L20" s="347" t="s">
        <v>1439</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18</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ROUND(J14*M22,1)</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ROUND(IF(项目基本情况!B11="自然人",C5*F31,C32+C33+C34),1)</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IF(项目基本情况!B11="自然人","——",ROUND(C5*F32/(1+'数据-取费表'!C42),2))</f>
        <v>0</v>
      </c>
      <c r="D32" s="1800" t="s">
        <v>1430</v>
      </c>
      <c r="E32" s="347" t="s">
        <v>1418</v>
      </c>
      <c r="F32" s="377">
        <f>'数据-取费表'!B41</f>
        <v>5.6000000000000001E-2</v>
      </c>
      <c r="G32" s="1853"/>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IF(项目基本情况!B11="自然人","——",ROUND(F34*F35/10000,2))</f>
        <v>0</v>
      </c>
      <c r="D34" s="370" t="s">
        <v>1438</v>
      </c>
      <c r="E34" s="347" t="s">
        <v>1439</v>
      </c>
      <c r="F34" s="371">
        <f>'数据-取费表'!B52</f>
        <v>16</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ROUND(F49*F51*F50*(1-F52)/10000,0)</f>
        <v>0</v>
      </c>
      <c r="D49" s="1279" t="s">
        <v>2988</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371"/>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24.75" thickBot="1">
      <c r="A53" s="1408" t="s">
        <v>1136</v>
      </c>
      <c r="B53" s="1833" t="s">
        <v>1405</v>
      </c>
      <c r="C53" s="361">
        <f ca="1">ROUND(IF(F53="押一",C49/12*F11,IF(F53="押二",C49/12*2*F11,IF(F53="押三",C49/12*3*F11,C54*F11))),0)</f>
        <v>0</v>
      </c>
      <c r="D53" s="1826" t="s">
        <v>2995</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53" t="s">
        <v>1544</v>
      </c>
      <c r="L53" s="3254"/>
      <c r="O53" s="1886" t="s">
        <v>1045</v>
      </c>
      <c r="P53" s="1887" t="s">
        <v>1545</v>
      </c>
      <c r="Q53" s="1888" t="e">
        <f ca="1">Q47+Q48</f>
        <v>#DIV/0!</v>
      </c>
      <c r="R53" s="1888" t="s">
        <v>1046</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1040</v>
      </c>
      <c r="P57" s="1887" t="s">
        <v>1554</v>
      </c>
      <c r="Q57" s="1888" t="e">
        <f ca="1">L60</f>
        <v>#DIV/0!</v>
      </c>
      <c r="R57" s="1888" t="s">
        <v>1555</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IF(项目基本情况!B11="自然人","——",ROUND(C48*F60/(1+'数据-取费表'!C42),2))</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16</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c r="O70" s="1896" t="s">
        <v>1048</v>
      </c>
      <c r="P70" s="1936" t="s">
        <v>1581</v>
      </c>
      <c r="Q70" s="1888">
        <f ca="1">C13</f>
        <v>0</v>
      </c>
      <c r="R70" s="1888" t="s">
        <v>1525</v>
      </c>
    </row>
    <row r="71" spans="1:18" s="1844" customFormat="1" ht="13.5" thickBot="1">
      <c r="A71" s="1193" t="s">
        <v>1032</v>
      </c>
      <c r="B71" s="1194" t="s">
        <v>1483</v>
      </c>
      <c r="C71" s="382" t="e">
        <f ca="1">ROUND(C68*10000/F71,0)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1034</v>
      </c>
      <c r="B6" s="3255" t="s">
        <v>1399</v>
      </c>
      <c r="C6" s="1299">
        <f ca="1">ROUND(F6*F8*F7*(1-F9),0)</f>
        <v>0</v>
      </c>
      <c r="D6" s="164" t="s">
        <v>2984</v>
      </c>
      <c r="E6" s="347" t="s">
        <v>1401</v>
      </c>
      <c r="F6" s="348">
        <f ca="1">INDIRECT("'数据-取费表'!u"&amp;$G$1)</f>
        <v>0</v>
      </c>
      <c r="G6" s="1853"/>
      <c r="H6" s="1294" t="s">
        <v>1034</v>
      </c>
      <c r="I6" s="3255" t="s">
        <v>1399</v>
      </c>
      <c r="J6" s="346">
        <f ca="1">ROUND(M6*M8*M7*(1-M9),0)</f>
        <v>0</v>
      </c>
      <c r="K6" s="1836" t="s">
        <v>2985</v>
      </c>
      <c r="L6" s="347" t="s">
        <v>1401</v>
      </c>
      <c r="M6" s="348">
        <f ca="1">INDIRECT("'数据-取费表'!z"&amp;$G$1)</f>
        <v>0</v>
      </c>
    </row>
    <row r="7" spans="1:37" ht="18" customHeight="1">
      <c r="A7" s="1298"/>
      <c r="B7" s="3256"/>
      <c r="C7" s="1300"/>
      <c r="D7" s="352"/>
      <c r="E7" s="1301" t="s">
        <v>1402</v>
      </c>
      <c r="F7" s="348">
        <f ca="1">IF(INDIRECT("'数据-取费表'!ah"&amp;$G$1)="",INDIRECT("'数据-取费表'!k"&amp;$G$1),INDIRECT("'数据-取费表'!ah"&amp;$G$1))</f>
        <v>0</v>
      </c>
      <c r="G7" s="1853"/>
      <c r="H7" s="349"/>
      <c r="I7" s="3256"/>
      <c r="J7" s="351"/>
      <c r="K7" s="352"/>
      <c r="L7" s="347" t="s">
        <v>1402</v>
      </c>
      <c r="M7" s="348">
        <f ca="1">F7</f>
        <v>0</v>
      </c>
    </row>
    <row r="8" spans="1:37" ht="18" customHeight="1">
      <c r="A8" s="349"/>
      <c r="B8" s="3256"/>
      <c r="C8" s="351"/>
      <c r="D8" s="352"/>
      <c r="E8" s="347" t="s">
        <v>1403</v>
      </c>
      <c r="F8" s="348">
        <f ca="1">INDIRECT("'数据-取费表'!ai"&amp;$G$1)</f>
        <v>0</v>
      </c>
      <c r="G8" s="1853"/>
      <c r="H8" s="349"/>
      <c r="I8" s="3256"/>
      <c r="J8" s="351"/>
      <c r="K8" s="352"/>
      <c r="L8" s="347" t="s">
        <v>1403</v>
      </c>
      <c r="M8" s="348">
        <f ca="1">INDIRECT("'数据-取费表'!ai"&amp;$G$1)</f>
        <v>0</v>
      </c>
    </row>
    <row r="9" spans="1:37" ht="18" customHeight="1">
      <c r="A9" s="349"/>
      <c r="B9" s="3257"/>
      <c r="C9" s="351"/>
      <c r="D9" s="352"/>
      <c r="E9" s="347" t="s">
        <v>1404</v>
      </c>
      <c r="F9" s="357">
        <f ca="1">INDIRECT("'数据-取费表'!w"&amp;$G$1)</f>
        <v>0</v>
      </c>
      <c r="G9" s="1853"/>
      <c r="H9" s="349"/>
      <c r="I9" s="3257"/>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2995</v>
      </c>
      <c r="E10" s="358" t="s">
        <v>1406</v>
      </c>
      <c r="F10" s="1369"/>
      <c r="G10" s="1853"/>
      <c r="H10" s="1294" t="s">
        <v>1038</v>
      </c>
      <c r="I10" s="1825" t="s">
        <v>1405</v>
      </c>
      <c r="J10" s="346">
        <f ca="1">ROUND(IF(M10="押一",J6/12*M11,IF(M10="押二",J6/12*2*M11,IF(M10="押三",J6/12*3*M11,J11*M11))),0)</f>
        <v>0</v>
      </c>
      <c r="K10" s="1837" t="s">
        <v>2997</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ROUND(INDIRECT("'数据-取费表'!l"&amp;$G$1)*F43+'数据-取费表'!L14*INDIRECT("'数据-取费表'!S"&amp;$G$1),0)</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0.05</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1034</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ROUND(J14*M22,0)</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16</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ROUND(F49*F51*F50*(1-F52),0)</f>
        <v>0</v>
      </c>
      <c r="D49" s="1279" t="s">
        <v>1400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30.75" customHeight="1" thickBot="1">
      <c r="A53" s="1364" t="s">
        <v>1136</v>
      </c>
      <c r="B53" s="369" t="s">
        <v>1405</v>
      </c>
      <c r="C53" s="361">
        <f ca="1">ROUND(IF(F53="押一",C49/12*F11,IF(F53="押二",C49/12*2*F11,IF(F53="押三",C49/12*3*F11,C54*F11))),0)</f>
        <v>0</v>
      </c>
      <c r="D53" s="1826" t="s">
        <v>2998</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53" t="s">
        <v>1544</v>
      </c>
      <c r="L53" s="3254"/>
      <c r="O53" s="1886" t="s">
        <v>1045</v>
      </c>
      <c r="P53" s="1887" t="s">
        <v>1545</v>
      </c>
      <c r="Q53" s="1888" t="e">
        <f ca="1">Q47+Q48</f>
        <v>#DIV/0!</v>
      </c>
      <c r="R53" s="1888" t="s">
        <v>1046</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16</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f ca="1">F42</f>
        <v>0</v>
      </c>
      <c r="O70" s="1896" t="s">
        <v>1048</v>
      </c>
      <c r="P70" s="1936" t="s">
        <v>1581</v>
      </c>
      <c r="Q70" s="1888">
        <f ca="1">C13</f>
        <v>0</v>
      </c>
      <c r="R70" s="1888" t="s">
        <v>1525</v>
      </c>
    </row>
    <row r="71" spans="1:18" s="1844" customFormat="1" ht="13.5" thickBot="1">
      <c r="A71" s="1193" t="s">
        <v>1032</v>
      </c>
      <c r="B71" s="1194" t="s">
        <v>1483</v>
      </c>
      <c r="C71" s="382" t="e">
        <f ca="1">ROUND(C68/F71,0)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2481</v>
      </c>
      <c r="B1" s="2568"/>
      <c r="C1" s="2568"/>
      <c r="D1" s="2568"/>
      <c r="E1" s="2569"/>
    </row>
    <row r="2" spans="1:6" ht="15.75">
      <c r="A2" s="2570" t="s">
        <v>2285</v>
      </c>
      <c r="B2" s="2571">
        <f ca="1">SUMIF(B6:B13,"&lt;&gt;#ref!",B6:B13)</f>
        <v>0</v>
      </c>
      <c r="C2" s="2572" t="s">
        <v>2474</v>
      </c>
      <c r="D2" s="2573" t="s">
        <v>2475</v>
      </c>
      <c r="E2" s="2574">
        <f>SUM(E6:E13)</f>
        <v>0</v>
      </c>
    </row>
    <row r="3" spans="1:6" ht="15.75">
      <c r="A3" s="2570" t="s">
        <v>1391</v>
      </c>
      <c r="B3" s="2571" t="e">
        <f ca="1">ROUND(B2*10000/E2,0)</f>
        <v>#DIV/0!</v>
      </c>
      <c r="C3" s="2572" t="s">
        <v>2482</v>
      </c>
      <c r="D3" s="2575"/>
      <c r="E3" s="2576"/>
    </row>
    <row r="4" spans="1:6" ht="15.75">
      <c r="A4" s="2577"/>
      <c r="B4" s="2575"/>
      <c r="C4" s="2575"/>
      <c r="D4" s="2575"/>
      <c r="E4" s="2576"/>
    </row>
    <row r="5" spans="1:6" ht="15">
      <c r="A5" s="2578" t="s">
        <v>2476</v>
      </c>
      <c r="B5" s="3258" t="s">
        <v>2477</v>
      </c>
      <c r="C5" s="3258"/>
      <c r="D5" s="2579"/>
      <c r="E5" s="2580" t="s">
        <v>2478</v>
      </c>
      <c r="F5" s="2581" t="s">
        <v>2479</v>
      </c>
    </row>
    <row r="6" spans="1:6">
      <c r="A6" s="2582">
        <f>'数据-取费表'!AN6</f>
        <v>0</v>
      </c>
      <c r="B6" s="2581" t="e">
        <f ca="1">IF(F6="是",'数据-取费表'!AO6,0)</f>
        <v>#REF!</v>
      </c>
      <c r="C6" s="2572" t="s">
        <v>2474</v>
      </c>
      <c r="D6" s="2575"/>
      <c r="E6" s="2583">
        <f>IF(OR(A6=0,F6="否"),0,'数据-取费表'!K6+'数据-取费表'!S6)</f>
        <v>0</v>
      </c>
      <c r="F6" s="2584" t="s">
        <v>2480</v>
      </c>
    </row>
    <row r="7" spans="1:6">
      <c r="A7" s="2582">
        <f>'数据-取费表'!AN7</f>
        <v>0</v>
      </c>
      <c r="B7" s="2581" t="e">
        <f ca="1">IF(F7="是",'数据-取费表'!AO7,0)</f>
        <v>#REF!</v>
      </c>
      <c r="C7" s="2572" t="s">
        <v>2474</v>
      </c>
      <c r="D7" s="2575"/>
      <c r="E7" s="2583">
        <f>IF(OR(A7=0,F7="否"),0,'数据-取费表'!K7+'数据-取费表'!S7)</f>
        <v>0</v>
      </c>
      <c r="F7" s="2584" t="s">
        <v>2480</v>
      </c>
    </row>
    <row r="8" spans="1:6">
      <c r="A8" s="2582">
        <f>'数据-取费表'!AN8</f>
        <v>0</v>
      </c>
      <c r="B8" s="2581" t="e">
        <f ca="1">IF(F8="是",'数据-取费表'!AO8,0)</f>
        <v>#REF!</v>
      </c>
      <c r="C8" s="2572" t="s">
        <v>2474</v>
      </c>
      <c r="D8" s="2575"/>
      <c r="E8" s="2583">
        <f>IF(OR(A8=0,F8="否"),0,'数据-取费表'!K8+'数据-取费表'!S8)</f>
        <v>0</v>
      </c>
      <c r="F8" s="2584" t="s">
        <v>2480</v>
      </c>
    </row>
    <row r="9" spans="1:6">
      <c r="A9" s="2582">
        <f>'数据-取费表'!AN9</f>
        <v>0</v>
      </c>
      <c r="B9" s="2581" t="e">
        <f ca="1">IF(F9="是",'数据-取费表'!AO9,0)</f>
        <v>#REF!</v>
      </c>
      <c r="C9" s="2572" t="s">
        <v>2474</v>
      </c>
      <c r="D9" s="2575"/>
      <c r="E9" s="2583">
        <f>IF(OR(A9=0,F9="否"),0,'数据-取费表'!K9+'数据-取费表'!S9)</f>
        <v>0</v>
      </c>
      <c r="F9" s="2584" t="s">
        <v>2480</v>
      </c>
    </row>
    <row r="10" spans="1:6">
      <c r="A10" s="2582">
        <f>'数据-取费表'!AN10</f>
        <v>0</v>
      </c>
      <c r="B10" s="2581" t="e">
        <f ca="1">IF(F10="是",'数据-取费表'!AO10,0)</f>
        <v>#REF!</v>
      </c>
      <c r="C10" s="2572" t="s">
        <v>2474</v>
      </c>
      <c r="D10" s="2575"/>
      <c r="E10" s="2583">
        <f>IF(OR(A10=0,F10="否"),0,'数据-取费表'!K10+'数据-取费表'!S10)</f>
        <v>0</v>
      </c>
      <c r="F10" s="2584" t="s">
        <v>2480</v>
      </c>
    </row>
    <row r="11" spans="1:6">
      <c r="A11" s="2582">
        <f>'数据-取费表'!AN11</f>
        <v>0</v>
      </c>
      <c r="B11" s="2581" t="e">
        <f ca="1">IF(F11="是",'数据-取费表'!AO11,0)</f>
        <v>#REF!</v>
      </c>
      <c r="C11" s="2572" t="s">
        <v>2474</v>
      </c>
      <c r="D11" s="2575"/>
      <c r="E11" s="2583">
        <f>IF(OR(A11=0,F11="否"),0,'数据-取费表'!K11+'数据-取费表'!S11)</f>
        <v>0</v>
      </c>
      <c r="F11" s="2584" t="s">
        <v>2480</v>
      </c>
    </row>
    <row r="12" spans="1:6">
      <c r="A12" s="2582">
        <f>'数据-取费表'!AN12</f>
        <v>0</v>
      </c>
      <c r="B12" s="2581" t="e">
        <f ca="1">IF(F12="是",'数据-取费表'!AO12,0)</f>
        <v>#REF!</v>
      </c>
      <c r="C12" s="2572" t="s">
        <v>2474</v>
      </c>
      <c r="D12" s="2575"/>
      <c r="E12" s="2583">
        <f>IF(OR(A12=0,F12="否"),0,'数据-取费表'!K12+'数据-取费表'!S12)</f>
        <v>0</v>
      </c>
      <c r="F12" s="2584" t="s">
        <v>2480</v>
      </c>
    </row>
    <row r="13" spans="1:6" ht="15" thickBot="1">
      <c r="A13" s="2585">
        <f>'数据-取费表'!AN13</f>
        <v>0</v>
      </c>
      <c r="B13" s="2581" t="e">
        <f ca="1">IF(F13="是",'数据-取费表'!AO13,0)</f>
        <v>#REF!</v>
      </c>
      <c r="C13" s="2586" t="s">
        <v>2474</v>
      </c>
      <c r="D13" s="2587"/>
      <c r="E13" s="2583">
        <f>IF(OR(A13=0,F13="否"),0,'数据-取费表'!K13+'数据-取费表'!S13)</f>
        <v>0</v>
      </c>
      <c r="F13" s="2584" t="s">
        <v>2480</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75" t="s">
        <v>1075</v>
      </c>
      <c r="B1" s="3276"/>
      <c r="C1" s="3277"/>
      <c r="D1" s="3278">
        <f>SUM(I10,I15,I20,I21,I23)</f>
        <v>0</v>
      </c>
      <c r="E1" s="3278"/>
      <c r="F1" s="3278"/>
      <c r="G1" s="3278"/>
      <c r="H1" s="3278"/>
      <c r="I1" s="3279"/>
    </row>
    <row r="2" spans="1:9">
      <c r="A2" s="3265" t="s">
        <v>1076</v>
      </c>
      <c r="B2" s="3266" t="s">
        <v>1077</v>
      </c>
      <c r="C2" s="3266"/>
      <c r="D2" s="1304" t="s">
        <v>1078</v>
      </c>
      <c r="E2" s="1304" t="s">
        <v>1079</v>
      </c>
      <c r="F2" s="1304" t="s">
        <v>1080</v>
      </c>
      <c r="G2" s="1304" t="s">
        <v>1081</v>
      </c>
      <c r="H2" s="1304" t="s">
        <v>1082</v>
      </c>
      <c r="I2" s="1305" t="s">
        <v>1083</v>
      </c>
    </row>
    <row r="3" spans="1:9">
      <c r="A3" s="3265"/>
      <c r="B3" s="3266" t="s">
        <v>1084</v>
      </c>
      <c r="C3" s="3266"/>
      <c r="D3" s="1306"/>
      <c r="E3" s="1304"/>
      <c r="F3" s="1307"/>
      <c r="G3" s="1307"/>
      <c r="H3" s="1308"/>
      <c r="I3" s="1309">
        <f>ROUND(D3*E3*F3*G3*H3/10000,0)</f>
        <v>0</v>
      </c>
    </row>
    <row r="4" spans="1:9">
      <c r="A4" s="3265"/>
      <c r="B4" s="3266" t="s">
        <v>1085</v>
      </c>
      <c r="C4" s="3266"/>
      <c r="D4" s="1306"/>
      <c r="E4" s="1304"/>
      <c r="F4" s="1307"/>
      <c r="G4" s="1307"/>
      <c r="H4" s="1308"/>
      <c r="I4" s="1309">
        <f t="shared" ref="I4:I9" si="0">ROUND(D4*E4*F4*G4*H4/10000,0)</f>
        <v>0</v>
      </c>
    </row>
    <row r="5" spans="1:9">
      <c r="A5" s="3265"/>
      <c r="B5" s="3266" t="s">
        <v>1086</v>
      </c>
      <c r="C5" s="3266"/>
      <c r="D5" s="1306"/>
      <c r="E5" s="1304"/>
      <c r="F5" s="1307"/>
      <c r="G5" s="1307"/>
      <c r="H5" s="1308"/>
      <c r="I5" s="1309">
        <f t="shared" si="0"/>
        <v>0</v>
      </c>
    </row>
    <row r="6" spans="1:9">
      <c r="A6" s="3265"/>
      <c r="B6" s="3266" t="s">
        <v>1087</v>
      </c>
      <c r="C6" s="3266"/>
      <c r="D6" s="1306"/>
      <c r="E6" s="1304"/>
      <c r="F6" s="1307"/>
      <c r="G6" s="1307"/>
      <c r="H6" s="1308"/>
      <c r="I6" s="1309">
        <f t="shared" si="0"/>
        <v>0</v>
      </c>
    </row>
    <row r="7" spans="1:9">
      <c r="A7" s="3265"/>
      <c r="B7" s="3266" t="s">
        <v>1088</v>
      </c>
      <c r="C7" s="3266"/>
      <c r="D7" s="1306"/>
      <c r="E7" s="1304"/>
      <c r="F7" s="1307"/>
      <c r="G7" s="1307"/>
      <c r="H7" s="1308"/>
      <c r="I7" s="1309">
        <f t="shared" si="0"/>
        <v>0</v>
      </c>
    </row>
    <row r="8" spans="1:9">
      <c r="A8" s="3265"/>
      <c r="B8" s="3266" t="s">
        <v>1089</v>
      </c>
      <c r="C8" s="3266"/>
      <c r="D8" s="1306"/>
      <c r="E8" s="1304"/>
      <c r="F8" s="1307"/>
      <c r="G8" s="1307"/>
      <c r="H8" s="1308"/>
      <c r="I8" s="1309">
        <f t="shared" si="0"/>
        <v>0</v>
      </c>
    </row>
    <row r="9" spans="1:9">
      <c r="A9" s="3265"/>
      <c r="B9" s="3266" t="s">
        <v>1090</v>
      </c>
      <c r="C9" s="3266"/>
      <c r="D9" s="1306"/>
      <c r="E9" s="1304"/>
      <c r="F9" s="1307"/>
      <c r="G9" s="1307"/>
      <c r="H9" s="1308"/>
      <c r="I9" s="1309">
        <f t="shared" si="0"/>
        <v>0</v>
      </c>
    </row>
    <row r="10" spans="1:9">
      <c r="A10" s="3265"/>
      <c r="B10" s="3267" t="s">
        <v>1091</v>
      </c>
      <c r="C10" s="3267"/>
      <c r="D10" s="1310"/>
      <c r="E10" s="1310" t="e">
        <f>ROUND(D1*10000/D10/H9,0)</f>
        <v>#DIV/0!</v>
      </c>
      <c r="F10" s="1311"/>
      <c r="G10" s="1311"/>
      <c r="H10" s="1312"/>
      <c r="I10" s="1313">
        <f>SUM(I3:I9)</f>
        <v>0</v>
      </c>
    </row>
    <row r="11" spans="1:9" ht="14.25">
      <c r="A11" s="3265" t="s">
        <v>1092</v>
      </c>
      <c r="B11" s="3266" t="s">
        <v>1093</v>
      </c>
      <c r="C11" s="3266"/>
      <c r="D11" s="1306" t="s">
        <v>1094</v>
      </c>
      <c r="E11" s="1306" t="s">
        <v>1095</v>
      </c>
      <c r="F11" s="1307" t="s">
        <v>1096</v>
      </c>
      <c r="G11" s="1307" t="s">
        <v>1082</v>
      </c>
      <c r="H11" s="1314" t="s">
        <v>1097</v>
      </c>
      <c r="I11" s="1305" t="s">
        <v>1083</v>
      </c>
    </row>
    <row r="12" spans="1:9">
      <c r="A12" s="3265"/>
      <c r="B12" s="3266" t="s">
        <v>1098</v>
      </c>
      <c r="C12" s="3266"/>
      <c r="D12" s="1306"/>
      <c r="E12" s="1306"/>
      <c r="F12" s="1307"/>
      <c r="G12" s="1308"/>
      <c r="H12" s="1315"/>
      <c r="I12" s="1305">
        <f>ROUND(D12*E12*F12*G12/10000,0)</f>
        <v>0</v>
      </c>
    </row>
    <row r="13" spans="1:9">
      <c r="A13" s="3265"/>
      <c r="B13" s="3266" t="s">
        <v>1099</v>
      </c>
      <c r="C13" s="3266"/>
      <c r="D13" s="1306"/>
      <c r="E13" s="1306"/>
      <c r="F13" s="1307"/>
      <c r="G13" s="1308"/>
      <c r="H13" s="1315"/>
      <c r="I13" s="1305">
        <f>ROUND(D13*E13*F13*G13/10000,0)</f>
        <v>0</v>
      </c>
    </row>
    <row r="14" spans="1:9">
      <c r="A14" s="3265"/>
      <c r="B14" s="3266" t="s">
        <v>1100</v>
      </c>
      <c r="C14" s="3266"/>
      <c r="D14" s="1306"/>
      <c r="E14" s="1306"/>
      <c r="F14" s="1307"/>
      <c r="G14" s="1308"/>
      <c r="H14" s="1315"/>
      <c r="I14" s="1305">
        <f>ROUND(D14*E14*F14*G14/10000,0)</f>
        <v>0</v>
      </c>
    </row>
    <row r="15" spans="1:9">
      <c r="A15" s="3265"/>
      <c r="B15" s="3267" t="s">
        <v>1091</v>
      </c>
      <c r="C15" s="3267"/>
      <c r="D15" s="1310"/>
      <c r="E15" s="1310">
        <f>SUM(E12:E14)</f>
        <v>0</v>
      </c>
      <c r="F15" s="1311"/>
      <c r="G15" s="1308"/>
      <c r="H15" s="1315"/>
      <c r="I15" s="1316">
        <f>SUM(I12:I14)</f>
        <v>0</v>
      </c>
    </row>
    <row r="16" spans="1:9" ht="24">
      <c r="A16" s="3265" t="s">
        <v>1101</v>
      </c>
      <c r="B16" s="3266" t="s">
        <v>1102</v>
      </c>
      <c r="C16" s="3266"/>
      <c r="D16" s="1306" t="s">
        <v>1078</v>
      </c>
      <c r="E16" s="1317" t="s">
        <v>1103</v>
      </c>
      <c r="F16" s="1307" t="s">
        <v>1104</v>
      </c>
      <c r="G16" s="1308" t="s">
        <v>1082</v>
      </c>
      <c r="H16" s="1314" t="s">
        <v>1097</v>
      </c>
      <c r="I16" s="1305" t="s">
        <v>1083</v>
      </c>
    </row>
    <row r="17" spans="1:9" ht="14.25">
      <c r="A17" s="3265"/>
      <c r="B17" s="3266" t="s">
        <v>1105</v>
      </c>
      <c r="C17" s="3266"/>
      <c r="D17" s="1306"/>
      <c r="E17" s="1306"/>
      <c r="F17" s="1307"/>
      <c r="G17" s="1308"/>
      <c r="H17" s="1318"/>
      <c r="I17" s="1319">
        <f>ROUND(D17*E17*F17*G17/10000,0)</f>
        <v>0</v>
      </c>
    </row>
    <row r="18" spans="1:9" ht="14.25">
      <c r="A18" s="3265"/>
      <c r="B18" s="3266" t="s">
        <v>1106</v>
      </c>
      <c r="C18" s="3266"/>
      <c r="D18" s="1306"/>
      <c r="E18" s="1306"/>
      <c r="F18" s="1307"/>
      <c r="G18" s="1308"/>
      <c r="H18" s="1318"/>
      <c r="I18" s="1319">
        <f>ROUND(D18*E18*F18*G18/10000,0)</f>
        <v>0</v>
      </c>
    </row>
    <row r="19" spans="1:9" ht="14.25">
      <c r="A19" s="3265"/>
      <c r="B19" s="3266" t="s">
        <v>1107</v>
      </c>
      <c r="C19" s="3266"/>
      <c r="D19" s="1306"/>
      <c r="E19" s="1306"/>
      <c r="F19" s="1307"/>
      <c r="G19" s="1308"/>
      <c r="H19" s="1318"/>
      <c r="I19" s="1319">
        <f>ROUND(D19*E19*F19*G19/10000,0)</f>
        <v>0</v>
      </c>
    </row>
    <row r="20" spans="1:9">
      <c r="A20" s="3265"/>
      <c r="B20" s="3267" t="s">
        <v>1091</v>
      </c>
      <c r="C20" s="3267"/>
      <c r="D20" s="1310">
        <f>SUM(D17:D19)</f>
        <v>0</v>
      </c>
      <c r="E20" s="1310"/>
      <c r="F20" s="1311"/>
      <c r="G20" s="1308"/>
      <c r="H20" s="1315"/>
      <c r="I20" s="1316">
        <f>SUM(I17:I19)</f>
        <v>0</v>
      </c>
    </row>
    <row r="21" spans="1:9">
      <c r="A21" s="3265" t="s">
        <v>1108</v>
      </c>
      <c r="B21" s="3268"/>
      <c r="C21" s="3268"/>
      <c r="D21" s="3268"/>
      <c r="E21" s="3268"/>
      <c r="F21" s="3268"/>
      <c r="G21" s="3268"/>
      <c r="H21" s="1767">
        <v>0.1</v>
      </c>
      <c r="I21" s="1313">
        <f>ROUND(I10*H21,0)</f>
        <v>0</v>
      </c>
    </row>
    <row r="22" spans="1:9" ht="14.25">
      <c r="A22" s="3269" t="s">
        <v>1109</v>
      </c>
      <c r="B22" s="3270"/>
      <c r="C22" s="3271"/>
      <c r="D22" s="1320" t="s">
        <v>1110</v>
      </c>
      <c r="E22" s="1320" t="s">
        <v>1111</v>
      </c>
      <c r="F22" s="1321" t="s">
        <v>1112</v>
      </c>
      <c r="G22" s="1321" t="s">
        <v>1113</v>
      </c>
      <c r="H22" s="1314" t="s">
        <v>1114</v>
      </c>
      <c r="I22" s="1305" t="s">
        <v>1115</v>
      </c>
    </row>
    <row r="23" spans="1:9" ht="14.25" thickBot="1">
      <c r="A23" s="3272"/>
      <c r="B23" s="3273"/>
      <c r="C23" s="3274"/>
      <c r="D23" s="1322"/>
      <c r="E23" s="1322"/>
      <c r="F23" s="1322"/>
      <c r="G23" s="1323"/>
      <c r="H23" s="1324"/>
      <c r="I23" s="1325">
        <f>ROUND(E23*D23*F23*(1-G23)/10000,0)</f>
        <v>0</v>
      </c>
    </row>
    <row r="26" spans="1:9">
      <c r="A26" s="1326" t="s">
        <v>1116</v>
      </c>
      <c r="B26" s="1326"/>
      <c r="C26" s="1326"/>
      <c r="D26" s="1326"/>
      <c r="E26" s="3262">
        <f>C27-C30-C31-C32</f>
        <v>0</v>
      </c>
      <c r="F26" s="3262"/>
      <c r="G26" s="3262"/>
      <c r="H26" s="1739" t="s">
        <v>1336</v>
      </c>
    </row>
    <row r="27" spans="1:9">
      <c r="A27" s="1327">
        <v>1</v>
      </c>
      <c r="B27" s="1328" t="s">
        <v>1117</v>
      </c>
      <c r="C27" s="1328">
        <f>C28+C29</f>
        <v>0</v>
      </c>
      <c r="D27" s="1328"/>
      <c r="E27" s="3263"/>
      <c r="F27" s="3263"/>
      <c r="G27" s="3263"/>
    </row>
    <row r="28" spans="1:9">
      <c r="A28" s="1329" t="s">
        <v>1118</v>
      </c>
      <c r="B28" s="1328" t="s">
        <v>1119</v>
      </c>
      <c r="C28" s="1328"/>
      <c r="D28" s="1328"/>
      <c r="E28" s="3263"/>
      <c r="F28" s="3263"/>
      <c r="G28" s="3263"/>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264"/>
      <c r="F32" s="3264"/>
      <c r="G32" s="3264"/>
    </row>
    <row r="33" spans="1:7" hidden="1">
      <c r="A33" s="3259" t="s">
        <v>1128</v>
      </c>
      <c r="B33" s="3260"/>
      <c r="C33" s="3260"/>
      <c r="D33" s="3261"/>
      <c r="E33" s="3262"/>
      <c r="F33" s="3262"/>
      <c r="G33" s="3262"/>
    </row>
    <row r="34" spans="1:7" hidden="1">
      <c r="A34" s="1331">
        <v>1</v>
      </c>
      <c r="B34" s="1328" t="s">
        <v>1129</v>
      </c>
      <c r="C34" s="1328"/>
      <c r="D34" s="1328"/>
      <c r="E34" s="3263"/>
      <c r="F34" s="3263"/>
      <c r="G34" s="3263"/>
    </row>
    <row r="35" spans="1:7" hidden="1">
      <c r="A35" s="1331">
        <v>2</v>
      </c>
      <c r="B35" s="1328" t="s">
        <v>1130</v>
      </c>
      <c r="C35" s="1328"/>
      <c r="D35" s="1328"/>
      <c r="E35" s="3263"/>
      <c r="F35" s="3263"/>
      <c r="G35" s="3263"/>
    </row>
    <row r="36" spans="1:7" hidden="1">
      <c r="A36" s="1331">
        <v>3</v>
      </c>
      <c r="B36" s="1328" t="s">
        <v>1131</v>
      </c>
      <c r="C36" s="1328"/>
      <c r="D36" s="1328"/>
      <c r="E36" s="3263"/>
      <c r="F36" s="3263"/>
      <c r="G36" s="3263"/>
    </row>
    <row r="37" spans="1:7" hidden="1">
      <c r="A37" s="1331">
        <v>4</v>
      </c>
      <c r="B37" s="1328" t="s">
        <v>1132</v>
      </c>
      <c r="C37" s="1328"/>
      <c r="D37" s="1328"/>
      <c r="E37" s="3263"/>
      <c r="F37" s="3263"/>
      <c r="G37" s="3263"/>
    </row>
    <row r="38" spans="1:7" hidden="1">
      <c r="A38" s="3259" t="s">
        <v>1133</v>
      </c>
      <c r="B38" s="3260"/>
      <c r="C38" s="3260"/>
      <c r="D38" s="3261"/>
      <c r="E38" s="3262"/>
      <c r="F38" s="3262"/>
      <c r="G38" s="32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7" sqref="F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8" t="s">
        <v>2484</v>
      </c>
      <c r="C1" s="1636" t="s">
        <v>2485</v>
      </c>
      <c r="D1" s="1623"/>
      <c r="E1" s="2589"/>
      <c r="F1" s="2590" t="s">
        <v>2486</v>
      </c>
      <c r="G1" s="1633" t="s">
        <v>2487</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38292</v>
      </c>
      <c r="C2" s="2592" t="s">
        <v>70</v>
      </c>
      <c r="D2" s="1368" t="e">
        <f ca="1">SUMIF(INDIRECT("'"&amp;F2&amp;"'"&amp;"!A:A"),"承租人权益价值",INDIRECT("'"&amp;F2&amp;"'"&amp;"!c:c"))</f>
        <v>#REF!</v>
      </c>
      <c r="E2" s="2593" t="s">
        <v>2488</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f>IF(C2="——",C49,ROUND(B2*10000/D3,0))</f>
        <v>8622</v>
      </c>
      <c r="C3" s="400" t="s">
        <v>2489</v>
      </c>
      <c r="D3" s="399">
        <f>IF(D1="",'数据-汇总表'!E3,SUMIF('数据-汇总表'!$C19:$C33,D1,'数据-汇总表'!$E19:$E33))</f>
        <v>44412.450000000026</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2490</v>
      </c>
      <c r="B4" s="402"/>
      <c r="C4" s="3210" t="s">
        <v>2491</v>
      </c>
      <c r="D4" s="3223"/>
      <c r="E4" s="3224" t="s">
        <v>2492</v>
      </c>
      <c r="F4" s="3225"/>
      <c r="G4" s="3210" t="s">
        <v>2493</v>
      </c>
      <c r="H4" s="3223"/>
      <c r="I4" s="3210" t="s">
        <v>2494</v>
      </c>
      <c r="J4" s="3223"/>
      <c r="K4" s="2602" t="s">
        <v>2495</v>
      </c>
      <c r="L4" s="1133"/>
      <c r="M4" s="1134"/>
      <c r="N4" s="1134"/>
      <c r="O4" s="1134"/>
      <c r="P4" s="3226" t="s">
        <v>2496</v>
      </c>
      <c r="Q4" s="3227"/>
      <c r="R4" s="3232" t="s">
        <v>2492</v>
      </c>
      <c r="S4" s="3233"/>
      <c r="T4" s="3232" t="s">
        <v>2493</v>
      </c>
      <c r="U4" s="3233"/>
      <c r="V4" s="3219" t="s">
        <v>2494</v>
      </c>
      <c r="W4" s="3219"/>
      <c r="X4" s="1815"/>
      <c r="Y4" s="3232" t="s">
        <v>2496</v>
      </c>
      <c r="Z4" s="3233"/>
      <c r="AA4" s="3220" t="s">
        <v>2492</v>
      </c>
      <c r="AB4" s="3220" t="s">
        <v>2493</v>
      </c>
      <c r="AC4" s="3220" t="s">
        <v>2494</v>
      </c>
    </row>
    <row r="5" spans="1:29" ht="15" customHeight="1">
      <c r="A5" s="404"/>
      <c r="B5" s="405"/>
      <c r="C5" s="3245" t="s">
        <v>3098</v>
      </c>
      <c r="D5" s="3241"/>
      <c r="E5" s="3248" t="s">
        <v>3123</v>
      </c>
      <c r="F5" s="3249"/>
      <c r="G5" s="3240" t="s">
        <v>3123</v>
      </c>
      <c r="H5" s="3241"/>
      <c r="I5" s="3240" t="s">
        <v>3123</v>
      </c>
      <c r="J5" s="3241"/>
      <c r="K5" s="2603"/>
      <c r="L5" s="1133"/>
      <c r="M5" s="1134"/>
      <c r="N5" s="1134"/>
      <c r="O5" s="1134"/>
      <c r="P5" s="3228"/>
      <c r="Q5" s="3229"/>
      <c r="R5" s="3234"/>
      <c r="S5" s="3235"/>
      <c r="T5" s="3234"/>
      <c r="U5" s="3235"/>
      <c r="V5" s="3219"/>
      <c r="W5" s="3219"/>
      <c r="X5" s="1815"/>
      <c r="Y5" s="3234"/>
      <c r="Z5" s="3235"/>
      <c r="AA5" s="3221"/>
      <c r="AB5" s="3221"/>
      <c r="AC5" s="3221"/>
    </row>
    <row r="6" spans="1:29" ht="15.75" thickBot="1">
      <c r="A6" s="406"/>
      <c r="B6" s="407"/>
      <c r="C6" s="3238" t="s">
        <v>2501</v>
      </c>
      <c r="D6" s="3239"/>
      <c r="E6" s="3246" t="s">
        <v>3124</v>
      </c>
      <c r="F6" s="3247"/>
      <c r="G6" s="3238" t="s">
        <v>3124</v>
      </c>
      <c r="H6" s="3239"/>
      <c r="I6" s="3238" t="s">
        <v>3124</v>
      </c>
      <c r="J6" s="3239"/>
      <c r="K6" s="2603" t="s">
        <v>2502</v>
      </c>
      <c r="L6" s="1133"/>
      <c r="M6" s="1134"/>
      <c r="N6" s="1134"/>
      <c r="O6" s="1134"/>
      <c r="P6" s="3230"/>
      <c r="Q6" s="3231"/>
      <c r="R6" s="3234"/>
      <c r="S6" s="3235"/>
      <c r="T6" s="3236"/>
      <c r="U6" s="3237"/>
      <c r="V6" s="3219"/>
      <c r="W6" s="3219"/>
      <c r="X6" s="1815"/>
      <c r="Y6" s="3236"/>
      <c r="Z6" s="3237"/>
      <c r="AA6" s="3222"/>
      <c r="AB6" s="3222"/>
      <c r="AC6" s="3222"/>
    </row>
    <row r="7" spans="1:29" s="117" customFormat="1" ht="15.75" thickBot="1">
      <c r="A7" s="408" t="s">
        <v>2503</v>
      </c>
      <c r="B7" s="409"/>
      <c r="C7" s="410">
        <f>'数据-取费表'!B2</f>
        <v>43321</v>
      </c>
      <c r="D7" s="411">
        <v>100</v>
      </c>
      <c r="E7" s="412">
        <v>43321</v>
      </c>
      <c r="F7" s="413">
        <f>SUMIF(58:58,YEAR(E7)&amp;"-"&amp;MONTH(E7),59:59)</f>
        <v>100</v>
      </c>
      <c r="G7" s="412">
        <v>43321</v>
      </c>
      <c r="H7" s="411">
        <f>SUMIF(58:58,YEAR(G7)&amp;"-"&amp;MONTH(G7),59:59)</f>
        <v>100</v>
      </c>
      <c r="I7" s="412">
        <v>43321</v>
      </c>
      <c r="J7" s="411">
        <f>SUMIF(58:58,YEAR(I7)&amp;"-"&amp;MONTH(I7),59:59)</f>
        <v>100</v>
      </c>
      <c r="K7" s="2604"/>
      <c r="L7" s="1135"/>
      <c r="M7" s="1136"/>
      <c r="N7" s="1136"/>
      <c r="O7" s="1136"/>
      <c r="P7" s="3242" t="s">
        <v>2504</v>
      </c>
      <c r="Q7" s="3244"/>
      <c r="R7" s="770" t="s">
        <v>23</v>
      </c>
      <c r="S7" s="771">
        <f t="shared" ref="S7:S15" si="0">F7</f>
        <v>100</v>
      </c>
      <c r="T7" s="770" t="s">
        <v>23</v>
      </c>
      <c r="U7" s="771">
        <f t="shared" ref="U7:U15" si="1">H7</f>
        <v>100</v>
      </c>
      <c r="V7" s="770" t="s">
        <v>23</v>
      </c>
      <c r="W7" s="771">
        <f t="shared" ref="W7:W15" si="2">J7</f>
        <v>100</v>
      </c>
      <c r="X7" s="772"/>
      <c r="Y7" s="3242" t="s">
        <v>2504</v>
      </c>
      <c r="Z7" s="3243"/>
      <c r="AA7" s="773">
        <f>D7/F7</f>
        <v>1</v>
      </c>
      <c r="AB7" s="773">
        <f>D7/H7</f>
        <v>1</v>
      </c>
      <c r="AC7" s="773">
        <f>D7/J7</f>
        <v>1</v>
      </c>
    </row>
    <row r="8" spans="1:29" s="117" customFormat="1" ht="15.75" thickBot="1">
      <c r="A8" s="408" t="s">
        <v>2505</v>
      </c>
      <c r="B8" s="409"/>
      <c r="C8" s="414" t="s">
        <v>2506</v>
      </c>
      <c r="D8" s="411">
        <v>100</v>
      </c>
      <c r="E8" s="2605" t="s">
        <v>3047</v>
      </c>
      <c r="F8" s="413">
        <f>SUMIF(61:61,E8,62:62)-SUMIF(61:61,C8,62:62)+100</f>
        <v>100</v>
      </c>
      <c r="G8" s="414" t="s">
        <v>3047</v>
      </c>
      <c r="H8" s="411">
        <f>SUMIF(61:61,G8,62:62)-SUMIF(61:61,C8,62:62)+100</f>
        <v>100</v>
      </c>
      <c r="I8" s="2605" t="s">
        <v>3047</v>
      </c>
      <c r="J8" s="411">
        <f>SUMIF(61:61,I8,62:62)-SUMIF(61:61,C8,62:62)+100</f>
        <v>100</v>
      </c>
      <c r="K8" s="2604"/>
      <c r="L8" s="1135"/>
      <c r="M8" s="1136"/>
      <c r="N8" s="1136"/>
      <c r="O8" s="1136"/>
      <c r="P8" s="3242" t="s">
        <v>2507</v>
      </c>
      <c r="Q8" s="3243"/>
      <c r="R8" s="770" t="s">
        <v>23</v>
      </c>
      <c r="S8" s="771">
        <f t="shared" si="0"/>
        <v>100</v>
      </c>
      <c r="T8" s="770" t="s">
        <v>23</v>
      </c>
      <c r="U8" s="771">
        <f t="shared" si="1"/>
        <v>100</v>
      </c>
      <c r="V8" s="770" t="s">
        <v>23</v>
      </c>
      <c r="W8" s="771">
        <f t="shared" si="2"/>
        <v>100</v>
      </c>
      <c r="X8" s="772"/>
      <c r="Y8" s="3242" t="s">
        <v>2507</v>
      </c>
      <c r="Z8" s="3243"/>
      <c r="AA8" s="773">
        <f t="shared" ref="AA8:AA19" si="3">D8/F8</f>
        <v>1</v>
      </c>
      <c r="AB8" s="773">
        <f t="shared" ref="AB8:AB19" si="4">D8/H8</f>
        <v>1</v>
      </c>
      <c r="AC8" s="773">
        <f t="shared" ref="AC8:AC19" si="5">D8/J8</f>
        <v>1</v>
      </c>
    </row>
    <row r="9" spans="1:29" s="117" customFormat="1">
      <c r="A9" s="415" t="s">
        <v>2508</v>
      </c>
      <c r="B9" s="71" t="s">
        <v>2509</v>
      </c>
      <c r="C9" s="2951" t="s">
        <v>3105</v>
      </c>
      <c r="D9" s="135">
        <v>100</v>
      </c>
      <c r="E9" s="417" t="s">
        <v>3034</v>
      </c>
      <c r="F9" s="418">
        <f>SUMIF(63:63,E9,64:64)-SUMIF(63:63,C9,64:64)+100</f>
        <v>100</v>
      </c>
      <c r="G9" s="419" t="s">
        <v>3034</v>
      </c>
      <c r="H9" s="135">
        <f>SUMIF(63:63,G9,64:64)-SUMIF(63:63,C9,64:64)+100</f>
        <v>100</v>
      </c>
      <c r="I9" s="419" t="s">
        <v>3034</v>
      </c>
      <c r="J9" s="135">
        <f>SUMIF(63:63,I9,64:64)-SUMIF(63:63,C9,64:64)+100</f>
        <v>100</v>
      </c>
      <c r="K9" s="2604"/>
      <c r="L9" s="1135"/>
      <c r="M9" s="1136"/>
      <c r="N9" s="1136"/>
      <c r="O9" s="1136"/>
      <c r="P9" s="3212" t="s">
        <v>2510</v>
      </c>
      <c r="Q9" s="1797" t="str">
        <f t="shared" ref="Q9:Q15" si="6">B9</f>
        <v>用途</v>
      </c>
      <c r="R9" s="770" t="s">
        <v>17</v>
      </c>
      <c r="S9" s="771">
        <f t="shared" si="0"/>
        <v>100</v>
      </c>
      <c r="T9" s="770" t="s">
        <v>17</v>
      </c>
      <c r="U9" s="771">
        <f t="shared" si="1"/>
        <v>100</v>
      </c>
      <c r="V9" s="770" t="s">
        <v>17</v>
      </c>
      <c r="W9" s="771">
        <f t="shared" si="2"/>
        <v>100</v>
      </c>
      <c r="X9" s="772"/>
      <c r="Y9" s="3064" t="s">
        <v>2511</v>
      </c>
      <c r="Z9" s="55" t="str">
        <f t="shared" ref="Z9:Z15" si="7">Q9</f>
        <v>用途</v>
      </c>
      <c r="AA9" s="773">
        <f t="shared" si="3"/>
        <v>1</v>
      </c>
      <c r="AB9" s="773">
        <f t="shared" si="4"/>
        <v>1</v>
      </c>
      <c r="AC9" s="773">
        <f t="shared" si="5"/>
        <v>1</v>
      </c>
    </row>
    <row r="10" spans="1:29" s="427" customFormat="1" ht="27">
      <c r="A10" s="421"/>
      <c r="B10" s="422" t="s">
        <v>2512</v>
      </c>
      <c r="C10" s="423" t="s">
        <v>3099</v>
      </c>
      <c r="D10" s="136">
        <v>100</v>
      </c>
      <c r="E10" s="424" t="s">
        <v>3099</v>
      </c>
      <c r="F10" s="425">
        <f>SUMIF(65:65,E10,66:66)-SUMIF(65:65,C10,66:66)+100</f>
        <v>100</v>
      </c>
      <c r="G10" s="423" t="s">
        <v>3099</v>
      </c>
      <c r="H10" s="136">
        <f>SUMIF(65:65,G10,66:66)-SUMIF(65:65,C10,66:66)+100</f>
        <v>100</v>
      </c>
      <c r="I10" s="423" t="s">
        <v>3099</v>
      </c>
      <c r="J10" s="136">
        <f>SUMIF(65:65,I10,66:66)-SUMIF(65:65,C10,66:66)+100</f>
        <v>100</v>
      </c>
      <c r="K10" s="426">
        <v>1</v>
      </c>
      <c r="L10" s="1138"/>
      <c r="M10" s="1139"/>
      <c r="N10" s="1139"/>
      <c r="O10" s="1139"/>
      <c r="P10" s="3212"/>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2513</v>
      </c>
      <c r="C11" s="429" t="s">
        <v>3132</v>
      </c>
      <c r="D11" s="136">
        <v>100</v>
      </c>
      <c r="E11" s="430" t="s">
        <v>70</v>
      </c>
      <c r="F11" s="425">
        <f>LOOKUP(E11,68:68,69:69)-LOOKUP(C11,68:68,69:69)+100</f>
        <v>100</v>
      </c>
      <c r="G11" s="429" t="s">
        <v>70</v>
      </c>
      <c r="H11" s="136">
        <f>LOOKUP(G11,68:68,69:69)-LOOKUP(C11,68:68,69:69)+100</f>
        <v>100</v>
      </c>
      <c r="I11" s="429" t="s">
        <v>70</v>
      </c>
      <c r="J11" s="136">
        <f>LOOKUP(I11,68:68,69:69)-LOOKUP(C11,68:68,69:69)+100</f>
        <v>100</v>
      </c>
      <c r="K11" s="426">
        <v>1</v>
      </c>
      <c r="L11" s="1141"/>
      <c r="M11" s="1134"/>
      <c r="N11" s="1134"/>
      <c r="O11" s="1134"/>
      <c r="P11" s="3212"/>
      <c r="Q11" s="1797" t="str">
        <f t="shared" si="6"/>
        <v>容积率</v>
      </c>
      <c r="R11" s="770" t="s">
        <v>21</v>
      </c>
      <c r="S11" s="771">
        <f t="shared" si="0"/>
        <v>100</v>
      </c>
      <c r="T11" s="770" t="s">
        <v>21</v>
      </c>
      <c r="U11" s="771">
        <f t="shared" si="1"/>
        <v>100</v>
      </c>
      <c r="V11" s="770" t="s">
        <v>21</v>
      </c>
      <c r="W11" s="771">
        <f t="shared" si="2"/>
        <v>100</v>
      </c>
      <c r="X11" s="772"/>
      <c r="Y11" s="3064"/>
      <c r="Z11" s="55" t="str">
        <f t="shared" si="7"/>
        <v>容积率</v>
      </c>
      <c r="AA11" s="773">
        <f t="shared" si="3"/>
        <v>1</v>
      </c>
      <c r="AB11" s="773">
        <f t="shared" si="4"/>
        <v>1</v>
      </c>
      <c r="AC11" s="773">
        <f t="shared" si="5"/>
        <v>1</v>
      </c>
    </row>
    <row r="12" spans="1:29" s="117" customFormat="1" ht="15">
      <c r="A12" s="431"/>
      <c r="B12" s="2606"/>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12"/>
      <c r="Q12" s="1797">
        <f t="shared" si="6"/>
        <v>0</v>
      </c>
      <c r="R12" s="770" t="s">
        <v>21</v>
      </c>
      <c r="S12" s="771">
        <f t="shared" si="0"/>
        <v>100</v>
      </c>
      <c r="T12" s="770" t="s">
        <v>21</v>
      </c>
      <c r="U12" s="771">
        <f t="shared" si="1"/>
        <v>100</v>
      </c>
      <c r="V12" s="770" t="s">
        <v>21</v>
      </c>
      <c r="W12" s="771">
        <f t="shared" si="2"/>
        <v>100</v>
      </c>
      <c r="X12" s="772"/>
      <c r="Y12" s="3064"/>
      <c r="Z12" s="55">
        <f t="shared" si="7"/>
        <v>0</v>
      </c>
      <c r="AA12" s="773">
        <f>D12/F12</f>
        <v>1</v>
      </c>
      <c r="AB12" s="773">
        <f>D12/H12</f>
        <v>1</v>
      </c>
      <c r="AC12" s="773">
        <f>D12/J12</f>
        <v>1</v>
      </c>
    </row>
    <row r="13" spans="1:29" ht="15">
      <c r="A13" s="428"/>
      <c r="B13" s="2606"/>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12"/>
      <c r="Q13" s="1797">
        <f t="shared" si="6"/>
        <v>0</v>
      </c>
      <c r="R13" s="770" t="s">
        <v>21</v>
      </c>
      <c r="S13" s="771">
        <f t="shared" si="0"/>
        <v>100</v>
      </c>
      <c r="T13" s="770" t="s">
        <v>21</v>
      </c>
      <c r="U13" s="771">
        <f t="shared" si="1"/>
        <v>100</v>
      </c>
      <c r="V13" s="770" t="s">
        <v>21</v>
      </c>
      <c r="W13" s="771">
        <f t="shared" si="2"/>
        <v>100</v>
      </c>
      <c r="X13" s="772"/>
      <c r="Y13" s="3064"/>
      <c r="Z13" s="55">
        <f t="shared" si="7"/>
        <v>0</v>
      </c>
      <c r="AA13" s="773">
        <f t="shared" si="3"/>
        <v>1</v>
      </c>
      <c r="AB13" s="773">
        <f t="shared" si="4"/>
        <v>1</v>
      </c>
      <c r="AC13" s="773">
        <f t="shared" si="5"/>
        <v>1</v>
      </c>
    </row>
    <row r="14" spans="1:29" ht="15.75" thickBot="1">
      <c r="A14" s="436"/>
      <c r="B14" s="2608"/>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12"/>
      <c r="Q14" s="1797">
        <f t="shared" si="6"/>
        <v>0</v>
      </c>
      <c r="R14" s="770" t="s">
        <v>21</v>
      </c>
      <c r="S14" s="771">
        <f t="shared" si="0"/>
        <v>100</v>
      </c>
      <c r="T14" s="770" t="s">
        <v>21</v>
      </c>
      <c r="U14" s="771">
        <f t="shared" si="1"/>
        <v>100</v>
      </c>
      <c r="V14" s="770" t="s">
        <v>21</v>
      </c>
      <c r="W14" s="771">
        <f t="shared" si="2"/>
        <v>100</v>
      </c>
      <c r="X14" s="772"/>
      <c r="Y14" s="3064"/>
      <c r="Z14" s="55">
        <f t="shared" si="7"/>
        <v>0</v>
      </c>
      <c r="AA14" s="773">
        <f t="shared" si="3"/>
        <v>1</v>
      </c>
      <c r="AB14" s="773">
        <f t="shared" si="4"/>
        <v>1</v>
      </c>
      <c r="AC14" s="773">
        <f t="shared" si="5"/>
        <v>1</v>
      </c>
    </row>
    <row r="15" spans="1:29" ht="142.5">
      <c r="A15" s="440" t="s">
        <v>2514</v>
      </c>
      <c r="B15" s="69" t="s">
        <v>2050</v>
      </c>
      <c r="C15" s="2609" t="str">
        <f>估价对象房地状况!C3</f>
        <v>估价对象周边居住用地比例较高、居住小区规模和社区发展完善程度较好，周边1公里内有水墨林溪等住宅项目，综合评价居住社区成熟度一般</v>
      </c>
      <c r="D15" s="441">
        <v>100</v>
      </c>
      <c r="E15" s="444" t="s">
        <v>3128</v>
      </c>
      <c r="F15" s="441">
        <f>SUMIF(76:76,E16,77:77)-SUMIF(76:76,C16,77:77)+100</f>
        <v>100</v>
      </c>
      <c r="G15" s="442" t="s">
        <v>3128</v>
      </c>
      <c r="H15" s="441">
        <f>SUMIF(76:76,G16,77:77)-SUMIF(76:76,C16,77:77)+100</f>
        <v>100</v>
      </c>
      <c r="I15" s="442" t="s">
        <v>3128</v>
      </c>
      <c r="J15" s="441">
        <f>SUMIF(76:76,I16,77:77)-SUMIF(76:76,C16,77:77)+100</f>
        <v>100</v>
      </c>
      <c r="K15" s="445">
        <v>5</v>
      </c>
      <c r="L15" s="1143"/>
      <c r="M15" s="1134"/>
      <c r="N15" s="1134"/>
      <c r="O15" s="1134"/>
      <c r="P15" s="3286" t="s">
        <v>2515</v>
      </c>
      <c r="Q15" s="1812" t="str">
        <f t="shared" si="6"/>
        <v>居住社区成熟度</v>
      </c>
      <c r="R15" s="774" t="s">
        <v>21</v>
      </c>
      <c r="S15" s="775">
        <f t="shared" si="0"/>
        <v>100</v>
      </c>
      <c r="T15" s="774" t="s">
        <v>21</v>
      </c>
      <c r="U15" s="775">
        <f t="shared" si="1"/>
        <v>100</v>
      </c>
      <c r="V15" s="774" t="s">
        <v>21</v>
      </c>
      <c r="W15" s="775">
        <f t="shared" si="2"/>
        <v>100</v>
      </c>
      <c r="X15" s="1815"/>
      <c r="Y15" s="3215" t="s">
        <v>2515</v>
      </c>
      <c r="Z15" s="1816" t="str">
        <f t="shared" si="7"/>
        <v>居住社区成熟度</v>
      </c>
      <c r="AA15" s="1813">
        <f t="shared" si="3"/>
        <v>1</v>
      </c>
      <c r="AB15" s="1813">
        <f t="shared" si="4"/>
        <v>1</v>
      </c>
      <c r="AC15" s="1813">
        <f t="shared" si="5"/>
        <v>1</v>
      </c>
    </row>
    <row r="16" spans="1:29" ht="15">
      <c r="A16" s="428"/>
      <c r="B16" s="446"/>
      <c r="C16" s="447" t="s">
        <v>3051</v>
      </c>
      <c r="D16" s="448"/>
      <c r="E16" s="2610" t="s">
        <v>3051</v>
      </c>
      <c r="F16" s="448"/>
      <c r="G16" s="2611" t="s">
        <v>3051</v>
      </c>
      <c r="H16" s="450"/>
      <c r="I16" s="2611" t="s">
        <v>3051</v>
      </c>
      <c r="J16" s="448"/>
      <c r="K16" s="2612"/>
      <c r="L16" s="1143"/>
      <c r="M16" s="1134"/>
      <c r="N16" s="1134"/>
      <c r="O16" s="1134"/>
      <c r="P16" s="3287"/>
      <c r="Q16" s="1812"/>
      <c r="R16" s="774"/>
      <c r="S16" s="775"/>
      <c r="T16" s="774"/>
      <c r="U16" s="775"/>
      <c r="V16" s="774"/>
      <c r="W16" s="775"/>
      <c r="X16" s="1815"/>
      <c r="Y16" s="3216"/>
      <c r="Z16" s="1816"/>
      <c r="AA16" s="1813">
        <v>1</v>
      </c>
      <c r="AB16" s="1813">
        <v>1</v>
      </c>
      <c r="AC16" s="1813">
        <v>1</v>
      </c>
    </row>
    <row r="17" spans="1:29" ht="114">
      <c r="A17" s="428"/>
      <c r="B17" s="451" t="s">
        <v>2056</v>
      </c>
      <c r="C17" s="2613" t="str">
        <f>估价对象房地状况!C6</f>
        <v>估价对象周边道路密集程度高、周边一公里内有20路、206路等、地铁1号线桂花坪站。停车便捷程度好，综合评价交通便捷度好</v>
      </c>
      <c r="D17" s="450">
        <v>100</v>
      </c>
      <c r="E17" s="454" t="s">
        <v>3129</v>
      </c>
      <c r="F17" s="450">
        <f>SUMIF(78:78,E18,79:79)-SUMIF(78:78,C18,79:79)+100</f>
        <v>100</v>
      </c>
      <c r="G17" s="452" t="s">
        <v>3129</v>
      </c>
      <c r="H17" s="455">
        <f>SUMIF(78:78,G18,79:79)-SUMIF(78:78,C18,79:79)+100</f>
        <v>100</v>
      </c>
      <c r="I17" s="452" t="s">
        <v>3129</v>
      </c>
      <c r="J17" s="455">
        <f>SUMIF(78:78,I18,79:79)-SUMIF(78:78,C18,79:79)+100</f>
        <v>100</v>
      </c>
      <c r="K17" s="445">
        <v>1</v>
      </c>
      <c r="L17" s="1143"/>
      <c r="M17" s="1134"/>
      <c r="N17" s="1134"/>
      <c r="O17" s="1134"/>
      <c r="P17" s="3287"/>
      <c r="Q17" s="1812" t="str">
        <f>B17</f>
        <v>交通便捷度</v>
      </c>
      <c r="R17" s="774" t="s">
        <v>21</v>
      </c>
      <c r="S17" s="775">
        <f>F17</f>
        <v>100</v>
      </c>
      <c r="T17" s="774" t="s">
        <v>21</v>
      </c>
      <c r="U17" s="775">
        <f>H17</f>
        <v>100</v>
      </c>
      <c r="V17" s="774" t="s">
        <v>21</v>
      </c>
      <c r="W17" s="775">
        <f>J17</f>
        <v>100</v>
      </c>
      <c r="X17" s="1815"/>
      <c r="Y17" s="3216"/>
      <c r="Z17" s="1816" t="str">
        <f>Q17</f>
        <v>交通便捷度</v>
      </c>
      <c r="AA17" s="1813">
        <f t="shared" si="3"/>
        <v>1</v>
      </c>
      <c r="AB17" s="1813">
        <f t="shared" si="4"/>
        <v>1</v>
      </c>
      <c r="AC17" s="1813">
        <f t="shared" si="5"/>
        <v>1</v>
      </c>
    </row>
    <row r="18" spans="1:29" ht="15">
      <c r="A18" s="428"/>
      <c r="B18" s="456"/>
      <c r="C18" s="2614" t="s">
        <v>3073</v>
      </c>
      <c r="D18" s="450"/>
      <c r="E18" s="2615" t="s">
        <v>3073</v>
      </c>
      <c r="F18" s="450"/>
      <c r="G18" s="2616" t="s">
        <v>3073</v>
      </c>
      <c r="H18" s="448"/>
      <c r="I18" s="2616" t="s">
        <v>3073</v>
      </c>
      <c r="J18" s="448"/>
      <c r="K18" s="2612"/>
      <c r="L18" s="1143"/>
      <c r="M18" s="1134"/>
      <c r="N18" s="1134"/>
      <c r="O18" s="1134"/>
      <c r="P18" s="3287"/>
      <c r="Q18" s="1812"/>
      <c r="R18" s="774"/>
      <c r="S18" s="775"/>
      <c r="T18" s="774"/>
      <c r="U18" s="775"/>
      <c r="V18" s="774"/>
      <c r="W18" s="775"/>
      <c r="X18" s="1815"/>
      <c r="Y18" s="3216"/>
      <c r="Z18" s="1816"/>
      <c r="AA18" s="1813">
        <v>1</v>
      </c>
      <c r="AB18" s="1813">
        <v>1</v>
      </c>
      <c r="AC18" s="1813">
        <v>1</v>
      </c>
    </row>
    <row r="19" spans="1:29" ht="42.75">
      <c r="A19" s="428"/>
      <c r="B19" s="451" t="s">
        <v>2055</v>
      </c>
      <c r="C19" s="2613" t="str">
        <f>估价对象房地状况!C7</f>
        <v>估价对象所在区域公共配套设施齐备度一般</v>
      </c>
      <c r="D19" s="455">
        <v>100</v>
      </c>
      <c r="E19" s="459" t="s">
        <v>3038</v>
      </c>
      <c r="F19" s="455">
        <f>SUMIF(80:80,E20,81:81)-SUMIF(80:80,C20,81:81)+100</f>
        <v>100</v>
      </c>
      <c r="G19" s="457" t="s">
        <v>3038</v>
      </c>
      <c r="H19" s="450">
        <f>SUMIF(80:80,G20,81:81)-SUMIF(80:80,C20,81:81)+100</f>
        <v>100</v>
      </c>
      <c r="I19" s="457" t="s">
        <v>3038</v>
      </c>
      <c r="J19" s="450">
        <f>SUMIF(80:80,I20,81:81)-SUMIF(80:80,C20,81:81)+100</f>
        <v>100</v>
      </c>
      <c r="K19" s="445">
        <v>1</v>
      </c>
      <c r="L19" s="1143"/>
      <c r="M19" s="1134"/>
      <c r="N19" s="1134"/>
      <c r="O19" s="1134"/>
      <c r="P19" s="3287"/>
      <c r="Q19" s="1812" t="str">
        <f>B19</f>
        <v>公共配套设施</v>
      </c>
      <c r="R19" s="774" t="s">
        <v>21</v>
      </c>
      <c r="S19" s="775">
        <f>F19</f>
        <v>100</v>
      </c>
      <c r="T19" s="774" t="s">
        <v>21</v>
      </c>
      <c r="U19" s="775">
        <f>H19</f>
        <v>100</v>
      </c>
      <c r="V19" s="774" t="s">
        <v>21</v>
      </c>
      <c r="W19" s="775">
        <f>J19</f>
        <v>100</v>
      </c>
      <c r="X19" s="1815"/>
      <c r="Y19" s="3216"/>
      <c r="Z19" s="1816" t="str">
        <f>Q19</f>
        <v>公共配套设施</v>
      </c>
      <c r="AA19" s="1813">
        <f t="shared" si="3"/>
        <v>1</v>
      </c>
      <c r="AB19" s="1813">
        <f t="shared" si="4"/>
        <v>1</v>
      </c>
      <c r="AC19" s="1813">
        <f t="shared" si="5"/>
        <v>1</v>
      </c>
    </row>
    <row r="20" spans="1:29" ht="15">
      <c r="A20" s="428"/>
      <c r="B20" s="456"/>
      <c r="C20" s="447" t="s">
        <v>3051</v>
      </c>
      <c r="D20" s="448"/>
      <c r="E20" s="2610" t="s">
        <v>3051</v>
      </c>
      <c r="F20" s="448"/>
      <c r="G20" s="2611" t="s">
        <v>3051</v>
      </c>
      <c r="H20" s="448"/>
      <c r="I20" s="2611" t="s">
        <v>3051</v>
      </c>
      <c r="J20" s="448"/>
      <c r="K20" s="2612"/>
      <c r="L20" s="1143"/>
      <c r="M20" s="1134"/>
      <c r="N20" s="1134"/>
      <c r="O20" s="1134"/>
      <c r="P20" s="3287"/>
      <c r="Q20" s="1812"/>
      <c r="R20" s="774"/>
      <c r="S20" s="775"/>
      <c r="T20" s="774"/>
      <c r="U20" s="775"/>
      <c r="V20" s="774"/>
      <c r="W20" s="775"/>
      <c r="X20" s="1815"/>
      <c r="Y20" s="3216"/>
      <c r="Z20" s="1816"/>
      <c r="AA20" s="1813">
        <v>1</v>
      </c>
      <c r="AB20" s="1813">
        <v>1</v>
      </c>
      <c r="AC20" s="1813">
        <v>1</v>
      </c>
    </row>
    <row r="21" spans="1:29" ht="42.75">
      <c r="A21" s="428"/>
      <c r="B21" s="1387" t="s">
        <v>2057</v>
      </c>
      <c r="C21" s="2613" t="str">
        <f>估价对象房地状况!C8</f>
        <v>估价对象所在区域基础设施水平较好</v>
      </c>
      <c r="D21" s="450">
        <v>100</v>
      </c>
      <c r="E21" s="459" t="s">
        <v>3039</v>
      </c>
      <c r="F21" s="455">
        <f>SUMIF(82:82,E22,83:83)-SUMIF(82:82,C22,83:83)+100</f>
        <v>100</v>
      </c>
      <c r="G21" s="457" t="s">
        <v>3039</v>
      </c>
      <c r="H21" s="450">
        <f>SUMIF(82:82,G22,83:83)-SUMIF(82:82,C22,83:83)+100</f>
        <v>100</v>
      </c>
      <c r="I21" s="457" t="s">
        <v>3039</v>
      </c>
      <c r="J21" s="450">
        <f>SUMIF(82:82,I22,83:83)-SUMIF(82:82,C22,83:83)+100</f>
        <v>100</v>
      </c>
      <c r="K21" s="445">
        <v>1</v>
      </c>
      <c r="L21" s="1143"/>
      <c r="M21" s="1134"/>
      <c r="N21" s="1134"/>
      <c r="O21" s="1134"/>
      <c r="P21" s="3287"/>
      <c r="Q21" s="1812" t="str">
        <f>B21</f>
        <v>基础设施水平</v>
      </c>
      <c r="R21" s="774" t="s">
        <v>17</v>
      </c>
      <c r="S21" s="775">
        <f>F21</f>
        <v>100</v>
      </c>
      <c r="T21" s="774" t="s">
        <v>17</v>
      </c>
      <c r="U21" s="775">
        <f>H21</f>
        <v>100</v>
      </c>
      <c r="V21" s="774" t="s">
        <v>17</v>
      </c>
      <c r="W21" s="775">
        <f>J21</f>
        <v>100</v>
      </c>
      <c r="X21" s="1815"/>
      <c r="Y21" s="3216"/>
      <c r="Z21" s="1816" t="str">
        <f>Q21</f>
        <v>基础设施水平</v>
      </c>
      <c r="AA21" s="1813">
        <f t="shared" ref="AA21" si="8">D21/F21</f>
        <v>1</v>
      </c>
      <c r="AB21" s="1813">
        <f t="shared" ref="AB21" si="9">D21/H21</f>
        <v>1</v>
      </c>
      <c r="AC21" s="1813">
        <f t="shared" ref="AC21" si="10">D21/J21</f>
        <v>1</v>
      </c>
    </row>
    <row r="22" spans="1:29" ht="15">
      <c r="A22" s="428"/>
      <c r="B22" s="1387"/>
      <c r="C22" s="2614" t="s">
        <v>3068</v>
      </c>
      <c r="D22" s="448"/>
      <c r="E22" s="447" t="s">
        <v>3068</v>
      </c>
      <c r="F22" s="448"/>
      <c r="G22" s="2617" t="s">
        <v>3068</v>
      </c>
      <c r="H22" s="448"/>
      <c r="I22" s="447" t="s">
        <v>3068</v>
      </c>
      <c r="J22" s="448"/>
      <c r="K22" s="2618"/>
      <c r="L22" s="1143"/>
      <c r="M22" s="1134"/>
      <c r="N22" s="1134"/>
      <c r="O22" s="1134"/>
      <c r="P22" s="3287"/>
      <c r="Q22" s="1812"/>
      <c r="R22" s="774"/>
      <c r="S22" s="775"/>
      <c r="T22" s="774"/>
      <c r="U22" s="775"/>
      <c r="V22" s="774"/>
      <c r="W22" s="775"/>
      <c r="X22" s="1815"/>
      <c r="Y22" s="3216"/>
      <c r="Z22" s="1816"/>
      <c r="AA22" s="1813">
        <v>1</v>
      </c>
      <c r="AB22" s="1813">
        <v>1</v>
      </c>
      <c r="AC22" s="1813">
        <v>1</v>
      </c>
    </row>
    <row r="23" spans="1:29" ht="99.75">
      <c r="A23" s="428"/>
      <c r="B23" s="451" t="s">
        <v>2059</v>
      </c>
      <c r="C23" s="2613" t="str">
        <f>估价对象房地状况!C9</f>
        <v>区域自然环境：周边有宜春社区公园等；人文环境：周边有盛砚砚博物馆等；综合评价环境状况较好</v>
      </c>
      <c r="D23" s="450">
        <v>100</v>
      </c>
      <c r="E23" s="454" t="s">
        <v>3130</v>
      </c>
      <c r="F23" s="450">
        <f>SUMIF(84:84,E24,85:85)-SUMIF(84:84,C24,85:85)+100</f>
        <v>100</v>
      </c>
      <c r="G23" s="452" t="s">
        <v>3130</v>
      </c>
      <c r="H23" s="450">
        <f>SUMIF(84:84,G24,85:85)-SUMIF(84:84,C24,85:85)+100</f>
        <v>100</v>
      </c>
      <c r="I23" s="452" t="s">
        <v>3130</v>
      </c>
      <c r="J23" s="450">
        <f>SUMIF(84:84,I24,85:85)-SUMIF(84:84,C24,85:85)+100</f>
        <v>100</v>
      </c>
      <c r="K23" s="445">
        <v>1</v>
      </c>
      <c r="L23" s="1143"/>
      <c r="M23" s="1134"/>
      <c r="N23" s="1134"/>
      <c r="O23" s="1134"/>
      <c r="P23" s="3287"/>
      <c r="Q23" s="1812" t="str">
        <f>B23</f>
        <v>自然及人文环境</v>
      </c>
      <c r="R23" s="774" t="s">
        <v>21</v>
      </c>
      <c r="S23" s="775">
        <f>F23</f>
        <v>100</v>
      </c>
      <c r="T23" s="774" t="s">
        <v>21</v>
      </c>
      <c r="U23" s="775">
        <f>H23</f>
        <v>100</v>
      </c>
      <c r="V23" s="774" t="s">
        <v>21</v>
      </c>
      <c r="W23" s="775">
        <f>J23</f>
        <v>100</v>
      </c>
      <c r="X23" s="1815"/>
      <c r="Y23" s="3216"/>
      <c r="Z23" s="1816" t="str">
        <f>Q23</f>
        <v>自然及人文环境</v>
      </c>
      <c r="AA23" s="1813">
        <f>D23/F23</f>
        <v>1</v>
      </c>
      <c r="AB23" s="1813">
        <f>D23/H23</f>
        <v>1</v>
      </c>
      <c r="AC23" s="1813">
        <f>D23/J23</f>
        <v>1</v>
      </c>
    </row>
    <row r="24" spans="1:29" ht="15">
      <c r="A24" s="428"/>
      <c r="B24" s="456"/>
      <c r="C24" s="447" t="s">
        <v>3073</v>
      </c>
      <c r="D24" s="448"/>
      <c r="E24" s="2610" t="s">
        <v>3073</v>
      </c>
      <c r="F24" s="448"/>
      <c r="G24" s="2611" t="s">
        <v>3073</v>
      </c>
      <c r="H24" s="448"/>
      <c r="I24" s="2611" t="s">
        <v>3073</v>
      </c>
      <c r="J24" s="448"/>
      <c r="K24" s="2612"/>
      <c r="L24" s="1143"/>
      <c r="M24" s="1134"/>
      <c r="N24" s="1134"/>
      <c r="O24" s="1134"/>
      <c r="P24" s="3287"/>
      <c r="Q24" s="1812"/>
      <c r="R24" s="774"/>
      <c r="S24" s="775"/>
      <c r="T24" s="774"/>
      <c r="U24" s="775"/>
      <c r="V24" s="774"/>
      <c r="W24" s="775"/>
      <c r="X24" s="1815"/>
      <c r="Y24" s="3216"/>
      <c r="Z24" s="1816"/>
      <c r="AA24" s="1813">
        <v>1</v>
      </c>
      <c r="AB24" s="1813">
        <v>1</v>
      </c>
      <c r="AC24" s="1813">
        <v>1</v>
      </c>
    </row>
    <row r="25" spans="1:29" ht="15">
      <c r="A25" s="428"/>
      <c r="B25" s="422" t="s">
        <v>2516</v>
      </c>
      <c r="C25" s="460">
        <v>15</v>
      </c>
      <c r="D25" s="435">
        <v>100</v>
      </c>
      <c r="E25" s="2619" t="s">
        <v>3135</v>
      </c>
      <c r="F25" s="435">
        <f>SUMIF(86:86,E25,87:87)-SUMIF(86:86,C25,87:87)+100</f>
        <v>101.25</v>
      </c>
      <c r="G25" s="2620" t="s">
        <v>3135</v>
      </c>
      <c r="H25" s="435">
        <f>SUMIF(86:86,G25,87:87)-SUMIF(86:86,C25,87:87)+100</f>
        <v>101.25</v>
      </c>
      <c r="I25" s="2620" t="s">
        <v>3136</v>
      </c>
      <c r="J25" s="435">
        <f>SUMIF(86:86,I25,87:87)-SUMIF(86:86,C25,87:87)+100</f>
        <v>101.5</v>
      </c>
      <c r="K25" s="426">
        <v>0.25</v>
      </c>
      <c r="L25" s="1143"/>
      <c r="M25" s="1134"/>
      <c r="N25" s="1134"/>
      <c r="O25" s="1134"/>
      <c r="P25" s="3287"/>
      <c r="Q25" s="1812" t="str">
        <f t="shared" ref="Q25:Q46" si="11">B25</f>
        <v>楼层-1</v>
      </c>
      <c r="R25" s="774" t="s">
        <v>21</v>
      </c>
      <c r="S25" s="775">
        <f t="shared" ref="S25:S46" si="12">F25</f>
        <v>101.25</v>
      </c>
      <c r="T25" s="774" t="s">
        <v>21</v>
      </c>
      <c r="U25" s="775">
        <f t="shared" ref="U25:U46" si="13">H25</f>
        <v>101.25</v>
      </c>
      <c r="V25" s="774" t="s">
        <v>21</v>
      </c>
      <c r="W25" s="775">
        <f t="shared" ref="W25:W46" si="14">J25</f>
        <v>101.5</v>
      </c>
      <c r="X25" s="1815"/>
      <c r="Y25" s="3216"/>
      <c r="Z25" s="1816" t="str">
        <f>Q25</f>
        <v>楼层-1</v>
      </c>
      <c r="AA25" s="1813">
        <f t="shared" ref="AA25:AA46" si="15">D25/F25</f>
        <v>0.98765432098765427</v>
      </c>
      <c r="AB25" s="1813">
        <f t="shared" ref="AB25:AB46" si="16">D25/H25</f>
        <v>0.98765432098765427</v>
      </c>
      <c r="AC25" s="1813">
        <f t="shared" ref="AC25:AC46" si="17">D25/J25</f>
        <v>0.98522167487684731</v>
      </c>
    </row>
    <row r="26" spans="1:29" ht="15">
      <c r="A26" s="428"/>
      <c r="B26" s="422" t="s">
        <v>2517</v>
      </c>
      <c r="C26" s="460" t="s">
        <v>70</v>
      </c>
      <c r="D26" s="435">
        <v>100</v>
      </c>
      <c r="E26" s="2619" t="s">
        <v>70</v>
      </c>
      <c r="F26" s="435">
        <f>SUMIF(88:88,E26,89:89)-SUMIF(88:88,C26,89:89)+100</f>
        <v>100</v>
      </c>
      <c r="G26" s="2620" t="s">
        <v>70</v>
      </c>
      <c r="H26" s="435">
        <f>SUMIF(88:88,G26,89:89)-SUMIF(88:88,C26,89:89)+100</f>
        <v>100</v>
      </c>
      <c r="I26" s="2620" t="s">
        <v>70</v>
      </c>
      <c r="J26" s="435">
        <f>SUMIF(88:88,I26,89:89)-SUMIF(88:88,C26,89:89)+100</f>
        <v>100</v>
      </c>
      <c r="K26" s="426">
        <v>1</v>
      </c>
      <c r="L26" s="1143"/>
      <c r="M26" s="1134"/>
      <c r="N26" s="1134"/>
      <c r="O26" s="1134"/>
      <c r="P26" s="3287"/>
      <c r="Q26" s="1812" t="str">
        <f t="shared" si="11"/>
        <v>朝向</v>
      </c>
      <c r="R26" s="774" t="s">
        <v>21</v>
      </c>
      <c r="S26" s="775">
        <f t="shared" si="12"/>
        <v>100</v>
      </c>
      <c r="T26" s="774" t="s">
        <v>21</v>
      </c>
      <c r="U26" s="775">
        <f t="shared" si="13"/>
        <v>100</v>
      </c>
      <c r="V26" s="774" t="s">
        <v>21</v>
      </c>
      <c r="W26" s="775">
        <f t="shared" si="14"/>
        <v>100</v>
      </c>
      <c r="X26" s="1815"/>
      <c r="Y26" s="3216"/>
      <c r="Z26" s="1816" t="str">
        <f>Q26</f>
        <v>朝向</v>
      </c>
      <c r="AA26" s="1813">
        <f t="shared" si="15"/>
        <v>1</v>
      </c>
      <c r="AB26" s="1813">
        <f t="shared" si="16"/>
        <v>1</v>
      </c>
      <c r="AC26" s="1813">
        <f t="shared" si="17"/>
        <v>1</v>
      </c>
    </row>
    <row r="27" spans="1:29" s="117" customFormat="1" ht="15">
      <c r="A27" s="431"/>
      <c r="B27" s="1389"/>
      <c r="C27" s="432" t="s">
        <v>3058</v>
      </c>
      <c r="D27" s="462">
        <v>100</v>
      </c>
      <c r="E27" s="465" t="s">
        <v>3058</v>
      </c>
      <c r="F27" s="462">
        <f>SUMIF(90:90,E27,91:91)-SUMIF(90:90,C27,91:91)+100</f>
        <v>100</v>
      </c>
      <c r="G27" s="463" t="s">
        <v>3058</v>
      </c>
      <c r="H27" s="462">
        <f>SUMIF(90:90,G27,91:91)-SUMIF(90:90,C27,91:91)+100</f>
        <v>100</v>
      </c>
      <c r="I27" s="463" t="s">
        <v>3058</v>
      </c>
      <c r="J27" s="462">
        <f>SUMIF(90:90,I27,91:91)-SUMIF(90:90,C27,91:91)+100</f>
        <v>100</v>
      </c>
      <c r="K27" s="2607"/>
      <c r="L27" s="1135"/>
      <c r="M27" s="1136"/>
      <c r="N27" s="1136"/>
      <c r="O27" s="1136"/>
      <c r="P27" s="3287"/>
      <c r="Q27" s="1797">
        <f t="shared" si="11"/>
        <v>0</v>
      </c>
      <c r="R27" s="770" t="s">
        <v>21</v>
      </c>
      <c r="S27" s="771">
        <f t="shared" si="12"/>
        <v>100</v>
      </c>
      <c r="T27" s="770" t="s">
        <v>21</v>
      </c>
      <c r="U27" s="771">
        <f t="shared" si="13"/>
        <v>100</v>
      </c>
      <c r="V27" s="770" t="s">
        <v>21</v>
      </c>
      <c r="W27" s="771">
        <f t="shared" si="14"/>
        <v>100</v>
      </c>
      <c r="X27" s="772"/>
      <c r="Y27" s="3216"/>
      <c r="Z27" s="55">
        <f>Q27</f>
        <v>0</v>
      </c>
      <c r="AA27" s="1813">
        <f t="shared" si="15"/>
        <v>1</v>
      </c>
      <c r="AB27" s="1813">
        <f t="shared" si="16"/>
        <v>1</v>
      </c>
      <c r="AC27" s="1813">
        <f t="shared" si="17"/>
        <v>1</v>
      </c>
    </row>
    <row r="28" spans="1:29" ht="28.5">
      <c r="A28" s="428"/>
      <c r="B28" s="1389"/>
      <c r="C28" s="434" t="s">
        <v>3041</v>
      </c>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87"/>
      <c r="Q28" s="1812">
        <f t="shared" si="11"/>
        <v>0</v>
      </c>
      <c r="R28" s="774" t="s">
        <v>21</v>
      </c>
      <c r="S28" s="775">
        <f t="shared" si="12"/>
        <v>100</v>
      </c>
      <c r="T28" s="774" t="s">
        <v>21</v>
      </c>
      <c r="U28" s="775">
        <f t="shared" si="13"/>
        <v>100</v>
      </c>
      <c r="V28" s="774" t="s">
        <v>21</v>
      </c>
      <c r="W28" s="775">
        <f t="shared" si="14"/>
        <v>100</v>
      </c>
      <c r="X28" s="1815"/>
      <c r="Y28" s="3216"/>
      <c r="Z28" s="1816">
        <f t="shared" ref="Z28:Z46" si="18">Q28</f>
        <v>0</v>
      </c>
      <c r="AA28" s="1813">
        <f t="shared" si="15"/>
        <v>1</v>
      </c>
      <c r="AB28" s="1813">
        <f t="shared" si="16"/>
        <v>1</v>
      </c>
      <c r="AC28" s="1813">
        <f t="shared" si="17"/>
        <v>1</v>
      </c>
    </row>
    <row r="29" spans="1:29" ht="15">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87"/>
      <c r="Q29" s="1812">
        <f t="shared" si="11"/>
        <v>0</v>
      </c>
      <c r="R29" s="774" t="s">
        <v>21</v>
      </c>
      <c r="S29" s="775">
        <f t="shared" si="12"/>
        <v>100</v>
      </c>
      <c r="T29" s="774" t="s">
        <v>21</v>
      </c>
      <c r="U29" s="775">
        <f t="shared" si="13"/>
        <v>100</v>
      </c>
      <c r="V29" s="774" t="s">
        <v>21</v>
      </c>
      <c r="W29" s="775">
        <f t="shared" si="14"/>
        <v>100</v>
      </c>
      <c r="X29" s="1815"/>
      <c r="Y29" s="3216"/>
      <c r="Z29" s="1816">
        <f t="shared" si="18"/>
        <v>0</v>
      </c>
      <c r="AA29" s="1813">
        <f t="shared" si="15"/>
        <v>1</v>
      </c>
      <c r="AB29" s="1813">
        <f t="shared" si="16"/>
        <v>1</v>
      </c>
      <c r="AC29" s="1813">
        <f t="shared" si="17"/>
        <v>1</v>
      </c>
    </row>
    <row r="30" spans="1:29" ht="15">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87"/>
      <c r="Q30" s="1812">
        <f t="shared" si="11"/>
        <v>0</v>
      </c>
      <c r="R30" s="774" t="s">
        <v>21</v>
      </c>
      <c r="S30" s="775">
        <f t="shared" si="12"/>
        <v>100</v>
      </c>
      <c r="T30" s="774" t="s">
        <v>21</v>
      </c>
      <c r="U30" s="775">
        <f t="shared" si="13"/>
        <v>100</v>
      </c>
      <c r="V30" s="774" t="s">
        <v>21</v>
      </c>
      <c r="W30" s="775">
        <f t="shared" si="14"/>
        <v>100</v>
      </c>
      <c r="X30" s="1815"/>
      <c r="Y30" s="3216"/>
      <c r="Z30" s="1816">
        <f t="shared" si="18"/>
        <v>0</v>
      </c>
      <c r="AA30" s="1813">
        <f t="shared" si="15"/>
        <v>1</v>
      </c>
      <c r="AB30" s="1813">
        <f t="shared" si="16"/>
        <v>1</v>
      </c>
      <c r="AC30" s="1813">
        <f t="shared" si="17"/>
        <v>1</v>
      </c>
    </row>
    <row r="31" spans="1:29" ht="15.75"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87"/>
      <c r="Q31" s="1812">
        <f t="shared" si="11"/>
        <v>0</v>
      </c>
      <c r="R31" s="774" t="s">
        <v>21</v>
      </c>
      <c r="S31" s="775">
        <f t="shared" si="12"/>
        <v>100</v>
      </c>
      <c r="T31" s="774" t="s">
        <v>21</v>
      </c>
      <c r="U31" s="775">
        <f t="shared" si="13"/>
        <v>100</v>
      </c>
      <c r="V31" s="774" t="s">
        <v>21</v>
      </c>
      <c r="W31" s="775">
        <f t="shared" si="14"/>
        <v>100</v>
      </c>
      <c r="X31" s="1815"/>
      <c r="Y31" s="3216"/>
      <c r="Z31" s="1816">
        <f t="shared" si="18"/>
        <v>0</v>
      </c>
      <c r="AA31" s="1813">
        <f t="shared" si="15"/>
        <v>1</v>
      </c>
      <c r="AB31" s="1813">
        <f t="shared" si="16"/>
        <v>1</v>
      </c>
      <c r="AC31" s="1813">
        <f t="shared" si="17"/>
        <v>1</v>
      </c>
    </row>
    <row r="32" spans="1:29" ht="15">
      <c r="A32" s="440" t="s">
        <v>2518</v>
      </c>
      <c r="B32" s="71" t="s">
        <v>2519</v>
      </c>
      <c r="C32" s="2623" t="s">
        <v>3100</v>
      </c>
      <c r="D32" s="467">
        <v>100</v>
      </c>
      <c r="E32" s="2624" t="s">
        <v>3100</v>
      </c>
      <c r="F32" s="461">
        <f>SUMIF(100:100,E32,101:101)-SUMIF(100:100,C32,101:101)+100</f>
        <v>100</v>
      </c>
      <c r="G32" s="2623" t="s">
        <v>3100</v>
      </c>
      <c r="H32" s="467">
        <f>SUMIF(100:100,G32,101:101)-SUMIF(100:100,C32,101:101)+100</f>
        <v>100</v>
      </c>
      <c r="I32" s="2624" t="s">
        <v>3100</v>
      </c>
      <c r="J32" s="435">
        <f>SUMIF(100:100,I32,101:101)-SUMIF(100:100,C32,101:101)+100</f>
        <v>100</v>
      </c>
      <c r="K32" s="426">
        <v>1</v>
      </c>
      <c r="L32" s="1143"/>
      <c r="M32" s="1134"/>
      <c r="N32" s="1134"/>
      <c r="O32" s="1134"/>
      <c r="P32" s="3282" t="s">
        <v>2520</v>
      </c>
      <c r="Q32" s="1812" t="str">
        <f t="shared" si="11"/>
        <v>建筑类型</v>
      </c>
      <c r="R32" s="774" t="s">
        <v>21</v>
      </c>
      <c r="S32" s="775">
        <f t="shared" si="12"/>
        <v>100</v>
      </c>
      <c r="T32" s="774" t="s">
        <v>21</v>
      </c>
      <c r="U32" s="775">
        <f t="shared" si="13"/>
        <v>100</v>
      </c>
      <c r="V32" s="774" t="s">
        <v>21</v>
      </c>
      <c r="W32" s="775">
        <f t="shared" si="14"/>
        <v>100</v>
      </c>
      <c r="X32" s="1815"/>
      <c r="Y32" s="3218" t="s">
        <v>2520</v>
      </c>
      <c r="Z32" s="1816" t="str">
        <f t="shared" si="18"/>
        <v>建筑类型</v>
      </c>
      <c r="AA32" s="1813">
        <f t="shared" si="15"/>
        <v>1</v>
      </c>
      <c r="AB32" s="1813">
        <f t="shared" si="16"/>
        <v>1</v>
      </c>
      <c r="AC32" s="1813">
        <f t="shared" si="17"/>
        <v>1</v>
      </c>
    </row>
    <row r="33" spans="1:29" s="471" customFormat="1" ht="15">
      <c r="A33" s="468"/>
      <c r="B33" s="422" t="s">
        <v>2521</v>
      </c>
      <c r="C33" s="469" t="s">
        <v>3132</v>
      </c>
      <c r="D33" s="136">
        <v>100</v>
      </c>
      <c r="E33" s="430" t="s">
        <v>70</v>
      </c>
      <c r="F33" s="425">
        <f>LOOKUP(E33,103:103,104:104)-LOOKUP(C33,103:103,104:104)+100</f>
        <v>100</v>
      </c>
      <c r="G33" s="429" t="s">
        <v>70</v>
      </c>
      <c r="H33" s="136">
        <f>LOOKUP(G33,103:103,104:104)-LOOKUP(C33,103:103,104:104)+100</f>
        <v>100</v>
      </c>
      <c r="I33" s="430" t="s">
        <v>70</v>
      </c>
      <c r="J33" s="136">
        <f>LOOKUP(I33,103:103,104:104)-LOOKUP(C33,103:103,104:104)+100</f>
        <v>100</v>
      </c>
      <c r="K33" s="2607"/>
      <c r="L33" s="1141"/>
      <c r="M33" s="1144"/>
      <c r="N33" s="1144"/>
      <c r="O33" s="1144"/>
      <c r="P33" s="3283"/>
      <c r="Q33" s="776" t="str">
        <f t="shared" si="11"/>
        <v>项目建筑规模</v>
      </c>
      <c r="R33" s="777" t="s">
        <v>21</v>
      </c>
      <c r="S33" s="778">
        <f t="shared" si="12"/>
        <v>100</v>
      </c>
      <c r="T33" s="777" t="s">
        <v>21</v>
      </c>
      <c r="U33" s="778">
        <f t="shared" si="13"/>
        <v>100</v>
      </c>
      <c r="V33" s="777" t="s">
        <v>21</v>
      </c>
      <c r="W33" s="778">
        <f t="shared" si="14"/>
        <v>100</v>
      </c>
      <c r="X33" s="779"/>
      <c r="Y33" s="3218"/>
      <c r="Z33" s="780" t="str">
        <f t="shared" si="18"/>
        <v>项目建筑规模</v>
      </c>
      <c r="AA33" s="1813">
        <f t="shared" si="15"/>
        <v>1</v>
      </c>
      <c r="AB33" s="1813">
        <f t="shared" si="16"/>
        <v>1</v>
      </c>
      <c r="AC33" s="1813">
        <f t="shared" si="17"/>
        <v>1</v>
      </c>
    </row>
    <row r="34" spans="1:29" ht="15">
      <c r="A34" s="472"/>
      <c r="B34" s="422" t="s">
        <v>2522</v>
      </c>
      <c r="C34" s="2625" t="s">
        <v>3100</v>
      </c>
      <c r="D34" s="435">
        <v>100</v>
      </c>
      <c r="E34" s="2626" t="s">
        <v>3100</v>
      </c>
      <c r="F34" s="461">
        <f>SUMIF(105:105,E34,106:106)-SUMIF(105:105,C34,106:106)+100</f>
        <v>100</v>
      </c>
      <c r="G34" s="2625" t="s">
        <v>3100</v>
      </c>
      <c r="H34" s="435">
        <f>SUMIF(105:105,G34,106:106)-SUMIF(105:105,C34,106:106)+100</f>
        <v>100</v>
      </c>
      <c r="I34" s="2626" t="s">
        <v>3100</v>
      </c>
      <c r="J34" s="435">
        <f>SUMIF(105:105,I34,106:106)-SUMIF(105:105,C34,106:106)+100</f>
        <v>100</v>
      </c>
      <c r="K34" s="426">
        <v>1</v>
      </c>
      <c r="L34" s="1143"/>
      <c r="M34" s="1134"/>
      <c r="N34" s="1134"/>
      <c r="O34" s="1134"/>
      <c r="P34" s="3283"/>
      <c r="Q34" s="1812" t="str">
        <f t="shared" si="11"/>
        <v>建筑结构</v>
      </c>
      <c r="R34" s="774" t="s">
        <v>21</v>
      </c>
      <c r="S34" s="775">
        <f t="shared" si="12"/>
        <v>100</v>
      </c>
      <c r="T34" s="774" t="s">
        <v>21</v>
      </c>
      <c r="U34" s="775">
        <f t="shared" si="13"/>
        <v>100</v>
      </c>
      <c r="V34" s="774" t="s">
        <v>21</v>
      </c>
      <c r="W34" s="775">
        <f t="shared" si="14"/>
        <v>100</v>
      </c>
      <c r="X34" s="1815"/>
      <c r="Y34" s="3218"/>
      <c r="Z34" s="1816" t="str">
        <f t="shared" si="18"/>
        <v>建筑结构</v>
      </c>
      <c r="AA34" s="1813">
        <f t="shared" si="15"/>
        <v>1</v>
      </c>
      <c r="AB34" s="1813">
        <f t="shared" si="16"/>
        <v>1</v>
      </c>
      <c r="AC34" s="1813">
        <f t="shared" si="17"/>
        <v>1</v>
      </c>
    </row>
    <row r="35" spans="1:29" ht="15">
      <c r="A35" s="472"/>
      <c r="B35" s="422" t="s">
        <v>2523</v>
      </c>
      <c r="C35" s="2619" t="s">
        <v>3051</v>
      </c>
      <c r="D35" s="435">
        <v>100</v>
      </c>
      <c r="E35" s="2620" t="s">
        <v>3051</v>
      </c>
      <c r="F35" s="461">
        <f>SUMIF(107:107,E35,108:108)-SUMIF(107:107,C35,108:108)+100</f>
        <v>100</v>
      </c>
      <c r="G35" s="2619" t="s">
        <v>3051</v>
      </c>
      <c r="H35" s="435">
        <f>SUMIF(107:107,G35,108:108)-SUMIF(107:107,C35,108:108)+100</f>
        <v>100</v>
      </c>
      <c r="I35" s="2620" t="s">
        <v>3051</v>
      </c>
      <c r="J35" s="435">
        <f>SUMIF(107:107,I35,108:108)-SUMIF(107:107,C35,108:108)+100</f>
        <v>100</v>
      </c>
      <c r="K35" s="426">
        <v>1</v>
      </c>
      <c r="L35" s="1143"/>
      <c r="M35" s="1134"/>
      <c r="N35" s="1134"/>
      <c r="O35" s="1134"/>
      <c r="P35" s="3283"/>
      <c r="Q35" s="1812" t="str">
        <f t="shared" si="11"/>
        <v>建筑品质</v>
      </c>
      <c r="R35" s="774" t="s">
        <v>21</v>
      </c>
      <c r="S35" s="775">
        <f t="shared" si="12"/>
        <v>100</v>
      </c>
      <c r="T35" s="774" t="s">
        <v>21</v>
      </c>
      <c r="U35" s="775">
        <f t="shared" si="13"/>
        <v>100</v>
      </c>
      <c r="V35" s="774" t="s">
        <v>21</v>
      </c>
      <c r="W35" s="775">
        <f t="shared" si="14"/>
        <v>100</v>
      </c>
      <c r="X35" s="1815"/>
      <c r="Y35" s="3218"/>
      <c r="Z35" s="1816" t="str">
        <f t="shared" si="18"/>
        <v>建筑品质</v>
      </c>
      <c r="AA35" s="1813">
        <f t="shared" si="15"/>
        <v>1</v>
      </c>
      <c r="AB35" s="1813">
        <f t="shared" si="16"/>
        <v>1</v>
      </c>
      <c r="AC35" s="1813">
        <f t="shared" si="17"/>
        <v>1</v>
      </c>
    </row>
    <row r="36" spans="1:29" ht="15">
      <c r="A36" s="472"/>
      <c r="B36" s="422" t="s">
        <v>2524</v>
      </c>
      <c r="C36" s="2619" t="s">
        <v>3101</v>
      </c>
      <c r="D36" s="435">
        <v>100</v>
      </c>
      <c r="E36" s="2620" t="s">
        <v>3101</v>
      </c>
      <c r="F36" s="461">
        <f>SUMIF(109:109,E36,110:110)-SUMIF(109:109,C36,110:110)+100</f>
        <v>100</v>
      </c>
      <c r="G36" s="2619" t="s">
        <v>3101</v>
      </c>
      <c r="H36" s="435">
        <f>SUMIF(109:109,G36,110:110)-SUMIF(109:109,C36,110:110)+100</f>
        <v>100</v>
      </c>
      <c r="I36" s="2620" t="s">
        <v>3101</v>
      </c>
      <c r="J36" s="435">
        <f>SUMIF(109:109,I36,110:110)-SUMIF(109:109,C36,110:110)+100</f>
        <v>100</v>
      </c>
      <c r="K36" s="426">
        <v>1</v>
      </c>
      <c r="L36" s="1143"/>
      <c r="M36" s="1134"/>
      <c r="N36" s="1134"/>
      <c r="O36" s="1134"/>
      <c r="P36" s="3283"/>
      <c r="Q36" s="1812" t="str">
        <f t="shared" si="11"/>
        <v>公共部分装修</v>
      </c>
      <c r="R36" s="774" t="s">
        <v>21</v>
      </c>
      <c r="S36" s="775">
        <f t="shared" si="12"/>
        <v>100</v>
      </c>
      <c r="T36" s="774" t="s">
        <v>21</v>
      </c>
      <c r="U36" s="775">
        <f t="shared" si="13"/>
        <v>100</v>
      </c>
      <c r="V36" s="774" t="s">
        <v>21</v>
      </c>
      <c r="W36" s="775">
        <f t="shared" si="14"/>
        <v>100</v>
      </c>
      <c r="X36" s="1815"/>
      <c r="Y36" s="3218"/>
      <c r="Z36" s="1816" t="str">
        <f t="shared" si="18"/>
        <v>公共部分装修</v>
      </c>
      <c r="AA36" s="1813">
        <f t="shared" si="15"/>
        <v>1</v>
      </c>
      <c r="AB36" s="1813">
        <f t="shared" si="16"/>
        <v>1</v>
      </c>
      <c r="AC36" s="1813">
        <f t="shared" si="17"/>
        <v>1</v>
      </c>
    </row>
    <row r="37" spans="1:29" s="117" customFormat="1" ht="15">
      <c r="A37" s="473"/>
      <c r="B37" s="422" t="s">
        <v>2525</v>
      </c>
      <c r="C37" s="474">
        <v>1</v>
      </c>
      <c r="D37" s="136">
        <v>100</v>
      </c>
      <c r="E37" s="474">
        <v>0.93</v>
      </c>
      <c r="F37" s="425">
        <f>LOOKUP(E37,112:112,113:113)-LOOKUP(C37,112:112,113:113)+100</f>
        <v>100</v>
      </c>
      <c r="G37" s="476">
        <v>0.93</v>
      </c>
      <c r="H37" s="136">
        <f>LOOKUP(G37,112:112,113:113)-LOOKUP(C37,112:112,113:113)+100</f>
        <v>100</v>
      </c>
      <c r="I37" s="475">
        <v>0.93</v>
      </c>
      <c r="J37" s="136">
        <f>LOOKUP(I37,112:112,113:113)-LOOKUP(C37,112:112,113:113)+100</f>
        <v>100</v>
      </c>
      <c r="K37" s="426">
        <v>1</v>
      </c>
      <c r="L37" s="1135"/>
      <c r="M37" s="1136"/>
      <c r="N37" s="1136"/>
      <c r="O37" s="1136"/>
      <c r="P37" s="3283"/>
      <c r="Q37" s="1797" t="str">
        <f t="shared" si="11"/>
        <v>成新度</v>
      </c>
      <c r="R37" s="770" t="s">
        <v>21</v>
      </c>
      <c r="S37" s="771">
        <f t="shared" si="12"/>
        <v>100</v>
      </c>
      <c r="T37" s="770" t="s">
        <v>21</v>
      </c>
      <c r="U37" s="771">
        <f t="shared" si="13"/>
        <v>100</v>
      </c>
      <c r="V37" s="770" t="s">
        <v>21</v>
      </c>
      <c r="W37" s="771">
        <f t="shared" si="14"/>
        <v>100</v>
      </c>
      <c r="X37" s="772"/>
      <c r="Y37" s="3218"/>
      <c r="Z37" s="55" t="str">
        <f t="shared" si="18"/>
        <v>成新度</v>
      </c>
      <c r="AA37" s="773">
        <f t="shared" si="15"/>
        <v>1</v>
      </c>
      <c r="AB37" s="773">
        <f t="shared" si="16"/>
        <v>1</v>
      </c>
      <c r="AC37" s="773">
        <f t="shared" si="17"/>
        <v>1</v>
      </c>
    </row>
    <row r="38" spans="1:29" ht="15">
      <c r="A38" s="472"/>
      <c r="B38" s="422" t="s">
        <v>2526</v>
      </c>
      <c r="C38" s="2619" t="s">
        <v>3102</v>
      </c>
      <c r="D38" s="435">
        <v>100</v>
      </c>
      <c r="E38" s="2620" t="s">
        <v>3102</v>
      </c>
      <c r="F38" s="461">
        <f>SUMIF(114:114,E38,115:115)-SUMIF(114:114,C38,115:115)+100</f>
        <v>100</v>
      </c>
      <c r="G38" s="2619" t="s">
        <v>3102</v>
      </c>
      <c r="H38" s="435">
        <f>SUMIF(114:114,G38,115:115)-SUMIF(114:114,C38,115:115)+100</f>
        <v>100</v>
      </c>
      <c r="I38" s="2620" t="s">
        <v>3102</v>
      </c>
      <c r="J38" s="435">
        <f>SUMIF(114:114,I38,115:115)-SUMIF(114:114,C38,115:115)+100</f>
        <v>100</v>
      </c>
      <c r="K38" s="426">
        <v>1</v>
      </c>
      <c r="L38" s="1143"/>
      <c r="M38" s="1134"/>
      <c r="N38" s="1134"/>
      <c r="O38" s="1134"/>
      <c r="P38" s="3283" t="s">
        <v>2520</v>
      </c>
      <c r="Q38" s="1812" t="str">
        <f t="shared" si="11"/>
        <v>物业管理</v>
      </c>
      <c r="R38" s="774" t="s">
        <v>21</v>
      </c>
      <c r="S38" s="775">
        <f t="shared" si="12"/>
        <v>100</v>
      </c>
      <c r="T38" s="774" t="s">
        <v>21</v>
      </c>
      <c r="U38" s="775">
        <f t="shared" si="13"/>
        <v>100</v>
      </c>
      <c r="V38" s="774" t="s">
        <v>21</v>
      </c>
      <c r="W38" s="775">
        <f t="shared" si="14"/>
        <v>100</v>
      </c>
      <c r="X38" s="1815"/>
      <c r="Y38" s="3218" t="s">
        <v>2520</v>
      </c>
      <c r="Z38" s="1816" t="str">
        <f t="shared" si="18"/>
        <v>物业管理</v>
      </c>
      <c r="AA38" s="1813">
        <f t="shared" si="15"/>
        <v>1</v>
      </c>
      <c r="AB38" s="1813">
        <f t="shared" si="16"/>
        <v>1</v>
      </c>
      <c r="AC38" s="1813">
        <f t="shared" si="17"/>
        <v>1</v>
      </c>
    </row>
    <row r="39" spans="1:29" ht="15">
      <c r="A39" s="472"/>
      <c r="B39" s="422" t="s">
        <v>2527</v>
      </c>
      <c r="C39" s="2619" t="s">
        <v>3068</v>
      </c>
      <c r="D39" s="435">
        <v>100</v>
      </c>
      <c r="E39" s="2620" t="s">
        <v>3068</v>
      </c>
      <c r="F39" s="461">
        <f>SUMIF(116:116,E39,117:117)-SUMIF(116:116,C39,117:117)+100</f>
        <v>100</v>
      </c>
      <c r="G39" s="2619" t="s">
        <v>3068</v>
      </c>
      <c r="H39" s="435">
        <f>SUMIF(116:116,G39,117:117)-SUMIF(116:116,C39,117:117)+100</f>
        <v>100</v>
      </c>
      <c r="I39" s="2620" t="s">
        <v>3068</v>
      </c>
      <c r="J39" s="435">
        <f>SUMIF(116:116,I39,117:117)-SUMIF(116:116,C39,117:117)+100</f>
        <v>100</v>
      </c>
      <c r="K39" s="426">
        <v>1</v>
      </c>
      <c r="L39" s="1143"/>
      <c r="M39" s="1134"/>
      <c r="N39" s="1134"/>
      <c r="O39" s="1134"/>
      <c r="P39" s="3283"/>
      <c r="Q39" s="1812" t="str">
        <f t="shared" si="11"/>
        <v>市政基础设施</v>
      </c>
      <c r="R39" s="774" t="s">
        <v>21</v>
      </c>
      <c r="S39" s="775">
        <f t="shared" si="12"/>
        <v>100</v>
      </c>
      <c r="T39" s="774" t="s">
        <v>21</v>
      </c>
      <c r="U39" s="775">
        <f t="shared" si="13"/>
        <v>100</v>
      </c>
      <c r="V39" s="774" t="s">
        <v>21</v>
      </c>
      <c r="W39" s="775">
        <f t="shared" si="14"/>
        <v>100</v>
      </c>
      <c r="X39" s="1815"/>
      <c r="Y39" s="3218"/>
      <c r="Z39" s="1816" t="str">
        <f t="shared" si="18"/>
        <v>市政基础设施</v>
      </c>
      <c r="AA39" s="1813">
        <f t="shared" si="15"/>
        <v>1</v>
      </c>
      <c r="AB39" s="1813">
        <f t="shared" si="16"/>
        <v>1</v>
      </c>
      <c r="AC39" s="1813">
        <f t="shared" si="17"/>
        <v>1</v>
      </c>
    </row>
    <row r="40" spans="1:29" ht="15">
      <c r="A40" s="472"/>
      <c r="B40" s="422" t="s">
        <v>2528</v>
      </c>
      <c r="C40" s="2619" t="s">
        <v>70</v>
      </c>
      <c r="D40" s="435">
        <v>100</v>
      </c>
      <c r="E40" s="2620" t="s">
        <v>70</v>
      </c>
      <c r="F40" s="461">
        <f>SUMIF(118:118,E40,119:119)-SUMIF(118:118,C40,119:119)+100</f>
        <v>100</v>
      </c>
      <c r="G40" s="2619" t="s">
        <v>70</v>
      </c>
      <c r="H40" s="435">
        <f>SUMIF(118:118,G40,119:119)-SUMIF(118:118,C40,119:119)+100</f>
        <v>100</v>
      </c>
      <c r="I40" s="2620" t="s">
        <v>70</v>
      </c>
      <c r="J40" s="435">
        <f>SUMIF(118:118,I40,119:119)-SUMIF(118:118,C40,119:119)+100</f>
        <v>100</v>
      </c>
      <c r="K40" s="426">
        <v>1</v>
      </c>
      <c r="L40" s="1143"/>
      <c r="M40" s="1134"/>
      <c r="N40" s="1134"/>
      <c r="O40" s="1134"/>
      <c r="P40" s="3283"/>
      <c r="Q40" s="1812" t="str">
        <f t="shared" si="11"/>
        <v>房型</v>
      </c>
      <c r="R40" s="774" t="s">
        <v>21</v>
      </c>
      <c r="S40" s="775">
        <f t="shared" si="12"/>
        <v>100</v>
      </c>
      <c r="T40" s="774" t="s">
        <v>21</v>
      </c>
      <c r="U40" s="775">
        <f t="shared" si="13"/>
        <v>100</v>
      </c>
      <c r="V40" s="774" t="s">
        <v>21</v>
      </c>
      <c r="W40" s="775">
        <f t="shared" si="14"/>
        <v>100</v>
      </c>
      <c r="X40" s="1815"/>
      <c r="Y40" s="3218"/>
      <c r="Z40" s="1816" t="str">
        <f t="shared" si="18"/>
        <v>房型</v>
      </c>
      <c r="AA40" s="1813">
        <f t="shared" si="15"/>
        <v>1</v>
      </c>
      <c r="AB40" s="1813">
        <f t="shared" si="16"/>
        <v>1</v>
      </c>
      <c r="AC40" s="1813">
        <f t="shared" si="17"/>
        <v>1</v>
      </c>
    </row>
    <row r="41" spans="1:29" s="471" customFormat="1" ht="28.5">
      <c r="A41" s="468"/>
      <c r="B41" s="422" t="s">
        <v>2529</v>
      </c>
      <c r="C41" s="469" t="s">
        <v>70</v>
      </c>
      <c r="D41" s="136">
        <v>100</v>
      </c>
      <c r="E41" s="430" t="s">
        <v>70</v>
      </c>
      <c r="F41" s="425">
        <f>SUMIF(120:120,E41,121:121)-SUMIF(120:120,C41,121:121)+100</f>
        <v>100</v>
      </c>
      <c r="G41" s="429" t="s">
        <v>70</v>
      </c>
      <c r="H41" s="136">
        <f>SUMIF(120:120,G41,121:121)-SUMIF(120:120,C41,121:121)+100</f>
        <v>100</v>
      </c>
      <c r="I41" s="477" t="s">
        <v>70</v>
      </c>
      <c r="J41" s="435">
        <f>SUMIF(120:120,I41,121:121)-SUMIF(120:120,C41,121:121)+100</f>
        <v>100</v>
      </c>
      <c r="K41" s="2607"/>
      <c r="L41" s="1141"/>
      <c r="M41" s="1144"/>
      <c r="N41" s="1144"/>
      <c r="O41" s="1144"/>
      <c r="P41" s="3283"/>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3">
        <f t="shared" si="15"/>
        <v>1</v>
      </c>
      <c r="AB41" s="1813">
        <f t="shared" si="16"/>
        <v>1</v>
      </c>
      <c r="AC41" s="1813">
        <f t="shared" si="17"/>
        <v>1</v>
      </c>
    </row>
    <row r="42" spans="1:29" ht="15">
      <c r="A42" s="472"/>
      <c r="B42" s="422" t="s">
        <v>2530</v>
      </c>
      <c r="C42" s="2619" t="s">
        <v>3103</v>
      </c>
      <c r="D42" s="435">
        <v>100</v>
      </c>
      <c r="E42" s="2620" t="s">
        <v>3103</v>
      </c>
      <c r="F42" s="461">
        <f>SUMIF(122:122,E42,123:123)-SUMIF(122:122,C42,123:123)+100</f>
        <v>100</v>
      </c>
      <c r="G42" s="2619" t="s">
        <v>3103</v>
      </c>
      <c r="H42" s="435">
        <f>SUMIF(122:122,G42,123:123)-SUMIF(122:122,C42,123:123)+100</f>
        <v>100</v>
      </c>
      <c r="I42" s="2620" t="s">
        <v>3103</v>
      </c>
      <c r="J42" s="435">
        <f>SUMIF(122:122,I42,123:123)-SUMIF(122:122,C42,123:123)+100</f>
        <v>100</v>
      </c>
      <c r="K42" s="426">
        <v>6</v>
      </c>
      <c r="L42" s="1143"/>
      <c r="M42" s="1134"/>
      <c r="N42" s="1134"/>
      <c r="O42" s="1134"/>
      <c r="P42" s="3283"/>
      <c r="Q42" s="1812" t="str">
        <f t="shared" si="11"/>
        <v>内部装修</v>
      </c>
      <c r="R42" s="774" t="s">
        <v>21</v>
      </c>
      <c r="S42" s="775">
        <f t="shared" si="12"/>
        <v>100</v>
      </c>
      <c r="T42" s="774" t="s">
        <v>21</v>
      </c>
      <c r="U42" s="775">
        <f t="shared" si="13"/>
        <v>100</v>
      </c>
      <c r="V42" s="774" t="s">
        <v>21</v>
      </c>
      <c r="W42" s="775">
        <f t="shared" si="14"/>
        <v>100</v>
      </c>
      <c r="X42" s="1815"/>
      <c r="Y42" s="3218"/>
      <c r="Z42" s="1816" t="str">
        <f t="shared" si="18"/>
        <v>内部装修</v>
      </c>
      <c r="AA42" s="1813">
        <f t="shared" si="15"/>
        <v>1</v>
      </c>
      <c r="AB42" s="1813">
        <f t="shared" si="16"/>
        <v>1</v>
      </c>
      <c r="AC42" s="1813">
        <f t="shared" si="17"/>
        <v>1</v>
      </c>
    </row>
    <row r="43" spans="1:29" ht="15">
      <c r="A43" s="472"/>
      <c r="B43" s="422" t="s">
        <v>2531</v>
      </c>
      <c r="C43" s="2619" t="s">
        <v>3073</v>
      </c>
      <c r="D43" s="435">
        <v>100</v>
      </c>
      <c r="E43" s="2620" t="s">
        <v>3073</v>
      </c>
      <c r="F43" s="461">
        <f>SUMIF(124:124,E43,125:125)-SUMIF(124:124,C43,125:125)+100</f>
        <v>100</v>
      </c>
      <c r="G43" s="2619" t="s">
        <v>3073</v>
      </c>
      <c r="H43" s="435">
        <f>SUMIF(124:124,G43,125:125)-SUMIF(124:124,C43,125:125)+100</f>
        <v>100</v>
      </c>
      <c r="I43" s="2620" t="s">
        <v>3073</v>
      </c>
      <c r="J43" s="435">
        <f>SUMIF(124:124,I43,125:125)-SUMIF(124:124,C43,125:125)+100</f>
        <v>100</v>
      </c>
      <c r="K43" s="426">
        <v>1</v>
      </c>
      <c r="L43" s="1143"/>
      <c r="M43" s="1134"/>
      <c r="N43" s="1134"/>
      <c r="O43" s="1134"/>
      <c r="P43" s="3283"/>
      <c r="Q43" s="1812" t="str">
        <f t="shared" si="11"/>
        <v>内部装修维护情况</v>
      </c>
      <c r="R43" s="774" t="s">
        <v>21</v>
      </c>
      <c r="S43" s="775">
        <f t="shared" si="12"/>
        <v>100</v>
      </c>
      <c r="T43" s="774" t="s">
        <v>21</v>
      </c>
      <c r="U43" s="775">
        <f t="shared" si="13"/>
        <v>100</v>
      </c>
      <c r="V43" s="774" t="s">
        <v>21</v>
      </c>
      <c r="W43" s="775">
        <f t="shared" si="14"/>
        <v>100</v>
      </c>
      <c r="X43" s="1815"/>
      <c r="Y43" s="3218"/>
      <c r="Z43" s="1816" t="str">
        <f t="shared" si="18"/>
        <v>内部装修维护情况</v>
      </c>
      <c r="AA43" s="1813">
        <f t="shared" si="15"/>
        <v>1</v>
      </c>
      <c r="AB43" s="1813">
        <f t="shared" si="16"/>
        <v>1</v>
      </c>
      <c r="AC43" s="1813">
        <f t="shared" si="17"/>
        <v>1</v>
      </c>
    </row>
    <row r="44" spans="1:29" s="117" customFormat="1" ht="15">
      <c r="A44" s="473"/>
      <c r="B44" s="2956" t="s">
        <v>3127</v>
      </c>
      <c r="C44" s="2957" t="s">
        <v>3125</v>
      </c>
      <c r="D44" s="136">
        <v>100</v>
      </c>
      <c r="E44" s="469" t="s">
        <v>3131</v>
      </c>
      <c r="F44" s="425">
        <f>SUMIF(126:126,E44,127:127)-SUMIF(126:126,C44,127:127)+100</f>
        <v>115</v>
      </c>
      <c r="G44" s="469" t="s">
        <v>3131</v>
      </c>
      <c r="H44" s="136">
        <f>SUMIF(126:126,G44,127:127)-SUMIF(126:126,C44,127:127)+100</f>
        <v>115</v>
      </c>
      <c r="I44" s="469" t="s">
        <v>3131</v>
      </c>
      <c r="J44" s="136">
        <f>SUMIF(126:126,I44,127:127)-SUMIF(126:126,C44,127:127)+100</f>
        <v>115</v>
      </c>
      <c r="K44" s="2607"/>
      <c r="L44" s="1135"/>
      <c r="M44" s="1136"/>
      <c r="N44" s="1136"/>
      <c r="O44" s="1136"/>
      <c r="P44" s="3283"/>
      <c r="Q44" s="1797" t="str">
        <f t="shared" si="11"/>
        <v>特殊修正</v>
      </c>
      <c r="R44" s="770" t="s">
        <v>21</v>
      </c>
      <c r="S44" s="771">
        <f t="shared" si="12"/>
        <v>115</v>
      </c>
      <c r="T44" s="770" t="s">
        <v>21</v>
      </c>
      <c r="U44" s="771">
        <f t="shared" si="13"/>
        <v>115</v>
      </c>
      <c r="V44" s="770" t="s">
        <v>21</v>
      </c>
      <c r="W44" s="771">
        <f t="shared" si="14"/>
        <v>115</v>
      </c>
      <c r="X44" s="772"/>
      <c r="Y44" s="3218"/>
      <c r="Z44" s="55" t="str">
        <f t="shared" si="18"/>
        <v>特殊修正</v>
      </c>
      <c r="AA44" s="773">
        <f t="shared" si="15"/>
        <v>0.86956521739130432</v>
      </c>
      <c r="AB44" s="773">
        <f t="shared" si="16"/>
        <v>0.86956521739130432</v>
      </c>
      <c r="AC44" s="773">
        <f t="shared" si="17"/>
        <v>0.86956521739130432</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83"/>
      <c r="Q45" s="1812">
        <f t="shared" si="11"/>
        <v>0</v>
      </c>
      <c r="R45" s="774" t="s">
        <v>21</v>
      </c>
      <c r="S45" s="775">
        <f t="shared" si="12"/>
        <v>100</v>
      </c>
      <c r="T45" s="774" t="s">
        <v>21</v>
      </c>
      <c r="U45" s="775">
        <f t="shared" si="13"/>
        <v>100</v>
      </c>
      <c r="V45" s="774" t="s">
        <v>21</v>
      </c>
      <c r="W45" s="775">
        <f t="shared" si="14"/>
        <v>100</v>
      </c>
      <c r="X45" s="1815"/>
      <c r="Y45" s="3218"/>
      <c r="Z45" s="1816">
        <f t="shared" si="18"/>
        <v>0</v>
      </c>
      <c r="AA45" s="1813">
        <f t="shared" si="15"/>
        <v>1</v>
      </c>
      <c r="AB45" s="1813">
        <f t="shared" si="16"/>
        <v>1</v>
      </c>
      <c r="AC45" s="1813">
        <f t="shared" si="17"/>
        <v>1</v>
      </c>
    </row>
    <row r="46" spans="1:29" ht="15.75"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84"/>
      <c r="Q46" s="1812">
        <f t="shared" si="11"/>
        <v>0</v>
      </c>
      <c r="R46" s="774" t="s">
        <v>20</v>
      </c>
      <c r="S46" s="775">
        <f t="shared" si="12"/>
        <v>100</v>
      </c>
      <c r="T46" s="774" t="s">
        <v>20</v>
      </c>
      <c r="U46" s="775">
        <f t="shared" si="13"/>
        <v>100</v>
      </c>
      <c r="V46" s="774" t="s">
        <v>20</v>
      </c>
      <c r="W46" s="775">
        <f t="shared" si="14"/>
        <v>100</v>
      </c>
      <c r="X46" s="1815"/>
      <c r="Y46" s="3285"/>
      <c r="Z46" s="1816">
        <f t="shared" si="18"/>
        <v>0</v>
      </c>
      <c r="AA46" s="1813">
        <f t="shared" si="15"/>
        <v>1</v>
      </c>
      <c r="AB46" s="1813">
        <f t="shared" si="16"/>
        <v>1</v>
      </c>
      <c r="AC46" s="1813">
        <f t="shared" si="17"/>
        <v>1</v>
      </c>
    </row>
    <row r="47" spans="1:29" ht="15">
      <c r="A47" s="479" t="s">
        <v>2532</v>
      </c>
      <c r="B47" s="480"/>
      <c r="C47" s="1410" t="s">
        <v>19</v>
      </c>
      <c r="D47" s="1411"/>
      <c r="E47" s="1412">
        <v>9971</v>
      </c>
      <c r="F47" s="1413"/>
      <c r="G47" s="1414">
        <v>10340</v>
      </c>
      <c r="H47" s="1415"/>
      <c r="I47" s="1412">
        <v>9832</v>
      </c>
      <c r="J47" s="1415"/>
      <c r="K47" s="2627"/>
      <c r="L47" s="1146"/>
      <c r="M47" s="1147"/>
      <c r="N47" s="1134"/>
      <c r="O47" s="1147"/>
      <c r="P47" s="3213" t="str">
        <f>A47</f>
        <v>成交单价（元/平方米）</v>
      </c>
      <c r="Q47" s="3213"/>
      <c r="R47" s="3281">
        <f>E47</f>
        <v>9971</v>
      </c>
      <c r="S47" s="3281"/>
      <c r="T47" s="3281">
        <f>G47</f>
        <v>10340</v>
      </c>
      <c r="U47" s="3281"/>
      <c r="V47" s="3281">
        <f>I47</f>
        <v>9832</v>
      </c>
      <c r="W47" s="3281"/>
      <c r="X47" s="759"/>
      <c r="Y47" s="781"/>
      <c r="Z47" s="759"/>
      <c r="AA47" s="759"/>
      <c r="AB47" s="759"/>
      <c r="AC47" s="759"/>
    </row>
    <row r="48" spans="1:29" ht="15.75" thickBot="1">
      <c r="A48" s="486" t="s">
        <v>2533</v>
      </c>
      <c r="B48" s="487"/>
      <c r="C48" s="1416">
        <f>R49</f>
        <v>8622</v>
      </c>
      <c r="D48" s="1417"/>
      <c r="E48" s="1418">
        <f>R48</f>
        <v>8563</v>
      </c>
      <c r="F48" s="1418"/>
      <c r="G48" s="1416">
        <f>T48</f>
        <v>8880</v>
      </c>
      <c r="H48" s="1417"/>
      <c r="I48" s="1418">
        <f>V48</f>
        <v>8423</v>
      </c>
      <c r="J48" s="1417"/>
      <c r="K48" s="2628"/>
      <c r="L48" s="1146"/>
      <c r="M48" s="1147"/>
      <c r="N48" s="1147"/>
      <c r="O48" s="1147"/>
      <c r="P48" s="3213" t="str">
        <f>A48</f>
        <v>比较价值（元/平方米）</v>
      </c>
      <c r="Q48" s="3213"/>
      <c r="R48" s="3281">
        <f>IF(F1="售价",ROUND(PRODUCT(R47,AA7:AA46),0),ROUND(PRODUCT(R47,AA7:AA46),1))</f>
        <v>8563</v>
      </c>
      <c r="S48" s="3281"/>
      <c r="T48" s="3281">
        <f>IF(F1="售价",ROUND(PRODUCT(T47,AB7:AB46),0),ROUND(PRODUCT(T47,AB7:AB46),1))</f>
        <v>8880</v>
      </c>
      <c r="U48" s="3281"/>
      <c r="V48" s="3281">
        <f>IF(F1="售价",ROUND(PRODUCT(V47,AC7:AC46),0),ROUND(PRODUCT(V47,AC7:AC46),1))</f>
        <v>8423</v>
      </c>
      <c r="W48" s="3281"/>
      <c r="X48" s="759"/>
      <c r="Y48" s="759"/>
      <c r="Z48" s="759"/>
      <c r="AA48" s="759"/>
      <c r="AB48" s="759"/>
      <c r="AC48" s="759"/>
    </row>
    <row r="49" spans="1:29" ht="15.75" thickBot="1">
      <c r="A49" s="492" t="s">
        <v>3104</v>
      </c>
      <c r="B49" s="493"/>
      <c r="C49" s="1419">
        <f>R49</f>
        <v>8622</v>
      </c>
      <c r="D49" s="1420"/>
      <c r="E49" s="1420"/>
      <c r="F49" s="1420"/>
      <c r="G49" s="1420"/>
      <c r="H49" s="1420"/>
      <c r="I49" s="1420"/>
      <c r="J49" s="1420"/>
      <c r="K49" s="2629"/>
      <c r="L49" s="1146"/>
      <c r="M49" s="1147"/>
      <c r="N49" s="1147"/>
      <c r="O49" s="1147"/>
      <c r="P49" s="3207" t="str">
        <f>A49</f>
        <v>估价对象住宅用房的比较价值（楼面单价，元/平方米）</v>
      </c>
      <c r="Q49" s="3208"/>
      <c r="R49" s="3280">
        <f>IF(F1="售价",ROUND(AVERAGE(R48:V48),0),ROUND(AVERAGE(R48:V48),1))</f>
        <v>8622</v>
      </c>
      <c r="S49" s="3280"/>
      <c r="T49" s="3280"/>
      <c r="U49" s="3280"/>
      <c r="V49" s="3280"/>
      <c r="W49" s="328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2534</v>
      </c>
      <c r="D52" s="498"/>
      <c r="E52" s="499">
        <f>IF(E47&lt;E48,E48/E47-1,E47/E48-1)</f>
        <v>0.16442835454863958</v>
      </c>
      <c r="F52" s="500" t="str">
        <f>IF(OR(E52&gt;=0.3,E52&lt;=-0.3),"超过30%","")</f>
        <v/>
      </c>
      <c r="G52" s="499">
        <f>IF(G47&lt;G48,G48/G47-1,G47/G48-1)</f>
        <v>0.1644144144144144</v>
      </c>
      <c r="H52" s="500" t="str">
        <f>IF(OR(G52&gt;=0.3,G52&lt;=-0.3),"超过30%","")</f>
        <v/>
      </c>
      <c r="I52" s="499">
        <f>IF(I47&lt;I48,I48/I47-1,I47/I48-1)</f>
        <v>0.16728006648462546</v>
      </c>
      <c r="J52" s="500" t="str">
        <f>IF(OR(I52&gt;=0.3,I52&lt;=-0.3),"超过30%","")</f>
        <v/>
      </c>
      <c r="K52" s="1108"/>
      <c r="L52" s="1109"/>
      <c r="M52" s="1147"/>
      <c r="N52" s="1147"/>
      <c r="O52" s="1147"/>
    </row>
    <row r="53" spans="1:29" ht="13.5" customHeight="1">
      <c r="A53" s="1147"/>
      <c r="B53" s="1147"/>
      <c r="C53" s="497" t="s">
        <v>2535</v>
      </c>
      <c r="D53" s="501"/>
      <c r="E53" s="499">
        <f>IF(E48&lt;G48,G48/E48-1,E48/G48-1)</f>
        <v>3.701973607380582E-2</v>
      </c>
      <c r="F53" s="500" t="str">
        <f>IF(OR(E53&gt;=0.2,E53&lt;=-0.2),"超过20%","")</f>
        <v/>
      </c>
      <c r="G53" s="499">
        <f>IF(G48&lt;I48,I48/G48-1,G48/I48-1)</f>
        <v>5.4256203252997848E-2</v>
      </c>
      <c r="H53" s="500" t="str">
        <f>IF(OR(G53&gt;=0.2,G53&lt;=-0.2),"超过20%","")</f>
        <v/>
      </c>
      <c r="I53" s="499">
        <f>IF(I48&lt;E48,E48/I48-1,I48/E48-1)</f>
        <v>1.6621156357592204E-2</v>
      </c>
      <c r="J53" s="500" t="str">
        <f>IF(OR(I53&gt;=0.2,I53&lt;=-0.2),"超过20%","")</f>
        <v/>
      </c>
      <c r="K53" s="1108"/>
      <c r="L53" s="1109"/>
      <c r="M53" s="1147"/>
      <c r="N53" s="1147"/>
      <c r="O53" s="1147"/>
    </row>
    <row r="54" spans="1:29" s="502" customFormat="1" ht="13.5" customHeight="1">
      <c r="A54" s="1148"/>
      <c r="B54" s="1148"/>
      <c r="C54" s="497" t="s">
        <v>2536</v>
      </c>
      <c r="D54" s="501"/>
      <c r="E54" s="499">
        <f>IF(E47&lt;G47,G47/E47-1,E47/G47-1)</f>
        <v>3.7007321231571577E-2</v>
      </c>
      <c r="F54" s="500" t="str">
        <f>IF(OR(E54&gt;=0.3,E54&lt;=-0.3),"超过30%","")</f>
        <v/>
      </c>
      <c r="G54" s="499">
        <f>IF(G47&lt;I47,I47/G47-1,G47/I47-1)</f>
        <v>5.1668022782750178E-2</v>
      </c>
      <c r="H54" s="500" t="str">
        <f>IF(OR(G54&gt;=0.3,G54&lt;=-0.3),"超过30%","")</f>
        <v/>
      </c>
      <c r="I54" s="499">
        <f>IF(I47&lt;E47,E47/I47-1,I47/E47-1)</f>
        <v>1.4137510170870726E-2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2537</v>
      </c>
      <c r="B57" s="759"/>
      <c r="C57" s="764"/>
      <c r="D57" s="764"/>
      <c r="E57" s="764"/>
      <c r="F57" s="765"/>
      <c r="G57" s="765"/>
      <c r="H57" s="764"/>
      <c r="I57" s="764"/>
      <c r="J57" s="764"/>
      <c r="K57" s="1163"/>
      <c r="L57" s="1164"/>
      <c r="M57" s="1162"/>
      <c r="N57" s="1162"/>
      <c r="O57" s="1162"/>
      <c r="P57" s="2632"/>
      <c r="Q57" s="504"/>
    </row>
    <row r="58" spans="1:29" s="508" customFormat="1" ht="15">
      <c r="A58" s="505" t="s">
        <v>2538</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33"/>
      <c r="C59" s="1575">
        <v>100</v>
      </c>
      <c r="D59" s="511">
        <v>99</v>
      </c>
      <c r="E59" s="512">
        <v>98</v>
      </c>
      <c r="F59" s="511">
        <v>97</v>
      </c>
      <c r="G59" s="512">
        <v>96</v>
      </c>
      <c r="H59" s="511">
        <v>95</v>
      </c>
      <c r="I59" s="512">
        <v>94</v>
      </c>
      <c r="J59" s="511">
        <v>93</v>
      </c>
      <c r="K59" s="512">
        <v>92</v>
      </c>
      <c r="L59" s="511">
        <v>91</v>
      </c>
      <c r="M59" s="512">
        <v>90</v>
      </c>
      <c r="N59" s="511">
        <v>89</v>
      </c>
      <c r="O59" s="512">
        <v>88</v>
      </c>
      <c r="P59" s="2634"/>
    </row>
    <row r="60" spans="1:29" s="117" customFormat="1" ht="15.75" thickBot="1">
      <c r="A60" s="515" t="s">
        <v>2539</v>
      </c>
      <c r="B60" s="516"/>
      <c r="C60" s="517"/>
      <c r="D60" s="518"/>
      <c r="E60" s="518"/>
      <c r="F60" s="518"/>
      <c r="G60" s="518"/>
      <c r="H60" s="518"/>
      <c r="I60" s="518"/>
      <c r="J60" s="518"/>
      <c r="K60" s="518"/>
      <c r="L60" s="518"/>
      <c r="M60" s="519"/>
      <c r="N60" s="518"/>
      <c r="O60" s="519"/>
      <c r="P60" s="2634"/>
      <c r="Q60" s="504"/>
    </row>
    <row r="61" spans="1:29" s="117" customFormat="1" ht="15">
      <c r="A61" s="521" t="s">
        <v>2540</v>
      </c>
      <c r="B61" s="510"/>
      <c r="C61" s="522" t="s">
        <v>2541</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2542</v>
      </c>
      <c r="B63" s="528" t="s">
        <v>2509</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5"/>
      <c r="O65" s="1155"/>
      <c r="P65" s="263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6"/>
      <c r="Q66" s="504"/>
    </row>
    <row r="67" spans="1:17" ht="15.75" thickTop="1">
      <c r="A67" s="534"/>
      <c r="B67" s="546" t="s">
        <v>2513</v>
      </c>
      <c r="C67" s="547" t="str">
        <f>C68&amp;"（含）"&amp;"-"&amp;D68</f>
        <v>——（含）-1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6"/>
      <c r="Q67" s="504"/>
    </row>
    <row r="68" spans="1:17" ht="15">
      <c r="A68" s="534"/>
      <c r="B68" s="548"/>
      <c r="C68" s="549" t="s">
        <v>3133</v>
      </c>
      <c r="D68" s="549">
        <v>1</v>
      </c>
      <c r="E68" s="549">
        <v>2</v>
      </c>
      <c r="F68" s="549">
        <v>3</v>
      </c>
      <c r="G68" s="549">
        <v>4</v>
      </c>
      <c r="H68" s="549">
        <v>5</v>
      </c>
      <c r="I68" s="549">
        <v>6</v>
      </c>
      <c r="J68" s="549">
        <v>7</v>
      </c>
      <c r="K68" s="549">
        <v>8</v>
      </c>
      <c r="L68" s="549">
        <v>9</v>
      </c>
      <c r="M68" s="549">
        <v>10</v>
      </c>
      <c r="N68" s="1155"/>
      <c r="O68" s="1155"/>
      <c r="P68" s="263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thickTop="1">
      <c r="A70" s="553"/>
      <c r="B70" s="538">
        <f>B12</f>
        <v>0</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0</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0</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5"/>
      <c r="O76" s="1155"/>
      <c r="P76" s="2640"/>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6"/>
      <c r="O77" s="1156"/>
      <c r="P77" s="2636"/>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6"/>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6"/>
      <c r="Q81" s="504"/>
    </row>
    <row r="82" spans="1:17" ht="15.75" thickTop="1">
      <c r="A82" s="534"/>
      <c r="B82" s="546" t="s">
        <v>2057</v>
      </c>
      <c r="C82" s="539" t="s">
        <v>2558</v>
      </c>
      <c r="D82" s="539" t="s">
        <v>2559</v>
      </c>
      <c r="E82" s="539" t="s">
        <v>2560</v>
      </c>
      <c r="F82" s="539" t="s">
        <v>2561</v>
      </c>
      <c r="G82" s="539" t="s">
        <v>2562</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36"/>
      <c r="Q85" s="504"/>
    </row>
    <row r="86" spans="1:17" s="117" customFormat="1" ht="15.75" thickTop="1">
      <c r="A86" s="579"/>
      <c r="B86" s="538" t="s">
        <v>2564</v>
      </c>
      <c r="C86" s="554">
        <v>15</v>
      </c>
      <c r="D86" s="554">
        <v>20</v>
      </c>
      <c r="E86" s="554">
        <v>21</v>
      </c>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101.25</v>
      </c>
      <c r="E87" s="544">
        <f t="shared" si="24"/>
        <v>101.5</v>
      </c>
      <c r="F87" s="544">
        <f t="shared" si="24"/>
        <v>96.25</v>
      </c>
      <c r="G87" s="544">
        <f t="shared" si="24"/>
        <v>96.25</v>
      </c>
      <c r="H87" s="544">
        <f t="shared" si="24"/>
        <v>96.25</v>
      </c>
      <c r="I87" s="544">
        <f t="shared" si="24"/>
        <v>96.25</v>
      </c>
      <c r="J87" s="544">
        <f t="shared" si="24"/>
        <v>96.25</v>
      </c>
      <c r="K87" s="544">
        <f t="shared" si="24"/>
        <v>96.25</v>
      </c>
      <c r="L87" s="544">
        <f t="shared" si="24"/>
        <v>96.25</v>
      </c>
      <c r="M87" s="544">
        <f t="shared" si="24"/>
        <v>96.25</v>
      </c>
      <c r="N87" s="1156"/>
      <c r="O87" s="1156"/>
      <c r="P87" s="2636"/>
      <c r="Q87" s="504"/>
    </row>
    <row r="88" spans="1:17" s="117" customFormat="1" ht="15.75" thickTop="1">
      <c r="A88" s="579"/>
      <c r="B88" s="538" t="s">
        <v>2565</v>
      </c>
      <c r="C88" s="554" t="s">
        <v>3106</v>
      </c>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f>B27</f>
        <v>0</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0</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0</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0</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0</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2518</v>
      </c>
      <c r="B100" s="528" t="s">
        <v>2566</v>
      </c>
      <c r="C100" s="2948" t="s">
        <v>3107</v>
      </c>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6"/>
      <c r="Q101" s="504"/>
    </row>
    <row r="102" spans="1:17" ht="29.25" thickTop="1">
      <c r="A102" s="534"/>
      <c r="B102" s="538" t="s">
        <v>2567</v>
      </c>
      <c r="C102" s="578" t="str">
        <f>C103&amp;"(含)"&amp;"-"&amp;D103</f>
        <v>——(含)-100000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t="s">
        <v>3132</v>
      </c>
      <c r="D103" s="595">
        <v>100000</v>
      </c>
      <c r="E103" s="595">
        <v>200000</v>
      </c>
      <c r="F103" s="595">
        <v>300000</v>
      </c>
      <c r="G103" s="595"/>
      <c r="H103" s="595"/>
      <c r="I103" s="595"/>
      <c r="J103" s="596"/>
      <c r="K103" s="596"/>
      <c r="L103" s="597"/>
      <c r="M103" s="598"/>
      <c r="N103" s="1157"/>
      <c r="O103" s="1157"/>
      <c r="P103" s="2637"/>
      <c r="Q103" s="559"/>
    </row>
    <row r="104" spans="1:17" s="471" customFormat="1" ht="15.75" thickBot="1">
      <c r="A104" s="553"/>
      <c r="B104" s="543"/>
      <c r="C104" s="560">
        <v>100</v>
      </c>
      <c r="D104" s="536">
        <v>101</v>
      </c>
      <c r="E104" s="536">
        <v>102</v>
      </c>
      <c r="F104" s="536">
        <v>103</v>
      </c>
      <c r="G104" s="536"/>
      <c r="H104" s="536"/>
      <c r="I104" s="536"/>
      <c r="J104" s="536"/>
      <c r="K104" s="536"/>
      <c r="L104" s="536"/>
      <c r="M104" s="536"/>
      <c r="N104" s="1156"/>
      <c r="O104" s="1156"/>
      <c r="P104" s="2637"/>
      <c r="Q104" s="559"/>
    </row>
    <row r="105" spans="1:17" ht="15" thickTop="1">
      <c r="A105" s="599"/>
      <c r="B105" s="538" t="s">
        <v>2568</v>
      </c>
      <c r="C105" s="2952" t="s">
        <v>3108</v>
      </c>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6"/>
      <c r="Q106" s="504"/>
    </row>
    <row r="107" spans="1:17" ht="15" thickTop="1">
      <c r="A107" s="599"/>
      <c r="B107" s="538" t="s">
        <v>2569</v>
      </c>
      <c r="C107" s="2953" t="s">
        <v>3113</v>
      </c>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6"/>
      <c r="Q108" s="504"/>
    </row>
    <row r="109" spans="1:17" ht="15" thickTop="1">
      <c r="A109" s="599"/>
      <c r="B109" s="538" t="s">
        <v>2570</v>
      </c>
      <c r="C109" s="2952" t="s">
        <v>3109</v>
      </c>
      <c r="D109" s="2952" t="s">
        <v>3110</v>
      </c>
      <c r="E109" s="2952" t="s">
        <v>3111</v>
      </c>
      <c r="F109" s="2953" t="s">
        <v>3112</v>
      </c>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6"/>
      <c r="Q110" s="504"/>
    </row>
    <row r="111" spans="1:17" s="471" customFormat="1" ht="15" thickTop="1">
      <c r="A111" s="593"/>
      <c r="B111" s="538" t="s">
        <v>1960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2571</v>
      </c>
      <c r="C114" s="554" t="s">
        <v>3102</v>
      </c>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6"/>
      <c r="Q115" s="504"/>
    </row>
    <row r="116" spans="1:17" ht="15" thickTop="1">
      <c r="A116" s="599"/>
      <c r="B116" s="538" t="s">
        <v>2572</v>
      </c>
      <c r="C116" s="554" t="s">
        <v>3067</v>
      </c>
      <c r="D116" s="554" t="s">
        <v>3068</v>
      </c>
      <c r="E116" s="554" t="s">
        <v>3069</v>
      </c>
      <c r="F116" s="554" t="s">
        <v>3070</v>
      </c>
      <c r="G116" s="554" t="s">
        <v>3071</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2573</v>
      </c>
      <c r="C118" s="583" t="s">
        <v>3106</v>
      </c>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6"/>
      <c r="Q119" s="504"/>
    </row>
    <row r="120" spans="1:17" s="471" customFormat="1" ht="28.5" thickTop="1">
      <c r="A120" s="593"/>
      <c r="B120" s="538" t="s">
        <v>2529</v>
      </c>
      <c r="C120" s="554" t="s">
        <v>3106</v>
      </c>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7"/>
      <c r="Q121" s="559"/>
    </row>
    <row r="122" spans="1:17" ht="15" thickTop="1">
      <c r="A122" s="599"/>
      <c r="B122" s="538" t="s">
        <v>2574</v>
      </c>
      <c r="C122" s="2952" t="s">
        <v>3114</v>
      </c>
      <c r="D122" s="2952" t="s">
        <v>3115</v>
      </c>
      <c r="E122" s="2952" t="s">
        <v>3116</v>
      </c>
      <c r="F122" s="2953" t="s">
        <v>3117</v>
      </c>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94</v>
      </c>
      <c r="E123" s="544">
        <f t="shared" si="33"/>
        <v>88</v>
      </c>
      <c r="F123" s="544">
        <f t="shared" si="33"/>
        <v>82</v>
      </c>
      <c r="G123" s="544">
        <f t="shared" si="33"/>
        <v>76</v>
      </c>
      <c r="H123" s="544">
        <f t="shared" si="33"/>
        <v>70</v>
      </c>
      <c r="I123" s="544">
        <f t="shared" si="33"/>
        <v>64</v>
      </c>
      <c r="J123" s="544">
        <f t="shared" si="33"/>
        <v>58</v>
      </c>
      <c r="K123" s="544">
        <f t="shared" si="33"/>
        <v>52</v>
      </c>
      <c r="L123" s="544">
        <f t="shared" si="33"/>
        <v>46</v>
      </c>
      <c r="M123" s="544">
        <f t="shared" si="33"/>
        <v>40</v>
      </c>
      <c r="N123" s="1156"/>
      <c r="O123" s="1156"/>
      <c r="P123" s="2636"/>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6"/>
      <c r="Q125" s="504"/>
    </row>
    <row r="126" spans="1:17" s="471" customFormat="1" ht="15" thickTop="1">
      <c r="A126" s="593"/>
      <c r="B126" s="538" t="str">
        <f>B44</f>
        <v>特殊修正</v>
      </c>
      <c r="C126" s="2952" t="s">
        <v>3125</v>
      </c>
      <c r="D126" s="2952" t="s">
        <v>3126</v>
      </c>
      <c r="E126" s="554"/>
      <c r="F126" s="554"/>
      <c r="G126" s="554"/>
      <c r="H126" s="555"/>
      <c r="I126" s="555"/>
      <c r="J126" s="555"/>
      <c r="K126" s="555"/>
      <c r="L126" s="556"/>
      <c r="M126" s="557"/>
      <c r="N126" s="1157"/>
      <c r="O126" s="1157"/>
      <c r="P126" s="2637"/>
      <c r="Q126" s="559"/>
    </row>
    <row r="127" spans="1:17" s="471" customFormat="1" ht="15.75" thickBot="1">
      <c r="A127" s="553"/>
      <c r="B127" s="543"/>
      <c r="C127" s="560">
        <v>100</v>
      </c>
      <c r="D127" s="536">
        <v>115</v>
      </c>
      <c r="E127" s="536"/>
      <c r="F127" s="536"/>
      <c r="G127" s="560"/>
      <c r="H127" s="562"/>
      <c r="I127" s="562"/>
      <c r="J127" s="562"/>
      <c r="K127" s="562"/>
      <c r="L127" s="562"/>
      <c r="M127" s="563"/>
      <c r="N127" s="1157"/>
      <c r="O127" s="1157"/>
      <c r="P127" s="2637"/>
      <c r="Q127" s="559"/>
    </row>
    <row r="128" spans="1:17" ht="15" thickTop="1">
      <c r="A128" s="599"/>
      <c r="B128" s="538">
        <f>B45</f>
        <v>0</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0</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2576</v>
      </c>
    </row>
    <row r="137" spans="1:17" ht="15">
      <c r="B137" s="2644" t="s">
        <v>2577</v>
      </c>
      <c r="C137" s="2645"/>
      <c r="D137" s="2645"/>
      <c r="E137" s="2645"/>
      <c r="F137" s="2645"/>
      <c r="G137" s="2646"/>
      <c r="H137" s="2647"/>
      <c r="I137" s="2648" t="s">
        <v>2578</v>
      </c>
      <c r="J137" s="2645"/>
      <c r="K137" s="2649"/>
    </row>
    <row r="138" spans="1:17" ht="15">
      <c r="B138" s="2650"/>
      <c r="C138" s="146" t="s">
        <v>2579</v>
      </c>
      <c r="D138" s="146" t="s">
        <v>2580</v>
      </c>
      <c r="E138" s="2651" t="s">
        <v>2581</v>
      </c>
      <c r="F138" s="2652" t="s">
        <v>2582</v>
      </c>
      <c r="G138" s="146" t="s">
        <v>2580</v>
      </c>
      <c r="H138" s="147" t="s">
        <v>2581</v>
      </c>
      <c r="I138" s="2653"/>
      <c r="J138" s="146" t="s">
        <v>2583</v>
      </c>
      <c r="K138" s="147" t="s">
        <v>2584</v>
      </c>
    </row>
    <row r="139" spans="1:17" ht="15">
      <c r="B139" s="1087">
        <v>6</v>
      </c>
      <c r="C139" s="1088">
        <v>96</v>
      </c>
      <c r="D139" s="2654" t="s">
        <v>2585</v>
      </c>
      <c r="E139" s="1089">
        <v>100</v>
      </c>
      <c r="F139" s="1090">
        <v>102.5</v>
      </c>
      <c r="G139" s="2654" t="s">
        <v>2585</v>
      </c>
      <c r="H139" s="1091">
        <v>105</v>
      </c>
      <c r="I139" s="2655" t="s">
        <v>2586</v>
      </c>
      <c r="J139" s="1088">
        <v>20</v>
      </c>
      <c r="K139" s="1092">
        <f>C145/(J139-2)</f>
        <v>4.0555555555555553E-3</v>
      </c>
    </row>
    <row r="140" spans="1:17" ht="15">
      <c r="B140" s="1093">
        <v>5</v>
      </c>
      <c r="C140" s="1094">
        <v>100</v>
      </c>
      <c r="D140" s="1094"/>
      <c r="E140" s="1095"/>
      <c r="F140" s="1096">
        <v>102</v>
      </c>
      <c r="G140" s="1094"/>
      <c r="H140" s="1097"/>
      <c r="I140" s="2656" t="s">
        <v>2587</v>
      </c>
      <c r="J140" s="315">
        <f>ROUNDUP((J139-1)/2,0)</f>
        <v>10</v>
      </c>
      <c r="K140" s="1098">
        <v>100</v>
      </c>
    </row>
    <row r="141" spans="1:17" ht="15">
      <c r="B141" s="1093">
        <v>4</v>
      </c>
      <c r="C141" s="1094">
        <v>102</v>
      </c>
      <c r="D141" s="1094"/>
      <c r="E141" s="1095"/>
      <c r="F141" s="1096">
        <v>101.5</v>
      </c>
      <c r="G141" s="1094"/>
      <c r="H141" s="1097"/>
      <c r="I141" s="2656" t="s">
        <v>2588</v>
      </c>
      <c r="J141" s="315">
        <v>1</v>
      </c>
      <c r="K141" s="1099">
        <f>ROUND(100+(J141-J140)*K139*100,1)</f>
        <v>96.4</v>
      </c>
    </row>
    <row r="142" spans="1:17" ht="15">
      <c r="B142" s="1093">
        <v>3</v>
      </c>
      <c r="C142" s="1094">
        <v>103</v>
      </c>
      <c r="D142" s="1094"/>
      <c r="E142" s="1095"/>
      <c r="F142" s="1096">
        <v>101</v>
      </c>
      <c r="G142" s="1094"/>
      <c r="H142" s="1097"/>
      <c r="I142" s="2656" t="s">
        <v>2589</v>
      </c>
      <c r="J142" s="315">
        <f>J139</f>
        <v>20</v>
      </c>
      <c r="K142" s="1100">
        <v>95</v>
      </c>
    </row>
    <row r="143" spans="1:17" ht="15">
      <c r="B143" s="1093">
        <v>2</v>
      </c>
      <c r="C143" s="1094">
        <v>100</v>
      </c>
      <c r="D143" s="1094"/>
      <c r="E143" s="1095"/>
      <c r="F143" s="1096">
        <v>100.5</v>
      </c>
      <c r="G143" s="1094"/>
      <c r="H143" s="1097"/>
      <c r="I143" s="2656" t="s">
        <v>2590</v>
      </c>
      <c r="J143" s="1094">
        <v>15</v>
      </c>
      <c r="K143" s="1099">
        <f>ROUND(100+(J143-J140)*K139*100,1)</f>
        <v>102</v>
      </c>
    </row>
    <row r="144" spans="1:17" ht="15">
      <c r="B144" s="1093">
        <v>1</v>
      </c>
      <c r="C144" s="1094">
        <v>98</v>
      </c>
      <c r="D144" s="2657" t="s">
        <v>2591</v>
      </c>
      <c r="E144" s="1095">
        <v>102</v>
      </c>
      <c r="F144" s="1101">
        <v>100</v>
      </c>
      <c r="G144" s="2657" t="s">
        <v>2591</v>
      </c>
      <c r="H144" s="1097">
        <v>105</v>
      </c>
      <c r="I144" s="2656" t="s">
        <v>2590</v>
      </c>
      <c r="J144" s="1094">
        <v>18</v>
      </c>
      <c r="K144" s="1099">
        <f>ROUND(100+(J144-J140)*K139*100,1)</f>
        <v>103.2</v>
      </c>
    </row>
    <row r="145" spans="2:11" ht="15.75" thickBot="1">
      <c r="B145" s="2658" t="s">
        <v>2592</v>
      </c>
      <c r="C145" s="1102">
        <f>ROUND(MAX(C139:C144)/MIN(C139:C144)-1,3)</f>
        <v>7.2999999999999995E-2</v>
      </c>
      <c r="D145" s="1103"/>
      <c r="E145" s="1103"/>
      <c r="F145" s="2659" t="s">
        <v>2593</v>
      </c>
      <c r="G145" s="2660"/>
      <c r="H145" s="2661"/>
      <c r="I145" s="2662" t="s">
        <v>2590</v>
      </c>
      <c r="J145" s="1104">
        <v>8</v>
      </c>
      <c r="K145" s="1105">
        <f>ROUND(100+(J145-J140)*K139*100,1)</f>
        <v>99.2</v>
      </c>
    </row>
    <row r="147" spans="2:11">
      <c r="B147" s="2643" t="s">
        <v>2594</v>
      </c>
    </row>
    <row r="148" spans="2:11">
      <c r="B148" s="2643" t="s">
        <v>2595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8" t="s">
        <v>2596</v>
      </c>
      <c r="C1" s="1636" t="s">
        <v>2485</v>
      </c>
      <c r="D1" s="1623"/>
      <c r="E1" s="2663"/>
      <c r="F1" s="2590"/>
      <c r="G1" s="1633" t="s">
        <v>2597</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2285</v>
      </c>
      <c r="B2" s="1421" t="e">
        <f ca="1">IF(C2="——",ROUND(C49*D3/10000,0),ROUND(C49*D3/10000,0)-D2)</f>
        <v>#DIV/0!</v>
      </c>
      <c r="C2" s="2592"/>
      <c r="D2" s="1368" t="e">
        <f ca="1">SUMIF(INDIRECT("'"&amp;F2&amp;"'"&amp;"!A:A"),"承租人权益价值",INDIRECT("'"&amp;F2&amp;"'"&amp;"!c:c"))</f>
        <v>#REF!</v>
      </c>
      <c r="E2" s="2593" t="s">
        <v>2286</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2287</v>
      </c>
      <c r="B3" s="609" t="e">
        <f ca="1">IF(C2="——",C49,ROUND(B2*10000/D3,0))</f>
        <v>#DIV/0!</v>
      </c>
      <c r="C3" s="400" t="s">
        <v>2598</v>
      </c>
      <c r="D3" s="399">
        <f>IF(D1="",'数据-汇总表'!E3,SUMIF('数据-汇总表'!$C19:$C33,D1,'数据-汇总表'!$E19:$E33))</f>
        <v>44412.450000000026</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2599</v>
      </c>
      <c r="B4" s="402"/>
      <c r="C4" s="3210" t="s">
        <v>2600</v>
      </c>
      <c r="D4" s="3223"/>
      <c r="E4" s="3224" t="s">
        <v>2601</v>
      </c>
      <c r="F4" s="3225"/>
      <c r="G4" s="3210" t="s">
        <v>2602</v>
      </c>
      <c r="H4" s="3223"/>
      <c r="I4" s="3210" t="s">
        <v>2603</v>
      </c>
      <c r="J4" s="3223"/>
      <c r="K4" s="610" t="s">
        <v>2604</v>
      </c>
      <c r="L4" s="1133"/>
      <c r="M4" s="1134"/>
      <c r="N4" s="1134"/>
      <c r="O4" s="1134"/>
      <c r="P4" s="3226" t="s">
        <v>2605</v>
      </c>
      <c r="Q4" s="3227"/>
      <c r="R4" s="3232" t="s">
        <v>2601</v>
      </c>
      <c r="S4" s="3233"/>
      <c r="T4" s="3232" t="s">
        <v>2602</v>
      </c>
      <c r="U4" s="3233"/>
      <c r="V4" s="3219" t="s">
        <v>2603</v>
      </c>
      <c r="W4" s="3219"/>
      <c r="X4" s="1815"/>
      <c r="Y4" s="3232" t="s">
        <v>2605</v>
      </c>
      <c r="Z4" s="3233"/>
      <c r="AA4" s="3220" t="s">
        <v>2601</v>
      </c>
      <c r="AB4" s="3219" t="s">
        <v>2602</v>
      </c>
      <c r="AC4" s="3220" t="s">
        <v>2603</v>
      </c>
    </row>
    <row r="5" spans="1:29" ht="15">
      <c r="A5" s="404"/>
      <c r="B5" s="405"/>
      <c r="C5" s="3240" t="s">
        <v>2497</v>
      </c>
      <c r="D5" s="3241"/>
      <c r="E5" s="3248" t="s">
        <v>2498</v>
      </c>
      <c r="F5" s="3249"/>
      <c r="G5" s="3240" t="s">
        <v>2499</v>
      </c>
      <c r="H5" s="3241"/>
      <c r="I5" s="3240" t="s">
        <v>2500</v>
      </c>
      <c r="J5" s="3241"/>
      <c r="K5" s="610"/>
      <c r="L5" s="1133"/>
      <c r="M5" s="1134"/>
      <c r="N5" s="1134"/>
      <c r="O5" s="1134"/>
      <c r="P5" s="3228"/>
      <c r="Q5" s="3229"/>
      <c r="R5" s="3234"/>
      <c r="S5" s="3235"/>
      <c r="T5" s="3234"/>
      <c r="U5" s="3235"/>
      <c r="V5" s="3219"/>
      <c r="W5" s="3219"/>
      <c r="X5" s="1815"/>
      <c r="Y5" s="3234"/>
      <c r="Z5" s="3235"/>
      <c r="AA5" s="3221"/>
      <c r="AB5" s="3219"/>
      <c r="AC5" s="3221"/>
    </row>
    <row r="6" spans="1:29" ht="15.75" thickBot="1">
      <c r="A6" s="406"/>
      <c r="B6" s="407"/>
      <c r="C6" s="3238" t="s">
        <v>2501</v>
      </c>
      <c r="D6" s="3239"/>
      <c r="E6" s="3246" t="s">
        <v>2501</v>
      </c>
      <c r="F6" s="3247"/>
      <c r="G6" s="3238" t="s">
        <v>2501</v>
      </c>
      <c r="H6" s="3239"/>
      <c r="I6" s="3238" t="s">
        <v>2501</v>
      </c>
      <c r="J6" s="3239"/>
      <c r="K6" s="610" t="s">
        <v>2502</v>
      </c>
      <c r="L6" s="1133"/>
      <c r="M6" s="1134"/>
      <c r="N6" s="1134"/>
      <c r="O6" s="1134"/>
      <c r="P6" s="3230"/>
      <c r="Q6" s="3231"/>
      <c r="R6" s="3234"/>
      <c r="S6" s="3235"/>
      <c r="T6" s="3236"/>
      <c r="U6" s="3237"/>
      <c r="V6" s="3219"/>
      <c r="W6" s="3219"/>
      <c r="X6" s="1815"/>
      <c r="Y6" s="3236"/>
      <c r="Z6" s="3237"/>
      <c r="AA6" s="3222"/>
      <c r="AB6" s="3219"/>
      <c r="AC6" s="3222"/>
    </row>
    <row r="7" spans="1:29" s="117" customFormat="1" ht="15.75" thickBot="1">
      <c r="A7" s="408" t="s">
        <v>2503</v>
      </c>
      <c r="B7" s="409"/>
      <c r="C7" s="410">
        <f>'数据-取费表'!B2</f>
        <v>43321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2" t="s">
        <v>2504</v>
      </c>
      <c r="Q7" s="3244"/>
      <c r="R7" s="770" t="s">
        <v>17</v>
      </c>
      <c r="S7" s="771">
        <f t="shared" ref="S7:S15" si="0">F7</f>
        <v>0</v>
      </c>
      <c r="T7" s="770" t="s">
        <v>17</v>
      </c>
      <c r="U7" s="771">
        <f t="shared" ref="U7:U15" si="1">H7</f>
        <v>0</v>
      </c>
      <c r="V7" s="770" t="s">
        <v>17</v>
      </c>
      <c r="W7" s="771">
        <f t="shared" ref="W7:W15" si="2">J7</f>
        <v>0</v>
      </c>
      <c r="X7" s="772"/>
      <c r="Y7" s="3242" t="s">
        <v>2504</v>
      </c>
      <c r="Z7" s="3243"/>
      <c r="AA7" s="773" t="e">
        <f>D7/F7</f>
        <v>#DIV/0!</v>
      </c>
      <c r="AB7" s="773" t="e">
        <f>D7/H7</f>
        <v>#DIV/0!</v>
      </c>
      <c r="AC7" s="773" t="e">
        <f>D7/J7</f>
        <v>#DIV/0!</v>
      </c>
    </row>
    <row r="8" spans="1:29" s="117" customFormat="1" ht="15.75" thickBot="1">
      <c r="A8" s="408" t="s">
        <v>2505</v>
      </c>
      <c r="B8" s="409"/>
      <c r="C8" s="414" t="s">
        <v>2606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2" t="s">
        <v>2507</v>
      </c>
      <c r="Q8" s="3243"/>
      <c r="R8" s="770" t="s">
        <v>17</v>
      </c>
      <c r="S8" s="771">
        <f t="shared" si="0"/>
        <v>0</v>
      </c>
      <c r="T8" s="770" t="s">
        <v>17</v>
      </c>
      <c r="U8" s="771">
        <f t="shared" si="1"/>
        <v>0</v>
      </c>
      <c r="V8" s="770" t="s">
        <v>17</v>
      </c>
      <c r="W8" s="771">
        <f t="shared" si="2"/>
        <v>0</v>
      </c>
      <c r="X8" s="772"/>
      <c r="Y8" s="3242" t="s">
        <v>2507</v>
      </c>
      <c r="Z8" s="3243"/>
      <c r="AA8" s="773" t="e">
        <f t="shared" ref="AA8:AA46" si="3">D8/F8</f>
        <v>#DIV/0!</v>
      </c>
      <c r="AB8" s="773" t="e">
        <f t="shared" ref="AB8:AB46" si="4">D8/H8</f>
        <v>#DIV/0!</v>
      </c>
      <c r="AC8" s="773" t="e">
        <f t="shared" ref="AC8:AC46" si="5">D8/J8</f>
        <v>#DIV/0!</v>
      </c>
    </row>
    <row r="9" spans="1:29" s="117" customFormat="1">
      <c r="A9" s="415" t="s">
        <v>2508</v>
      </c>
      <c r="B9" s="71" t="s">
        <v>2509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2" t="s">
        <v>2510</v>
      </c>
      <c r="Q9" s="1797" t="str">
        <f t="shared" ref="Q9:Q15" si="6">B9</f>
        <v>用途</v>
      </c>
      <c r="R9" s="770" t="s">
        <v>17</v>
      </c>
      <c r="S9" s="771">
        <f t="shared" si="0"/>
        <v>100</v>
      </c>
      <c r="T9" s="770" t="s">
        <v>17</v>
      </c>
      <c r="U9" s="771">
        <f t="shared" si="1"/>
        <v>100</v>
      </c>
      <c r="V9" s="770" t="s">
        <v>17</v>
      </c>
      <c r="W9" s="771">
        <f t="shared" si="2"/>
        <v>100</v>
      </c>
      <c r="X9" s="772"/>
      <c r="Y9" s="3064"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2"/>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2"/>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2"/>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2"/>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2"/>
      <c r="Q14" s="1797">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99.75">
      <c r="A15" s="440" t="s">
        <v>2514</v>
      </c>
      <c r="B15" s="69" t="s">
        <v>2607</v>
      </c>
      <c r="C15" s="2609" t="str">
        <f>估价对象房地状况!C4</f>
        <v>估价对象位于新姚南路南侧，周边商业氛围一般，多为社区底商，人流量一般，商业繁华度一般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86" t="s">
        <v>2515</v>
      </c>
      <c r="Q15" s="1812" t="str">
        <f t="shared" si="6"/>
        <v>商业繁华度</v>
      </c>
      <c r="R15" s="774" t="s">
        <v>17</v>
      </c>
      <c r="S15" s="775">
        <f t="shared" si="0"/>
        <v>100</v>
      </c>
      <c r="T15" s="774" t="s">
        <v>17</v>
      </c>
      <c r="U15" s="775">
        <f t="shared" si="1"/>
        <v>100</v>
      </c>
      <c r="V15" s="774" t="s">
        <v>17</v>
      </c>
      <c r="W15" s="775">
        <f t="shared" si="2"/>
        <v>100</v>
      </c>
      <c r="X15" s="1815"/>
      <c r="Y15" s="3215" t="s">
        <v>2515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87"/>
      <c r="Q16" s="1812"/>
      <c r="R16" s="774"/>
      <c r="S16" s="775"/>
      <c r="T16" s="774"/>
      <c r="U16" s="775"/>
      <c r="V16" s="774"/>
      <c r="W16" s="775"/>
      <c r="X16" s="1815"/>
      <c r="Y16" s="3216"/>
      <c r="Z16" s="1816"/>
      <c r="AA16" s="1813">
        <v>1</v>
      </c>
      <c r="AB16" s="1813">
        <v>1</v>
      </c>
      <c r="AC16" s="1813">
        <v>1</v>
      </c>
    </row>
    <row r="17" spans="1:29" ht="114">
      <c r="A17" s="428"/>
      <c r="B17" s="451" t="s">
        <v>2056</v>
      </c>
      <c r="C17" s="2613" t="str">
        <f>估价对象房地状况!C6</f>
        <v>估价对象周边道路密集程度高、周边一公里内有20路、206路等、地铁1号线桂花坪站。停车便捷程度好，综合评价交通便捷度好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7"/>
      <c r="Q17" s="1812" t="str">
        <f>B17</f>
        <v>交通便捷度</v>
      </c>
      <c r="R17" s="774" t="s">
        <v>17</v>
      </c>
      <c r="S17" s="775">
        <f>F17</f>
        <v>100</v>
      </c>
      <c r="T17" s="774" t="s">
        <v>17</v>
      </c>
      <c r="U17" s="775">
        <f>H17</f>
        <v>100</v>
      </c>
      <c r="V17" s="774" t="s">
        <v>17</v>
      </c>
      <c r="W17" s="775">
        <f>J17</f>
        <v>100</v>
      </c>
      <c r="X17" s="1815"/>
      <c r="Y17" s="321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87"/>
      <c r="Q18" s="1812"/>
      <c r="R18" s="774"/>
      <c r="S18" s="775"/>
      <c r="T18" s="774"/>
      <c r="U18" s="775"/>
      <c r="V18" s="774"/>
      <c r="W18" s="775"/>
      <c r="X18" s="1815"/>
      <c r="Y18" s="3216"/>
      <c r="Z18" s="1816"/>
      <c r="AA18" s="1813">
        <v>1</v>
      </c>
      <c r="AB18" s="1813">
        <v>1</v>
      </c>
      <c r="AC18" s="1813">
        <v>1</v>
      </c>
    </row>
    <row r="19" spans="1:29" ht="42.75">
      <c r="A19" s="428"/>
      <c r="B19" s="451" t="s">
        <v>2608</v>
      </c>
      <c r="C19" s="2613" t="str">
        <f>估价对象房地状况!C7</f>
        <v>估价对象所在区域公共配套设施齐备度一般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7"/>
      <c r="Q19" s="1812" t="str">
        <f>B19</f>
        <v>公共配套设施</v>
      </c>
      <c r="R19" s="774" t="s">
        <v>17</v>
      </c>
      <c r="S19" s="775">
        <f>F19</f>
        <v>100</v>
      </c>
      <c r="T19" s="774" t="s">
        <v>17</v>
      </c>
      <c r="U19" s="775">
        <f>H19</f>
        <v>100</v>
      </c>
      <c r="V19" s="774" t="s">
        <v>17</v>
      </c>
      <c r="W19" s="775">
        <f>J19</f>
        <v>100</v>
      </c>
      <c r="X19" s="1815"/>
      <c r="Y19" s="321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87"/>
      <c r="Q20" s="1812"/>
      <c r="R20" s="774"/>
      <c r="S20" s="775"/>
      <c r="T20" s="774"/>
      <c r="U20" s="775"/>
      <c r="V20" s="774"/>
      <c r="W20" s="775"/>
      <c r="X20" s="1815"/>
      <c r="Y20" s="3216"/>
      <c r="Z20" s="1816"/>
      <c r="AA20" s="1813">
        <v>1</v>
      </c>
      <c r="AB20" s="1813">
        <v>1</v>
      </c>
      <c r="AC20" s="1813">
        <v>1</v>
      </c>
    </row>
    <row r="21" spans="1:29" ht="42.75">
      <c r="A21" s="428"/>
      <c r="B21" s="1387" t="s">
        <v>2609</v>
      </c>
      <c r="C21" s="2613"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7"/>
      <c r="Q21" s="1812" t="str">
        <f>B21</f>
        <v>基础设施水平</v>
      </c>
      <c r="R21" s="774" t="s">
        <v>17</v>
      </c>
      <c r="S21" s="775">
        <f>F21</f>
        <v>100</v>
      </c>
      <c r="T21" s="774" t="s">
        <v>17</v>
      </c>
      <c r="U21" s="775">
        <f>H21</f>
        <v>100</v>
      </c>
      <c r="V21" s="774" t="s">
        <v>17</v>
      </c>
      <c r="W21" s="775">
        <f>J21</f>
        <v>100</v>
      </c>
      <c r="X21" s="1815"/>
      <c r="Y21" s="321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87"/>
      <c r="Q22" s="1812"/>
      <c r="R22" s="774"/>
      <c r="S22" s="775"/>
      <c r="T22" s="774"/>
      <c r="U22" s="775"/>
      <c r="V22" s="774"/>
      <c r="W22" s="775"/>
      <c r="X22" s="1815"/>
      <c r="Y22" s="3216"/>
      <c r="Z22" s="1816"/>
      <c r="AA22" s="1813">
        <v>1</v>
      </c>
      <c r="AB22" s="1813">
        <v>1</v>
      </c>
      <c r="AC22" s="1813">
        <v>1</v>
      </c>
    </row>
    <row r="23" spans="1:29" ht="99.75">
      <c r="A23" s="428"/>
      <c r="B23" s="451" t="s">
        <v>2059</v>
      </c>
      <c r="C23" s="2670" t="str">
        <f>估价对象房地状况!C9</f>
        <v>区域自然环境：周边有宜春社区公园等；人文环境：周边有盛砚砚博物馆等；综合评价环境状况较好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7"/>
      <c r="Q23" s="1812" t="str">
        <f>B23</f>
        <v>自然及人文环境</v>
      </c>
      <c r="R23" s="774" t="s">
        <v>17</v>
      </c>
      <c r="S23" s="775">
        <f>F23</f>
        <v>100</v>
      </c>
      <c r="T23" s="774" t="s">
        <v>17</v>
      </c>
      <c r="U23" s="775">
        <f>H23</f>
        <v>100</v>
      </c>
      <c r="V23" s="774" t="s">
        <v>17</v>
      </c>
      <c r="W23" s="775">
        <f>J23</f>
        <v>100</v>
      </c>
      <c r="X23" s="1815"/>
      <c r="Y23" s="3216"/>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87"/>
      <c r="Q24" s="1812"/>
      <c r="R24" s="774"/>
      <c r="S24" s="775"/>
      <c r="T24" s="774"/>
      <c r="U24" s="775"/>
      <c r="V24" s="774"/>
      <c r="W24" s="775"/>
      <c r="X24" s="1815"/>
      <c r="Y24" s="3216"/>
      <c r="Z24" s="1816"/>
      <c r="AA24" s="1813">
        <v>1</v>
      </c>
      <c r="AB24" s="1813">
        <v>1</v>
      </c>
      <c r="AC24" s="1813">
        <v>1</v>
      </c>
    </row>
    <row r="25" spans="1:29" ht="15">
      <c r="A25" s="428"/>
      <c r="B25" s="422" t="s">
        <v>2610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7"/>
      <c r="Q25" s="1812" t="str">
        <f t="shared" ref="Q25:Q46" si="11">B25</f>
        <v>临街状况</v>
      </c>
      <c r="R25" s="774" t="s">
        <v>17</v>
      </c>
      <c r="S25" s="775">
        <f>F25</f>
        <v>100</v>
      </c>
      <c r="T25" s="774" t="s">
        <v>17</v>
      </c>
      <c r="U25" s="775">
        <f>H25</f>
        <v>100</v>
      </c>
      <c r="V25" s="774" t="s">
        <v>17</v>
      </c>
      <c r="W25" s="775">
        <f>J25</f>
        <v>100</v>
      </c>
      <c r="X25" s="1815"/>
      <c r="Y25" s="3216"/>
      <c r="Z25" s="1816" t="str">
        <f>Q25</f>
        <v>临街状况</v>
      </c>
      <c r="AA25" s="1813">
        <f t="shared" si="3"/>
        <v>1</v>
      </c>
      <c r="AB25" s="1813">
        <f t="shared" si="4"/>
        <v>1</v>
      </c>
      <c r="AC25" s="1813">
        <f t="shared" si="5"/>
        <v>1</v>
      </c>
    </row>
    <row r="26" spans="1:29" ht="15">
      <c r="A26" s="428"/>
      <c r="B26" s="1389" t="s">
        <v>2611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7"/>
      <c r="Q26" s="1812" t="str">
        <f t="shared" si="11"/>
        <v>平面位置/可视性</v>
      </c>
      <c r="R26" s="774" t="s">
        <v>17</v>
      </c>
      <c r="S26" s="775">
        <f>F26</f>
        <v>100</v>
      </c>
      <c r="T26" s="774" t="s">
        <v>17</v>
      </c>
      <c r="U26" s="775">
        <f>H26</f>
        <v>100</v>
      </c>
      <c r="V26" s="774" t="s">
        <v>17</v>
      </c>
      <c r="W26" s="775">
        <f>J26</f>
        <v>100</v>
      </c>
      <c r="X26" s="1815"/>
      <c r="Y26" s="3216"/>
      <c r="Z26" s="1816" t="str">
        <f>Q26</f>
        <v>平面位置/可视性</v>
      </c>
      <c r="AA26" s="1813">
        <f t="shared" si="3"/>
        <v>1</v>
      </c>
      <c r="AB26" s="1813">
        <f t="shared" si="4"/>
        <v>1</v>
      </c>
      <c r="AC26" s="1813">
        <f t="shared" si="5"/>
        <v>1</v>
      </c>
    </row>
    <row r="27" spans="1:29" s="117" customFormat="1" ht="15">
      <c r="A27" s="431"/>
      <c r="B27" s="451" t="s">
        <v>2612</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87"/>
      <c r="Q27" s="1797" t="str">
        <f t="shared" si="11"/>
        <v>人流量</v>
      </c>
      <c r="R27" s="770" t="s">
        <v>17</v>
      </c>
      <c r="S27" s="771">
        <f>F27</f>
        <v>100</v>
      </c>
      <c r="T27" s="770" t="s">
        <v>17</v>
      </c>
      <c r="U27" s="771">
        <f>H27</f>
        <v>100</v>
      </c>
      <c r="V27" s="770" t="s">
        <v>17</v>
      </c>
      <c r="W27" s="771">
        <f>J27</f>
        <v>100</v>
      </c>
      <c r="X27" s="772"/>
      <c r="Y27" s="3216"/>
      <c r="Z27" s="55" t="str">
        <f>Q27</f>
        <v>人流量</v>
      </c>
      <c r="AA27" s="1813">
        <f>D27/F27</f>
        <v>1</v>
      </c>
      <c r="AB27" s="1813">
        <f>D27/H27</f>
        <v>1</v>
      </c>
      <c r="AC27" s="1813">
        <f>D27/J27</f>
        <v>1</v>
      </c>
    </row>
    <row r="28" spans="1:29" ht="15">
      <c r="A28" s="428"/>
      <c r="B28" s="422" t="s">
        <v>2613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7"/>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16"/>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7"/>
      <c r="Q29" s="1812">
        <f t="shared" si="11"/>
        <v>111</v>
      </c>
      <c r="R29" s="774" t="s">
        <v>17</v>
      </c>
      <c r="S29" s="775">
        <f t="shared" si="12"/>
        <v>100</v>
      </c>
      <c r="T29" s="774" t="s">
        <v>17</v>
      </c>
      <c r="U29" s="775">
        <f t="shared" si="13"/>
        <v>100</v>
      </c>
      <c r="V29" s="774" t="s">
        <v>17</v>
      </c>
      <c r="W29" s="775">
        <f t="shared" si="14"/>
        <v>100</v>
      </c>
      <c r="X29" s="1815"/>
      <c r="Y29" s="3216"/>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7"/>
      <c r="Q30" s="1812">
        <f t="shared" si="11"/>
        <v>111</v>
      </c>
      <c r="R30" s="774" t="s">
        <v>17</v>
      </c>
      <c r="S30" s="775">
        <f t="shared" si="12"/>
        <v>100</v>
      </c>
      <c r="T30" s="774" t="s">
        <v>17</v>
      </c>
      <c r="U30" s="775">
        <f t="shared" si="13"/>
        <v>100</v>
      </c>
      <c r="V30" s="774" t="s">
        <v>17</v>
      </c>
      <c r="W30" s="775">
        <f t="shared" si="14"/>
        <v>100</v>
      </c>
      <c r="X30" s="1815"/>
      <c r="Y30" s="3216"/>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7"/>
      <c r="Q31" s="1812">
        <f t="shared" si="11"/>
        <v>111</v>
      </c>
      <c r="R31" s="774" t="s">
        <v>17</v>
      </c>
      <c r="S31" s="775">
        <f t="shared" si="12"/>
        <v>100</v>
      </c>
      <c r="T31" s="774" t="s">
        <v>17</v>
      </c>
      <c r="U31" s="775">
        <f t="shared" si="13"/>
        <v>100</v>
      </c>
      <c r="V31" s="774" t="s">
        <v>17</v>
      </c>
      <c r="W31" s="775">
        <f t="shared" si="14"/>
        <v>100</v>
      </c>
      <c r="X31" s="1815"/>
      <c r="Y31" s="3216"/>
      <c r="Z31" s="1816">
        <f t="shared" si="15"/>
        <v>111</v>
      </c>
      <c r="AA31" s="1813">
        <f t="shared" si="3"/>
        <v>1</v>
      </c>
      <c r="AB31" s="1813">
        <f t="shared" si="4"/>
        <v>1</v>
      </c>
      <c r="AC31" s="1813">
        <f t="shared" si="5"/>
        <v>1</v>
      </c>
    </row>
    <row r="32" spans="1:29" ht="15">
      <c r="A32" s="440" t="s">
        <v>2518</v>
      </c>
      <c r="B32" s="71" t="s">
        <v>2614</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82" t="s">
        <v>2520</v>
      </c>
      <c r="Q32" s="1812" t="str">
        <f t="shared" si="11"/>
        <v>商业类型</v>
      </c>
      <c r="R32" s="774" t="s">
        <v>17</v>
      </c>
      <c r="S32" s="775">
        <f t="shared" si="12"/>
        <v>100</v>
      </c>
      <c r="T32" s="774" t="s">
        <v>17</v>
      </c>
      <c r="U32" s="775">
        <f t="shared" si="13"/>
        <v>100</v>
      </c>
      <c r="V32" s="774" t="s">
        <v>17</v>
      </c>
      <c r="W32" s="775">
        <f t="shared" si="14"/>
        <v>100</v>
      </c>
      <c r="X32" s="1815"/>
      <c r="Y32" s="3218" t="s">
        <v>2520</v>
      </c>
      <c r="Z32" s="1816" t="str">
        <f t="shared" si="15"/>
        <v>商业类型</v>
      </c>
      <c r="AA32" s="1813">
        <f t="shared" si="3"/>
        <v>1</v>
      </c>
      <c r="AB32" s="1813">
        <f t="shared" si="4"/>
        <v>1</v>
      </c>
      <c r="AC32" s="1813">
        <f t="shared" si="5"/>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83"/>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3" t="e">
        <f t="shared" si="3"/>
        <v>#N/A</v>
      </c>
      <c r="AB33" s="1813" t="e">
        <f t="shared" si="4"/>
        <v>#N/A</v>
      </c>
      <c r="AC33" s="1813" t="e">
        <f t="shared" si="5"/>
        <v>#N/A</v>
      </c>
    </row>
    <row r="34" spans="1:29" ht="15">
      <c r="A34" s="472"/>
      <c r="B34" s="422" t="s">
        <v>2522</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83"/>
      <c r="Q34" s="1812" t="str">
        <f t="shared" si="11"/>
        <v>建筑结构</v>
      </c>
      <c r="R34" s="774" t="s">
        <v>17</v>
      </c>
      <c r="S34" s="775">
        <f t="shared" si="12"/>
        <v>100</v>
      </c>
      <c r="T34" s="774" t="s">
        <v>17</v>
      </c>
      <c r="U34" s="775">
        <f t="shared" si="13"/>
        <v>100</v>
      </c>
      <c r="V34" s="774" t="s">
        <v>17</v>
      </c>
      <c r="W34" s="775">
        <f t="shared" si="14"/>
        <v>100</v>
      </c>
      <c r="X34" s="1815"/>
      <c r="Y34" s="3218"/>
      <c r="Z34" s="1816" t="str">
        <f t="shared" si="15"/>
        <v>建筑结构</v>
      </c>
      <c r="AA34" s="1813">
        <f t="shared" si="3"/>
        <v>1</v>
      </c>
      <c r="AB34" s="1813">
        <f t="shared" si="4"/>
        <v>1</v>
      </c>
      <c r="AC34" s="1813">
        <f t="shared" si="5"/>
        <v>1</v>
      </c>
    </row>
    <row r="35" spans="1:29" ht="15">
      <c r="A35" s="472"/>
      <c r="B35" s="422" t="s">
        <v>2615</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83"/>
      <c r="Q35" s="1812" t="str">
        <f t="shared" si="11"/>
        <v>公共部分装修</v>
      </c>
      <c r="R35" s="774" t="s">
        <v>17</v>
      </c>
      <c r="S35" s="775">
        <f t="shared" si="12"/>
        <v>100</v>
      </c>
      <c r="T35" s="774" t="s">
        <v>17</v>
      </c>
      <c r="U35" s="775">
        <f t="shared" si="13"/>
        <v>100</v>
      </c>
      <c r="V35" s="774" t="s">
        <v>17</v>
      </c>
      <c r="W35" s="775">
        <f t="shared" si="14"/>
        <v>100</v>
      </c>
      <c r="X35" s="1815"/>
      <c r="Y35" s="3218"/>
      <c r="Z35" s="1816" t="str">
        <f t="shared" si="15"/>
        <v>公共部分装修</v>
      </c>
      <c r="AA35" s="1813">
        <f t="shared" si="3"/>
        <v>1</v>
      </c>
      <c r="AB35" s="1813">
        <f t="shared" si="4"/>
        <v>1</v>
      </c>
      <c r="AC35" s="1813">
        <f t="shared" si="5"/>
        <v>1</v>
      </c>
    </row>
    <row r="36" spans="1:29" ht="15">
      <c r="A36" s="472"/>
      <c r="B36" s="422" t="s">
        <v>2616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83"/>
      <c r="Q36" s="1812" t="str">
        <f t="shared" si="11"/>
        <v>成新度</v>
      </c>
      <c r="R36" s="774" t="s">
        <v>17</v>
      </c>
      <c r="S36" s="775" t="e">
        <f t="shared" si="12"/>
        <v>#N/A</v>
      </c>
      <c r="T36" s="774" t="s">
        <v>17</v>
      </c>
      <c r="U36" s="775" t="e">
        <f t="shared" si="13"/>
        <v>#N/A</v>
      </c>
      <c r="V36" s="774" t="s">
        <v>17</v>
      </c>
      <c r="W36" s="775" t="e">
        <f t="shared" si="14"/>
        <v>#N/A</v>
      </c>
      <c r="X36" s="1815"/>
      <c r="Y36" s="3218"/>
      <c r="Z36" s="1816" t="str">
        <f t="shared" si="15"/>
        <v>成新度</v>
      </c>
      <c r="AA36" s="1813" t="e">
        <f t="shared" si="3"/>
        <v>#N/A</v>
      </c>
      <c r="AB36" s="1813" t="e">
        <f t="shared" si="4"/>
        <v>#N/A</v>
      </c>
      <c r="AC36" s="1813" t="e">
        <f t="shared" si="5"/>
        <v>#N/A</v>
      </c>
    </row>
    <row r="37" spans="1:29" s="117" customFormat="1" ht="15">
      <c r="A37" s="473"/>
      <c r="B37" s="422" t="s">
        <v>2617</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83"/>
      <c r="Q37" s="1797"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2618</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83" t="s">
        <v>2520</v>
      </c>
      <c r="Q38" s="1812" t="str">
        <f t="shared" si="11"/>
        <v>业态</v>
      </c>
      <c r="R38" s="774" t="s">
        <v>17</v>
      </c>
      <c r="S38" s="775">
        <f t="shared" si="12"/>
        <v>100</v>
      </c>
      <c r="T38" s="774" t="s">
        <v>17</v>
      </c>
      <c r="U38" s="775">
        <f t="shared" si="13"/>
        <v>100</v>
      </c>
      <c r="V38" s="774" t="s">
        <v>17</v>
      </c>
      <c r="W38" s="775">
        <f t="shared" si="14"/>
        <v>100</v>
      </c>
      <c r="X38" s="1815"/>
      <c r="Y38" s="3218" t="s">
        <v>2520</v>
      </c>
      <c r="Z38" s="1816" t="str">
        <f t="shared" si="15"/>
        <v>业态</v>
      </c>
      <c r="AA38" s="1813">
        <f t="shared" si="3"/>
        <v>1</v>
      </c>
      <c r="AB38" s="1813">
        <f t="shared" si="4"/>
        <v>1</v>
      </c>
      <c r="AC38" s="1813">
        <f t="shared" si="5"/>
        <v>1</v>
      </c>
    </row>
    <row r="39" spans="1:29" ht="15">
      <c r="A39" s="472"/>
      <c r="B39" s="422" t="s">
        <v>2619</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83"/>
      <c r="Q39" s="1812" t="str">
        <f t="shared" si="11"/>
        <v>层高</v>
      </c>
      <c r="R39" s="774" t="s">
        <v>17</v>
      </c>
      <c r="S39" s="775">
        <f t="shared" si="12"/>
        <v>100</v>
      </c>
      <c r="T39" s="774" t="s">
        <v>17</v>
      </c>
      <c r="U39" s="775">
        <f t="shared" si="13"/>
        <v>100</v>
      </c>
      <c r="V39" s="774" t="s">
        <v>17</v>
      </c>
      <c r="W39" s="775">
        <f t="shared" si="14"/>
        <v>100</v>
      </c>
      <c r="X39" s="1815"/>
      <c r="Y39" s="3218"/>
      <c r="Z39" s="1816" t="str">
        <f t="shared" si="15"/>
        <v>层高</v>
      </c>
      <c r="AA39" s="1813">
        <f t="shared" si="3"/>
        <v>1</v>
      </c>
      <c r="AB39" s="1813">
        <f t="shared" si="4"/>
        <v>1</v>
      </c>
      <c r="AC39" s="1813">
        <f t="shared" si="5"/>
        <v>1</v>
      </c>
    </row>
    <row r="40" spans="1:29" ht="15">
      <c r="A40" s="472"/>
      <c r="B40" s="422" t="s">
        <v>2620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83"/>
      <c r="Q40" s="1812" t="str">
        <f t="shared" si="11"/>
        <v>单套建筑面积</v>
      </c>
      <c r="R40" s="774" t="s">
        <v>17</v>
      </c>
      <c r="S40" s="775">
        <f t="shared" si="12"/>
        <v>100</v>
      </c>
      <c r="T40" s="774" t="s">
        <v>17</v>
      </c>
      <c r="U40" s="775">
        <f t="shared" si="13"/>
        <v>100</v>
      </c>
      <c r="V40" s="774" t="s">
        <v>17</v>
      </c>
      <c r="W40" s="775">
        <f t="shared" si="14"/>
        <v>100</v>
      </c>
      <c r="X40" s="1815"/>
      <c r="Y40" s="3218"/>
      <c r="Z40" s="1816" t="str">
        <f t="shared" si="15"/>
        <v>单套建筑面积</v>
      </c>
      <c r="AA40" s="1813">
        <f t="shared" si="3"/>
        <v>1</v>
      </c>
      <c r="AB40" s="1813">
        <f t="shared" si="4"/>
        <v>1</v>
      </c>
      <c r="AC40" s="1813">
        <f t="shared" si="5"/>
        <v>1</v>
      </c>
    </row>
    <row r="41" spans="1:29" s="471" customFormat="1" ht="15">
      <c r="A41" s="468"/>
      <c r="B41" s="1814" t="s">
        <v>2621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83"/>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3">
        <f t="shared" si="3"/>
        <v>1</v>
      </c>
      <c r="AB41" s="1813">
        <f t="shared" si="4"/>
        <v>1</v>
      </c>
      <c r="AC41" s="1813">
        <f t="shared" si="5"/>
        <v>1</v>
      </c>
    </row>
    <row r="42" spans="1:29" ht="15">
      <c r="A42" s="472"/>
      <c r="B42" s="422" t="s">
        <v>2622</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83"/>
      <c r="Q42" s="1812" t="str">
        <f t="shared" si="11"/>
        <v>内部装修</v>
      </c>
      <c r="R42" s="774" t="s">
        <v>17</v>
      </c>
      <c r="S42" s="775">
        <f t="shared" si="12"/>
        <v>100</v>
      </c>
      <c r="T42" s="774" t="s">
        <v>17</v>
      </c>
      <c r="U42" s="775">
        <f t="shared" si="13"/>
        <v>100</v>
      </c>
      <c r="V42" s="774" t="s">
        <v>17</v>
      </c>
      <c r="W42" s="775">
        <f t="shared" si="14"/>
        <v>100</v>
      </c>
      <c r="X42" s="1815"/>
      <c r="Y42" s="3218"/>
      <c r="Z42" s="1816" t="str">
        <f t="shared" si="15"/>
        <v>内部装修</v>
      </c>
      <c r="AA42" s="1813">
        <f t="shared" si="3"/>
        <v>1</v>
      </c>
      <c r="AB42" s="1813">
        <f t="shared" si="4"/>
        <v>1</v>
      </c>
      <c r="AC42" s="1813">
        <f t="shared" si="5"/>
        <v>1</v>
      </c>
    </row>
    <row r="43" spans="1:29" ht="15">
      <c r="A43" s="472"/>
      <c r="B43" s="422" t="s">
        <v>2531</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83"/>
      <c r="Q43" s="1812" t="str">
        <f t="shared" si="11"/>
        <v>内部装修维护情况</v>
      </c>
      <c r="R43" s="774" t="s">
        <v>17</v>
      </c>
      <c r="S43" s="775">
        <f t="shared" si="12"/>
        <v>100</v>
      </c>
      <c r="T43" s="774" t="s">
        <v>17</v>
      </c>
      <c r="U43" s="775">
        <f t="shared" si="13"/>
        <v>100</v>
      </c>
      <c r="V43" s="774" t="s">
        <v>17</v>
      </c>
      <c r="W43" s="775">
        <f t="shared" si="14"/>
        <v>100</v>
      </c>
      <c r="X43" s="1815"/>
      <c r="Y43" s="321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83"/>
      <c r="Q44" s="1797">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83"/>
      <c r="Q45" s="1812">
        <f t="shared" si="11"/>
        <v>111</v>
      </c>
      <c r="R45" s="774" t="s">
        <v>17</v>
      </c>
      <c r="S45" s="775">
        <f t="shared" si="12"/>
        <v>100</v>
      </c>
      <c r="T45" s="774" t="s">
        <v>17</v>
      </c>
      <c r="U45" s="775">
        <f t="shared" si="13"/>
        <v>100</v>
      </c>
      <c r="V45" s="774" t="s">
        <v>17</v>
      </c>
      <c r="W45" s="775">
        <f t="shared" si="14"/>
        <v>100</v>
      </c>
      <c r="X45" s="1815"/>
      <c r="Y45" s="3218"/>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84"/>
      <c r="Q46" s="1812">
        <f t="shared" si="11"/>
        <v>111</v>
      </c>
      <c r="R46" s="774" t="s">
        <v>17</v>
      </c>
      <c r="S46" s="775">
        <f t="shared" si="12"/>
        <v>100</v>
      </c>
      <c r="T46" s="774" t="s">
        <v>17</v>
      </c>
      <c r="U46" s="775">
        <f t="shared" si="13"/>
        <v>100</v>
      </c>
      <c r="V46" s="774" t="s">
        <v>17</v>
      </c>
      <c r="W46" s="775">
        <f t="shared" si="14"/>
        <v>100</v>
      </c>
      <c r="X46" s="1815"/>
      <c r="Y46" s="3285"/>
      <c r="Z46" s="1816">
        <f t="shared" si="15"/>
        <v>111</v>
      </c>
      <c r="AA46" s="1813">
        <f t="shared" si="3"/>
        <v>1</v>
      </c>
      <c r="AB46" s="1813">
        <f t="shared" si="4"/>
        <v>1</v>
      </c>
      <c r="AC46" s="1813">
        <f t="shared" si="5"/>
        <v>1</v>
      </c>
    </row>
    <row r="47" spans="1:29" ht="15">
      <c r="A47" s="479" t="s">
        <v>2532</v>
      </c>
      <c r="B47" s="480"/>
      <c r="C47" s="1410" t="s">
        <v>1</v>
      </c>
      <c r="D47" s="1411"/>
      <c r="E47" s="1412"/>
      <c r="F47" s="1413"/>
      <c r="G47" s="1414"/>
      <c r="H47" s="1415"/>
      <c r="I47" s="1412"/>
      <c r="J47" s="1415"/>
      <c r="K47" s="783"/>
      <c r="L47" s="1146"/>
      <c r="M47" s="1147"/>
      <c r="N47" s="1134"/>
      <c r="O47" s="1147"/>
      <c r="P47" s="3213" t="str">
        <f>A47</f>
        <v>成交单价（元/平方米）</v>
      </c>
      <c r="Q47" s="3213"/>
      <c r="R47" s="3219">
        <f>E47</f>
        <v>0</v>
      </c>
      <c r="S47" s="3219"/>
      <c r="T47" s="3219">
        <f>G47</f>
        <v>0</v>
      </c>
      <c r="U47" s="3219"/>
      <c r="V47" s="3219">
        <f>I47</f>
        <v>0</v>
      </c>
      <c r="W47" s="3219"/>
      <c r="X47" s="759"/>
      <c r="Y47" s="781"/>
      <c r="Z47" s="759"/>
      <c r="AA47" s="759"/>
      <c r="AB47" s="759"/>
      <c r="AC47" s="759"/>
    </row>
    <row r="48" spans="1:29" ht="15.75" thickBot="1">
      <c r="A48" s="486" t="s">
        <v>2623</v>
      </c>
      <c r="B48" s="487"/>
      <c r="C48" s="1416" t="e">
        <f>R49</f>
        <v>#DIV/0!</v>
      </c>
      <c r="D48" s="1417"/>
      <c r="E48" s="1418" t="e">
        <f>R48</f>
        <v>#DIV/0!</v>
      </c>
      <c r="F48" s="1418"/>
      <c r="G48" s="1416" t="e">
        <f>T48</f>
        <v>#DIV/0!</v>
      </c>
      <c r="H48" s="1417"/>
      <c r="I48" s="1418" t="e">
        <f>V48</f>
        <v>#DIV/0!</v>
      </c>
      <c r="J48" s="1417"/>
      <c r="K48" s="784"/>
      <c r="L48" s="1146"/>
      <c r="M48" s="1147"/>
      <c r="N48" s="1134"/>
      <c r="O48" s="1147"/>
      <c r="P48" s="3213" t="str">
        <f>A48</f>
        <v>比较价值（元/平方米）</v>
      </c>
      <c r="Q48" s="3213"/>
      <c r="R48" s="3281" t="e">
        <f>IF(F1="售价",ROUND(PRODUCT(R47,AA7:AA46),0),ROUND(PRODUCT(R47,AA7:AA46),1))</f>
        <v>#DIV/0!</v>
      </c>
      <c r="S48" s="3281"/>
      <c r="T48" s="3281" t="e">
        <f>IF(F1="售价",ROUND(PRODUCT(T47,AB7:AB46),0),ROUND(PRODUCT(T47,AB7:AB46),1))</f>
        <v>#DIV/0!</v>
      </c>
      <c r="U48" s="3281"/>
      <c r="V48" s="3281" t="e">
        <f>IF(F1="售价",ROUND(PRODUCT(V47,AC7:AC46),0),ROUND(PRODUCT(V47,AC7:AC46),1))</f>
        <v>#DIV/0!</v>
      </c>
      <c r="W48" s="3281"/>
      <c r="X48" s="759"/>
      <c r="Y48" s="759"/>
      <c r="Z48" s="759"/>
      <c r="AA48" s="759"/>
      <c r="AB48" s="759"/>
      <c r="AC48" s="759"/>
    </row>
    <row r="49" spans="1:29" ht="15.75" thickBot="1">
      <c r="A49" s="492" t="s">
        <v>2624</v>
      </c>
      <c r="B49" s="493"/>
      <c r="C49" s="1420" t="e">
        <f>R49</f>
        <v>#DIV/0!</v>
      </c>
      <c r="D49" s="1420"/>
      <c r="E49" s="1420"/>
      <c r="F49" s="1420"/>
      <c r="G49" s="1420"/>
      <c r="H49" s="1420"/>
      <c r="I49" s="1420"/>
      <c r="J49" s="1420"/>
      <c r="K49" s="785"/>
      <c r="L49" s="1146"/>
      <c r="M49" s="1147"/>
      <c r="N49" s="1134"/>
      <c r="O49" s="1147"/>
      <c r="P49" s="3207" t="str">
        <f>A49</f>
        <v>估价对象XX用房的比较价值（楼面单价，元/平方米）</v>
      </c>
      <c r="Q49" s="3208"/>
      <c r="R49" s="3280" t="e">
        <f>IF(F1="售价",ROUND(AVERAGE(R48:V48),0),ROUND(AVERAGE(R48:V48),1))</f>
        <v>#DIV/0!</v>
      </c>
      <c r="S49" s="3280"/>
      <c r="T49" s="3280"/>
      <c r="U49" s="3280"/>
      <c r="V49" s="3280"/>
      <c r="W49" s="328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2628</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2503</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2539</v>
      </c>
      <c r="B60" s="516"/>
      <c r="C60" s="517"/>
      <c r="D60" s="518"/>
      <c r="E60" s="518"/>
      <c r="F60" s="518"/>
      <c r="G60" s="518"/>
      <c r="H60" s="518"/>
      <c r="I60" s="518"/>
      <c r="J60" s="518"/>
      <c r="K60" s="518"/>
      <c r="L60" s="518"/>
      <c r="M60" s="519"/>
      <c r="N60" s="518"/>
      <c r="O60" s="519"/>
      <c r="P60" s="2634"/>
      <c r="Q60" s="504"/>
    </row>
    <row r="61" spans="1:29" s="117" customFormat="1" ht="15">
      <c r="A61" s="521" t="s">
        <v>2505</v>
      </c>
      <c r="B61" s="510"/>
      <c r="C61" s="522" t="s">
        <v>2606</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2542</v>
      </c>
      <c r="B63" s="528" t="s">
        <v>2509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2513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2609</v>
      </c>
      <c r="C82" s="660" t="s">
        <v>2629</v>
      </c>
      <c r="D82" s="660" t="s">
        <v>2630</v>
      </c>
      <c r="E82" s="660" t="s">
        <v>2631</v>
      </c>
      <c r="F82" s="660" t="s">
        <v>2632</v>
      </c>
      <c r="G82" s="660" t="s">
        <v>2633</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2634</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2518</v>
      </c>
      <c r="B100" s="528" t="s">
        <v>2635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2567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2568</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2570</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1960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2572</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2636</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2637</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2638</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2639</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2574</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75" t="s">
        <v>2640</v>
      </c>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IF(C2="——",ROUND(C50*D3/10000,0),ROUND(C50*D3/10000,0)-D2)</f>
        <v>#DIV/0!</v>
      </c>
      <c r="C2" s="2592"/>
      <c r="D2" s="1368" t="e">
        <f ca="1">SUMIF(INDIRECT("'"&amp;F2&amp;"'"&amp;"!A:A"),"承租人权益价值",INDIRECT("'"&amp;F2&amp;"'"&amp;"!c:c"))</f>
        <v>#REF!</v>
      </c>
      <c r="E2" s="2593" t="s">
        <v>2286</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 ca="1">IF(C2="——",C50,ROUND(B2*10000/D3,0))</f>
        <v>#DIV/0!</v>
      </c>
      <c r="C3" s="400" t="s">
        <v>2598</v>
      </c>
      <c r="D3" s="399">
        <f>IF(D1="",'数据-汇总表'!E3,SUMIF('数据-汇总表'!$C19:$C33,D1,'数据-汇总表'!$E19:$E33))</f>
        <v>44412.450000000026</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2599</v>
      </c>
      <c r="B4" s="402"/>
      <c r="C4" s="3210" t="s">
        <v>2600</v>
      </c>
      <c r="D4" s="3223"/>
      <c r="E4" s="3224" t="s">
        <v>2601</v>
      </c>
      <c r="F4" s="3225"/>
      <c r="G4" s="3210" t="s">
        <v>2602</v>
      </c>
      <c r="H4" s="3223"/>
      <c r="I4" s="3210" t="s">
        <v>2603</v>
      </c>
      <c r="J4" s="3223"/>
      <c r="K4" s="610" t="s">
        <v>2604</v>
      </c>
      <c r="L4" s="1133"/>
      <c r="M4" s="1134"/>
      <c r="N4" s="1134"/>
      <c r="O4" s="1134"/>
      <c r="P4" s="3294" t="s">
        <v>2605</v>
      </c>
      <c r="Q4" s="3295"/>
      <c r="R4" s="3298" t="s">
        <v>2601</v>
      </c>
      <c r="S4" s="3299"/>
      <c r="T4" s="3298" t="s">
        <v>2602</v>
      </c>
      <c r="U4" s="3299"/>
      <c r="V4" s="3300" t="s">
        <v>2603</v>
      </c>
      <c r="W4" s="3300"/>
      <c r="X4" s="2676"/>
      <c r="Y4" s="3298" t="s">
        <v>2605</v>
      </c>
      <c r="Z4" s="3299"/>
      <c r="AA4" s="3302" t="s">
        <v>2601</v>
      </c>
      <c r="AB4" s="3302" t="s">
        <v>2602</v>
      </c>
      <c r="AC4" s="3291" t="s">
        <v>2603</v>
      </c>
    </row>
    <row r="5" spans="1:29" ht="15">
      <c r="A5" s="404"/>
      <c r="B5" s="405"/>
      <c r="C5" s="3240" t="s">
        <v>2497</v>
      </c>
      <c r="D5" s="3241"/>
      <c r="E5" s="3248" t="s">
        <v>2498</v>
      </c>
      <c r="F5" s="3249"/>
      <c r="G5" s="3240" t="s">
        <v>2499</v>
      </c>
      <c r="H5" s="3241"/>
      <c r="I5" s="3240" t="s">
        <v>2500</v>
      </c>
      <c r="J5" s="3241"/>
      <c r="K5" s="610"/>
      <c r="L5" s="1133"/>
      <c r="M5" s="1134"/>
      <c r="N5" s="1134"/>
      <c r="O5" s="1134"/>
      <c r="P5" s="3296"/>
      <c r="Q5" s="3229"/>
      <c r="R5" s="3234"/>
      <c r="S5" s="3235"/>
      <c r="T5" s="3234"/>
      <c r="U5" s="3235"/>
      <c r="V5" s="3219"/>
      <c r="W5" s="3219"/>
      <c r="X5" s="1815"/>
      <c r="Y5" s="3234"/>
      <c r="Z5" s="3235"/>
      <c r="AA5" s="3221"/>
      <c r="AB5" s="3221"/>
      <c r="AC5" s="3292"/>
    </row>
    <row r="6" spans="1:29" ht="15.75" thickBot="1">
      <c r="A6" s="406"/>
      <c r="B6" s="407"/>
      <c r="C6" s="3238" t="s">
        <v>2501</v>
      </c>
      <c r="D6" s="3239"/>
      <c r="E6" s="3246" t="s">
        <v>2501</v>
      </c>
      <c r="F6" s="3247"/>
      <c r="G6" s="3238" t="s">
        <v>2501</v>
      </c>
      <c r="H6" s="3239"/>
      <c r="I6" s="3238" t="s">
        <v>2501</v>
      </c>
      <c r="J6" s="3239"/>
      <c r="K6" s="610" t="s">
        <v>2502</v>
      </c>
      <c r="L6" s="1133"/>
      <c r="M6" s="1134"/>
      <c r="N6" s="1134"/>
      <c r="O6" s="1134"/>
      <c r="P6" s="3297"/>
      <c r="Q6" s="3231"/>
      <c r="R6" s="3234"/>
      <c r="S6" s="3235"/>
      <c r="T6" s="3236"/>
      <c r="U6" s="3237"/>
      <c r="V6" s="3219"/>
      <c r="W6" s="3219"/>
      <c r="X6" s="1815"/>
      <c r="Y6" s="3236"/>
      <c r="Z6" s="3237"/>
      <c r="AA6" s="3222"/>
      <c r="AB6" s="3222"/>
      <c r="AC6" s="3293"/>
    </row>
    <row r="7" spans="1:29" s="117" customFormat="1" ht="15.75" thickBot="1">
      <c r="A7" s="408" t="s">
        <v>2503</v>
      </c>
      <c r="B7" s="409"/>
      <c r="C7" s="410">
        <f>'数据-取费表'!B2</f>
        <v>43321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1" t="s">
        <v>2504</v>
      </c>
      <c r="Q7" s="3244"/>
      <c r="R7" s="770" t="s">
        <v>17</v>
      </c>
      <c r="S7" s="771">
        <f t="shared" ref="S7:S15" si="0">F7</f>
        <v>0</v>
      </c>
      <c r="T7" s="770" t="s">
        <v>17</v>
      </c>
      <c r="U7" s="771">
        <f t="shared" ref="U7:U15" si="1">H7</f>
        <v>0</v>
      </c>
      <c r="V7" s="770" t="s">
        <v>17</v>
      </c>
      <c r="W7" s="771">
        <f t="shared" ref="W7:W15" si="2">J7</f>
        <v>0</v>
      </c>
      <c r="X7" s="772"/>
      <c r="Y7" s="3242" t="s">
        <v>2504</v>
      </c>
      <c r="Z7" s="3243"/>
      <c r="AA7" s="773" t="e">
        <f>D7/F7</f>
        <v>#DIV/0!</v>
      </c>
      <c r="AB7" s="773" t="e">
        <f>D7/H7</f>
        <v>#DIV/0!</v>
      </c>
      <c r="AC7" s="2677" t="e">
        <f>D7/J7</f>
        <v>#DIV/0!</v>
      </c>
    </row>
    <row r="8" spans="1:29" s="117" customFormat="1" ht="15.75" thickBot="1">
      <c r="A8" s="408" t="s">
        <v>2505</v>
      </c>
      <c r="B8" s="409"/>
      <c r="C8" s="414" t="s">
        <v>2606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1" t="s">
        <v>2507</v>
      </c>
      <c r="Q8" s="3243"/>
      <c r="R8" s="770" t="s">
        <v>17</v>
      </c>
      <c r="S8" s="771">
        <f t="shared" si="0"/>
        <v>0</v>
      </c>
      <c r="T8" s="770" t="s">
        <v>17</v>
      </c>
      <c r="U8" s="771">
        <f t="shared" si="1"/>
        <v>0</v>
      </c>
      <c r="V8" s="770" t="s">
        <v>17</v>
      </c>
      <c r="W8" s="771">
        <f t="shared" si="2"/>
        <v>0</v>
      </c>
      <c r="X8" s="772"/>
      <c r="Y8" s="3242" t="s">
        <v>2507</v>
      </c>
      <c r="Z8" s="3243"/>
      <c r="AA8" s="773" t="e">
        <f t="shared" ref="AA8:AA47" si="3">D8/F8</f>
        <v>#DIV/0!</v>
      </c>
      <c r="AB8" s="773" t="e">
        <f t="shared" ref="AB8:AB47" si="4">D8/H8</f>
        <v>#DIV/0!</v>
      </c>
      <c r="AC8" s="2677" t="e">
        <f t="shared" ref="AC8:AC47" si="5">D8/J8</f>
        <v>#DIV/0!</v>
      </c>
    </row>
    <row r="9" spans="1:29" s="117" customFormat="1">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2" t="s">
        <v>2510</v>
      </c>
      <c r="Q9" s="1797" t="str">
        <f t="shared" ref="Q9:Q15" si="6">B9</f>
        <v>用途</v>
      </c>
      <c r="R9" s="770" t="s">
        <v>17</v>
      </c>
      <c r="S9" s="771">
        <f t="shared" si="0"/>
        <v>100</v>
      </c>
      <c r="T9" s="770" t="s">
        <v>17</v>
      </c>
      <c r="U9" s="771">
        <f t="shared" si="1"/>
        <v>100</v>
      </c>
      <c r="V9" s="770" t="s">
        <v>17</v>
      </c>
      <c r="W9" s="771">
        <f t="shared" si="2"/>
        <v>100</v>
      </c>
      <c r="X9" s="772"/>
      <c r="Y9" s="3064" t="s">
        <v>2511</v>
      </c>
      <c r="Z9" s="55" t="str">
        <f t="shared" ref="Z9:Z15" si="7">Q9</f>
        <v>用途</v>
      </c>
      <c r="AA9" s="773">
        <f t="shared" si="3"/>
        <v>1</v>
      </c>
      <c r="AB9" s="773">
        <f t="shared" si="4"/>
        <v>1</v>
      </c>
      <c r="AC9" s="2677">
        <f t="shared" si="5"/>
        <v>1</v>
      </c>
    </row>
    <row r="10" spans="1:29" s="427" customFormat="1" ht="27">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2"/>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2677">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2"/>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12"/>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12"/>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12"/>
      <c r="Q14" s="1797">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2677">
        <f t="shared" si="5"/>
        <v>1</v>
      </c>
    </row>
    <row r="15" spans="1:29" ht="15">
      <c r="A15" s="440" t="s">
        <v>2514</v>
      </c>
      <c r="B15" s="629" t="s">
        <v>2641</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86" t="s">
        <v>2515</v>
      </c>
      <c r="Q15" s="1812" t="str">
        <f t="shared" si="6"/>
        <v>办公集聚程度</v>
      </c>
      <c r="R15" s="774" t="s">
        <v>17</v>
      </c>
      <c r="S15" s="775">
        <f t="shared" si="0"/>
        <v>100</v>
      </c>
      <c r="T15" s="774" t="s">
        <v>17</v>
      </c>
      <c r="U15" s="775">
        <f t="shared" si="1"/>
        <v>100</v>
      </c>
      <c r="V15" s="774" t="s">
        <v>17</v>
      </c>
      <c r="W15" s="775">
        <f t="shared" si="2"/>
        <v>100</v>
      </c>
      <c r="X15" s="1815"/>
      <c r="Y15" s="3215" t="s">
        <v>2515</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87"/>
      <c r="Q16" s="1812"/>
      <c r="R16" s="774"/>
      <c r="S16" s="775"/>
      <c r="T16" s="774"/>
      <c r="U16" s="775"/>
      <c r="V16" s="774"/>
      <c r="W16" s="775"/>
      <c r="X16" s="1815"/>
      <c r="Y16" s="3216"/>
      <c r="Z16" s="1816"/>
      <c r="AA16" s="1813">
        <v>1</v>
      </c>
      <c r="AB16" s="1813">
        <v>1</v>
      </c>
      <c r="AC16" s="2680">
        <v>1</v>
      </c>
    </row>
    <row r="17" spans="1:29" ht="114">
      <c r="A17" s="428"/>
      <c r="B17" s="631" t="s">
        <v>2056</v>
      </c>
      <c r="C17" s="2681" t="str">
        <f>估价对象房地状况!C6</f>
        <v>估价对象周边道路密集程度高、周边一公里内有20路、206路等、地铁1号线桂花坪站。停车便捷程度好，综合评价交通便捷度好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87"/>
      <c r="Q17" s="1812" t="str">
        <f>B17</f>
        <v>交通便捷度</v>
      </c>
      <c r="R17" s="774" t="s">
        <v>17</v>
      </c>
      <c r="S17" s="775">
        <f>F17</f>
        <v>100</v>
      </c>
      <c r="T17" s="774" t="s">
        <v>17</v>
      </c>
      <c r="U17" s="775">
        <f>H17</f>
        <v>100</v>
      </c>
      <c r="V17" s="774" t="s">
        <v>17</v>
      </c>
      <c r="W17" s="775">
        <f>J17</f>
        <v>100</v>
      </c>
      <c r="X17" s="1815"/>
      <c r="Y17" s="3216"/>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87"/>
      <c r="Q18" s="1812"/>
      <c r="R18" s="774"/>
      <c r="S18" s="775"/>
      <c r="T18" s="774"/>
      <c r="U18" s="775"/>
      <c r="V18" s="774"/>
      <c r="W18" s="775"/>
      <c r="X18" s="1815"/>
      <c r="Y18" s="3216"/>
      <c r="Z18" s="1816"/>
      <c r="AA18" s="1813">
        <v>1</v>
      </c>
      <c r="AB18" s="1813">
        <v>1</v>
      </c>
      <c r="AC18" s="2680">
        <v>1</v>
      </c>
    </row>
    <row r="19" spans="1:29" ht="42.75">
      <c r="A19" s="428"/>
      <c r="B19" s="631" t="s">
        <v>2642</v>
      </c>
      <c r="C19" s="2681" t="str">
        <f>估价对象房地状况!C7</f>
        <v>估价对象所在区域公共配套设施齐备度一般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87"/>
      <c r="Q19" s="1812" t="str">
        <f>B19</f>
        <v>公共配套设施</v>
      </c>
      <c r="R19" s="774" t="s">
        <v>17</v>
      </c>
      <c r="S19" s="775">
        <f>F19</f>
        <v>100</v>
      </c>
      <c r="T19" s="774" t="s">
        <v>17</v>
      </c>
      <c r="U19" s="775">
        <f>H19</f>
        <v>100</v>
      </c>
      <c r="V19" s="774" t="s">
        <v>17</v>
      </c>
      <c r="W19" s="775">
        <f>J19</f>
        <v>100</v>
      </c>
      <c r="X19" s="1815"/>
      <c r="Y19" s="3216"/>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87"/>
      <c r="Q20" s="1812"/>
      <c r="R20" s="774"/>
      <c r="S20" s="775"/>
      <c r="T20" s="774"/>
      <c r="U20" s="775"/>
      <c r="V20" s="774"/>
      <c r="W20" s="775"/>
      <c r="X20" s="1815"/>
      <c r="Y20" s="3216"/>
      <c r="Z20" s="1816"/>
      <c r="AA20" s="1813">
        <v>1</v>
      </c>
      <c r="AB20" s="1813">
        <v>1</v>
      </c>
      <c r="AC20" s="2680">
        <v>1</v>
      </c>
    </row>
    <row r="21" spans="1:29" ht="28.5">
      <c r="A21" s="428"/>
      <c r="B21" s="633" t="s">
        <v>2643</v>
      </c>
      <c r="C21" s="2681"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87"/>
      <c r="Q21" s="1812" t="str">
        <f>B21</f>
        <v>基础设施水平</v>
      </c>
      <c r="R21" s="774" t="s">
        <v>17</v>
      </c>
      <c r="S21" s="775">
        <f>F21</f>
        <v>100</v>
      </c>
      <c r="T21" s="774" t="s">
        <v>17</v>
      </c>
      <c r="U21" s="775">
        <f>H21</f>
        <v>100</v>
      </c>
      <c r="V21" s="774" t="s">
        <v>17</v>
      </c>
      <c r="W21" s="775">
        <f>J21</f>
        <v>100</v>
      </c>
      <c r="X21" s="1815"/>
      <c r="Y21" s="3216"/>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87"/>
      <c r="Q22" s="1812"/>
      <c r="R22" s="774"/>
      <c r="S22" s="775"/>
      <c r="T22" s="774"/>
      <c r="U22" s="775"/>
      <c r="V22" s="774"/>
      <c r="W22" s="775"/>
      <c r="X22" s="1815"/>
      <c r="Y22" s="3216"/>
      <c r="Z22" s="1816"/>
      <c r="AA22" s="1813">
        <v>1</v>
      </c>
      <c r="AB22" s="1813">
        <v>1</v>
      </c>
      <c r="AC22" s="2680">
        <v>1</v>
      </c>
    </row>
    <row r="23" spans="1:29" ht="85.5">
      <c r="A23" s="428"/>
      <c r="B23" s="631" t="s">
        <v>2644</v>
      </c>
      <c r="C23" s="2681" t="str">
        <f>估价对象房地状况!C9</f>
        <v>区域自然环境：周边有宜春社区公园等；人文环境：周边有盛砚砚博物馆等；综合评价环境状况较好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87"/>
      <c r="Q23" s="1812" t="str">
        <f>B23</f>
        <v>环境质量</v>
      </c>
      <c r="R23" s="774" t="s">
        <v>17</v>
      </c>
      <c r="S23" s="775">
        <f>F23</f>
        <v>100</v>
      </c>
      <c r="T23" s="774" t="s">
        <v>17</v>
      </c>
      <c r="U23" s="775">
        <f>H23</f>
        <v>100</v>
      </c>
      <c r="V23" s="774" t="s">
        <v>17</v>
      </c>
      <c r="W23" s="775">
        <f>J23</f>
        <v>100</v>
      </c>
      <c r="X23" s="1815"/>
      <c r="Y23" s="3216"/>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87"/>
      <c r="Q24" s="1812"/>
      <c r="R24" s="774"/>
      <c r="S24" s="775"/>
      <c r="T24" s="774"/>
      <c r="U24" s="775"/>
      <c r="V24" s="774"/>
      <c r="W24" s="775"/>
      <c r="X24" s="1815"/>
      <c r="Y24" s="3216"/>
      <c r="Z24" s="1816"/>
      <c r="AA24" s="1813">
        <v>1</v>
      </c>
      <c r="AB24" s="1813">
        <v>1</v>
      </c>
      <c r="AC24" s="2680">
        <v>1</v>
      </c>
    </row>
    <row r="25" spans="1:29" ht="27">
      <c r="A25" s="404"/>
      <c r="B25" s="631" t="s">
        <v>2645</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87"/>
      <c r="Q25" s="1812" t="str">
        <f>B25</f>
        <v>毗邻道路的类型与等级</v>
      </c>
      <c r="R25" s="774" t="s">
        <v>17</v>
      </c>
      <c r="S25" s="775">
        <f>F25</f>
        <v>100</v>
      </c>
      <c r="T25" s="774" t="s">
        <v>17</v>
      </c>
      <c r="U25" s="775">
        <f>H25</f>
        <v>100</v>
      </c>
      <c r="V25" s="774" t="s">
        <v>17</v>
      </c>
      <c r="W25" s="775">
        <f>J25</f>
        <v>100</v>
      </c>
      <c r="X25" s="1815"/>
      <c r="Y25" s="3216"/>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87"/>
      <c r="Q26" s="1812"/>
      <c r="R26" s="774"/>
      <c r="S26" s="775"/>
      <c r="T26" s="774"/>
      <c r="U26" s="775"/>
      <c r="V26" s="774"/>
      <c r="W26" s="775"/>
      <c r="X26" s="1815"/>
      <c r="Y26" s="3216"/>
      <c r="Z26" s="1816"/>
      <c r="AA26" s="1813">
        <v>1</v>
      </c>
      <c r="AB26" s="1813">
        <v>1</v>
      </c>
      <c r="AC26" s="2680">
        <v>1</v>
      </c>
    </row>
    <row r="27" spans="1:29" ht="15">
      <c r="A27" s="428"/>
      <c r="B27" s="632" t="s">
        <v>2613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7"/>
      <c r="Q27" s="1812" t="str">
        <f t="shared" ref="Q27:Q47" si="11">B27</f>
        <v>楼层</v>
      </c>
      <c r="R27" s="774" t="s">
        <v>17</v>
      </c>
      <c r="S27" s="775">
        <f>F27</f>
        <v>100</v>
      </c>
      <c r="T27" s="774" t="s">
        <v>17</v>
      </c>
      <c r="U27" s="775">
        <f>H27</f>
        <v>100</v>
      </c>
      <c r="V27" s="774" t="s">
        <v>17</v>
      </c>
      <c r="W27" s="775">
        <f>J27</f>
        <v>100</v>
      </c>
      <c r="X27" s="1815"/>
      <c r="Y27" s="3216"/>
      <c r="Z27" s="1816" t="str">
        <f>Q27</f>
        <v>楼层</v>
      </c>
      <c r="AA27" s="1813">
        <f t="shared" si="3"/>
        <v>1</v>
      </c>
      <c r="AB27" s="1813">
        <f t="shared" si="4"/>
        <v>1</v>
      </c>
      <c r="AC27" s="2680">
        <f t="shared" si="5"/>
        <v>1</v>
      </c>
    </row>
    <row r="28" spans="1:29" s="117" customFormat="1" ht="15">
      <c r="A28" s="431"/>
      <c r="B28" s="631" t="s">
        <v>2646</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87"/>
      <c r="Q28" s="1797" t="str">
        <f t="shared" si="11"/>
        <v>朝向</v>
      </c>
      <c r="R28" s="770" t="s">
        <v>17</v>
      </c>
      <c r="S28" s="771">
        <f>F28</f>
        <v>100</v>
      </c>
      <c r="T28" s="770" t="s">
        <v>17</v>
      </c>
      <c r="U28" s="771">
        <f>H28</f>
        <v>100</v>
      </c>
      <c r="V28" s="770" t="s">
        <v>17</v>
      </c>
      <c r="W28" s="771">
        <f>J28</f>
        <v>100</v>
      </c>
      <c r="X28" s="772"/>
      <c r="Y28" s="3216"/>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87"/>
      <c r="Q29" s="1812">
        <f t="shared" si="11"/>
        <v>111</v>
      </c>
      <c r="R29" s="774" t="s">
        <v>17</v>
      </c>
      <c r="S29" s="775">
        <f t="shared" ref="S29:S47" si="12">F29</f>
        <v>100</v>
      </c>
      <c r="T29" s="774" t="s">
        <v>17</v>
      </c>
      <c r="U29" s="775">
        <f t="shared" ref="U29:U47" si="13">H29</f>
        <v>100</v>
      </c>
      <c r="V29" s="774" t="s">
        <v>17</v>
      </c>
      <c r="W29" s="775">
        <f t="shared" ref="W29:W47" si="14">J29</f>
        <v>100</v>
      </c>
      <c r="X29" s="1815"/>
      <c r="Y29" s="3216"/>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87"/>
      <c r="Q30" s="1812">
        <f t="shared" si="11"/>
        <v>111</v>
      </c>
      <c r="R30" s="774" t="s">
        <v>17</v>
      </c>
      <c r="S30" s="775">
        <f t="shared" si="12"/>
        <v>100</v>
      </c>
      <c r="T30" s="774" t="s">
        <v>17</v>
      </c>
      <c r="U30" s="775">
        <f t="shared" si="13"/>
        <v>100</v>
      </c>
      <c r="V30" s="774" t="s">
        <v>17</v>
      </c>
      <c r="W30" s="775">
        <f t="shared" si="14"/>
        <v>100</v>
      </c>
      <c r="X30" s="1815"/>
      <c r="Y30" s="3216"/>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87"/>
      <c r="Q31" s="1812">
        <f t="shared" si="11"/>
        <v>111</v>
      </c>
      <c r="R31" s="774" t="s">
        <v>17</v>
      </c>
      <c r="S31" s="775">
        <f t="shared" si="12"/>
        <v>100</v>
      </c>
      <c r="T31" s="774" t="s">
        <v>17</v>
      </c>
      <c r="U31" s="775">
        <f t="shared" si="13"/>
        <v>100</v>
      </c>
      <c r="V31" s="774" t="s">
        <v>17</v>
      </c>
      <c r="W31" s="775">
        <f t="shared" si="14"/>
        <v>100</v>
      </c>
      <c r="X31" s="1815"/>
      <c r="Y31" s="3216"/>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87"/>
      <c r="Q32" s="1812">
        <f t="shared" si="11"/>
        <v>111</v>
      </c>
      <c r="R32" s="774" t="s">
        <v>17</v>
      </c>
      <c r="S32" s="775">
        <f t="shared" si="12"/>
        <v>100</v>
      </c>
      <c r="T32" s="774" t="s">
        <v>17</v>
      </c>
      <c r="U32" s="775">
        <f t="shared" si="13"/>
        <v>100</v>
      </c>
      <c r="V32" s="774" t="s">
        <v>17</v>
      </c>
      <c r="W32" s="775">
        <f t="shared" si="14"/>
        <v>100</v>
      </c>
      <c r="X32" s="1815"/>
      <c r="Y32" s="3216"/>
      <c r="Z32" s="1816">
        <f t="shared" si="15"/>
        <v>111</v>
      </c>
      <c r="AA32" s="1813">
        <f t="shared" si="3"/>
        <v>1</v>
      </c>
      <c r="AB32" s="1813">
        <f t="shared" si="4"/>
        <v>1</v>
      </c>
      <c r="AC32" s="2680">
        <f t="shared" si="5"/>
        <v>1</v>
      </c>
    </row>
    <row r="33" spans="1:29" ht="15">
      <c r="A33" s="440" t="s">
        <v>2518</v>
      </c>
      <c r="B33" s="71" t="s">
        <v>2647</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82" t="s">
        <v>2520</v>
      </c>
      <c r="Q33" s="1812" t="str">
        <f t="shared" si="11"/>
        <v>建筑类型</v>
      </c>
      <c r="R33" s="774" t="s">
        <v>17</v>
      </c>
      <c r="S33" s="775">
        <f t="shared" si="12"/>
        <v>100</v>
      </c>
      <c r="T33" s="774" t="s">
        <v>17</v>
      </c>
      <c r="U33" s="775">
        <f t="shared" si="13"/>
        <v>100</v>
      </c>
      <c r="V33" s="774" t="s">
        <v>17</v>
      </c>
      <c r="W33" s="775">
        <f t="shared" si="14"/>
        <v>100</v>
      </c>
      <c r="X33" s="1815"/>
      <c r="Y33" s="3218" t="s">
        <v>2520</v>
      </c>
      <c r="Z33" s="1816" t="str">
        <f t="shared" si="15"/>
        <v>建筑类型</v>
      </c>
      <c r="AA33" s="1813">
        <f t="shared" si="3"/>
        <v>1</v>
      </c>
      <c r="AB33" s="1813">
        <f t="shared" si="4"/>
        <v>1</v>
      </c>
      <c r="AC33" s="2680">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83"/>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13" t="e">
        <f t="shared" si="3"/>
        <v>#N/A</v>
      </c>
      <c r="AB34" s="1813" t="e">
        <f t="shared" si="4"/>
        <v>#N/A</v>
      </c>
      <c r="AC34" s="2680"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83"/>
      <c r="Q35" s="1812" t="str">
        <f t="shared" si="11"/>
        <v>建筑结构</v>
      </c>
      <c r="R35" s="774" t="s">
        <v>17</v>
      </c>
      <c r="S35" s="775">
        <f t="shared" si="12"/>
        <v>100</v>
      </c>
      <c r="T35" s="774" t="s">
        <v>17</v>
      </c>
      <c r="U35" s="775">
        <f t="shared" si="13"/>
        <v>100</v>
      </c>
      <c r="V35" s="774" t="s">
        <v>17</v>
      </c>
      <c r="W35" s="775">
        <f t="shared" si="14"/>
        <v>100</v>
      </c>
      <c r="X35" s="1815"/>
      <c r="Y35" s="3218"/>
      <c r="Z35" s="1816" t="str">
        <f t="shared" si="15"/>
        <v>建筑结构</v>
      </c>
      <c r="AA35" s="1813">
        <f t="shared" si="3"/>
        <v>1</v>
      </c>
      <c r="AB35" s="1813">
        <f t="shared" si="4"/>
        <v>1</v>
      </c>
      <c r="AC35" s="2680">
        <f t="shared" si="5"/>
        <v>1</v>
      </c>
    </row>
    <row r="36" spans="1:29" ht="15">
      <c r="A36" s="472"/>
      <c r="B36" s="422" t="s">
        <v>2615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83"/>
      <c r="Q36" s="1812" t="str">
        <f t="shared" si="11"/>
        <v>公共部分装修</v>
      </c>
      <c r="R36" s="774" t="s">
        <v>17</v>
      </c>
      <c r="S36" s="775">
        <f t="shared" si="12"/>
        <v>100</v>
      </c>
      <c r="T36" s="774" t="s">
        <v>17</v>
      </c>
      <c r="U36" s="775">
        <f t="shared" si="13"/>
        <v>100</v>
      </c>
      <c r="V36" s="774" t="s">
        <v>17</v>
      </c>
      <c r="W36" s="775">
        <f t="shared" si="14"/>
        <v>100</v>
      </c>
      <c r="X36" s="1815"/>
      <c r="Y36" s="3218"/>
      <c r="Z36" s="1816" t="str">
        <f t="shared" si="15"/>
        <v>公共部分装修</v>
      </c>
      <c r="AA36" s="1813">
        <f t="shared" si="3"/>
        <v>1</v>
      </c>
      <c r="AB36" s="1813">
        <f t="shared" si="4"/>
        <v>1</v>
      </c>
      <c r="AC36" s="2680">
        <f t="shared" si="5"/>
        <v>1</v>
      </c>
    </row>
    <row r="37" spans="1:29" ht="15">
      <c r="A37" s="472"/>
      <c r="B37" s="422" t="s">
        <v>2616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83"/>
      <c r="Q37" s="1812" t="str">
        <f t="shared" si="11"/>
        <v>成新度</v>
      </c>
      <c r="R37" s="774" t="s">
        <v>17</v>
      </c>
      <c r="S37" s="775" t="e">
        <f t="shared" si="12"/>
        <v>#N/A</v>
      </c>
      <c r="T37" s="774" t="s">
        <v>17</v>
      </c>
      <c r="U37" s="775" t="e">
        <f t="shared" si="13"/>
        <v>#N/A</v>
      </c>
      <c r="V37" s="774" t="s">
        <v>17</v>
      </c>
      <c r="W37" s="775" t="e">
        <f t="shared" si="14"/>
        <v>#N/A</v>
      </c>
      <c r="X37" s="1815"/>
      <c r="Y37" s="3218"/>
      <c r="Z37" s="1816" t="str">
        <f t="shared" si="15"/>
        <v>成新度</v>
      </c>
      <c r="AA37" s="1813" t="e">
        <f t="shared" si="3"/>
        <v>#N/A</v>
      </c>
      <c r="AB37" s="1813" t="e">
        <f t="shared" si="4"/>
        <v>#N/A</v>
      </c>
      <c r="AC37" s="2680" t="e">
        <f t="shared" si="5"/>
        <v>#N/A</v>
      </c>
    </row>
    <row r="38" spans="1:29" s="117" customFormat="1" ht="15">
      <c r="A38" s="473"/>
      <c r="B38" s="422" t="s">
        <v>2648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83"/>
      <c r="Q38" s="1797"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77">
        <f t="shared" si="5"/>
        <v>1</v>
      </c>
    </row>
    <row r="39" spans="1:29" ht="15">
      <c r="A39" s="472"/>
      <c r="B39" s="422" t="s">
        <v>2649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83" t="s">
        <v>2520</v>
      </c>
      <c r="Q39" s="1812" t="str">
        <f t="shared" si="11"/>
        <v>物业管理</v>
      </c>
      <c r="R39" s="774" t="s">
        <v>17</v>
      </c>
      <c r="S39" s="775">
        <f t="shared" si="12"/>
        <v>100</v>
      </c>
      <c r="T39" s="774" t="s">
        <v>17</v>
      </c>
      <c r="U39" s="775">
        <f t="shared" si="13"/>
        <v>100</v>
      </c>
      <c r="V39" s="774" t="s">
        <v>17</v>
      </c>
      <c r="W39" s="775">
        <f t="shared" si="14"/>
        <v>100</v>
      </c>
      <c r="X39" s="1815"/>
      <c r="Y39" s="3218" t="s">
        <v>2520</v>
      </c>
      <c r="Z39" s="1816" t="str">
        <f t="shared" si="15"/>
        <v>物业管理</v>
      </c>
      <c r="AA39" s="1813">
        <f t="shared" si="3"/>
        <v>1</v>
      </c>
      <c r="AB39" s="1813">
        <f t="shared" si="4"/>
        <v>1</v>
      </c>
      <c r="AC39" s="2680">
        <f t="shared" si="5"/>
        <v>1</v>
      </c>
    </row>
    <row r="40" spans="1:29" ht="15">
      <c r="A40" s="472"/>
      <c r="B40" s="422" t="s">
        <v>2617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83"/>
      <c r="Q40" s="1812" t="str">
        <f t="shared" si="11"/>
        <v>市政基础设施</v>
      </c>
      <c r="R40" s="774" t="s">
        <v>17</v>
      </c>
      <c r="S40" s="775">
        <f t="shared" si="12"/>
        <v>100</v>
      </c>
      <c r="T40" s="774" t="s">
        <v>17</v>
      </c>
      <c r="U40" s="775">
        <f t="shared" si="13"/>
        <v>100</v>
      </c>
      <c r="V40" s="774" t="s">
        <v>17</v>
      </c>
      <c r="W40" s="775">
        <f t="shared" si="14"/>
        <v>100</v>
      </c>
      <c r="X40" s="1815"/>
      <c r="Y40" s="3218"/>
      <c r="Z40" s="1816" t="str">
        <f t="shared" si="15"/>
        <v>市政基础设施</v>
      </c>
      <c r="AA40" s="1813">
        <f t="shared" si="3"/>
        <v>1</v>
      </c>
      <c r="AB40" s="1813">
        <f t="shared" si="4"/>
        <v>1</v>
      </c>
      <c r="AC40" s="2680">
        <f t="shared" si="5"/>
        <v>1</v>
      </c>
    </row>
    <row r="41" spans="1:29" ht="15">
      <c r="A41" s="472"/>
      <c r="B41" s="422" t="s">
        <v>2619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83"/>
      <c r="Q41" s="1812" t="str">
        <f t="shared" si="11"/>
        <v>层高</v>
      </c>
      <c r="R41" s="774" t="s">
        <v>17</v>
      </c>
      <c r="S41" s="775">
        <f t="shared" si="12"/>
        <v>100</v>
      </c>
      <c r="T41" s="774" t="s">
        <v>17</v>
      </c>
      <c r="U41" s="775">
        <f t="shared" si="13"/>
        <v>100</v>
      </c>
      <c r="V41" s="774" t="s">
        <v>17</v>
      </c>
      <c r="W41" s="775">
        <f t="shared" si="14"/>
        <v>100</v>
      </c>
      <c r="X41" s="1815"/>
      <c r="Y41" s="3218"/>
      <c r="Z41" s="1816" t="str">
        <f t="shared" si="15"/>
        <v>层高</v>
      </c>
      <c r="AA41" s="1813">
        <f t="shared" si="3"/>
        <v>1</v>
      </c>
      <c r="AB41" s="1813">
        <f t="shared" si="4"/>
        <v>1</v>
      </c>
      <c r="AC41" s="2680">
        <f t="shared" si="5"/>
        <v>1</v>
      </c>
    </row>
    <row r="42" spans="1:29" s="471" customFormat="1" ht="15">
      <c r="A42" s="468"/>
      <c r="B42" s="1814" t="s">
        <v>2650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83"/>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13">
        <f t="shared" si="3"/>
        <v>1</v>
      </c>
      <c r="AB42" s="1813">
        <f t="shared" si="4"/>
        <v>1</v>
      </c>
      <c r="AC42" s="2680">
        <f t="shared" si="5"/>
        <v>1</v>
      </c>
    </row>
    <row r="43" spans="1:29" ht="15">
      <c r="A43" s="472"/>
      <c r="B43" s="422" t="s">
        <v>2622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83"/>
      <c r="Q43" s="1812" t="str">
        <f t="shared" si="11"/>
        <v>内部装修</v>
      </c>
      <c r="R43" s="774" t="s">
        <v>17</v>
      </c>
      <c r="S43" s="775">
        <f t="shared" si="12"/>
        <v>100</v>
      </c>
      <c r="T43" s="774" t="s">
        <v>17</v>
      </c>
      <c r="U43" s="775">
        <f t="shared" si="13"/>
        <v>100</v>
      </c>
      <c r="V43" s="774" t="s">
        <v>17</v>
      </c>
      <c r="W43" s="775">
        <f t="shared" si="14"/>
        <v>100</v>
      </c>
      <c r="X43" s="1815"/>
      <c r="Y43" s="3218"/>
      <c r="Z43" s="1816" t="str">
        <f t="shared" si="15"/>
        <v>内部装修</v>
      </c>
      <c r="AA43" s="1813">
        <f t="shared" si="3"/>
        <v>1</v>
      </c>
      <c r="AB43" s="1813">
        <f t="shared" si="4"/>
        <v>1</v>
      </c>
      <c r="AC43" s="2680">
        <f t="shared" si="5"/>
        <v>1</v>
      </c>
    </row>
    <row r="44" spans="1:29" ht="15">
      <c r="A44" s="472"/>
      <c r="B44" s="422" t="s">
        <v>2531</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83"/>
      <c r="Q44" s="1812" t="str">
        <f t="shared" si="11"/>
        <v>内部装修维护情况</v>
      </c>
      <c r="R44" s="774" t="s">
        <v>17</v>
      </c>
      <c r="S44" s="775">
        <f t="shared" si="12"/>
        <v>100</v>
      </c>
      <c r="T44" s="774" t="s">
        <v>17</v>
      </c>
      <c r="U44" s="775">
        <f t="shared" si="13"/>
        <v>100</v>
      </c>
      <c r="V44" s="774" t="s">
        <v>17</v>
      </c>
      <c r="W44" s="775">
        <f t="shared" si="14"/>
        <v>100</v>
      </c>
      <c r="X44" s="1815"/>
      <c r="Y44" s="3218"/>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83"/>
      <c r="Q45" s="1797">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83"/>
      <c r="Q46" s="1812">
        <f t="shared" si="11"/>
        <v>111</v>
      </c>
      <c r="R46" s="774" t="s">
        <v>17</v>
      </c>
      <c r="S46" s="775">
        <f t="shared" si="12"/>
        <v>100</v>
      </c>
      <c r="T46" s="774" t="s">
        <v>17</v>
      </c>
      <c r="U46" s="775">
        <f t="shared" si="13"/>
        <v>100</v>
      </c>
      <c r="V46" s="774" t="s">
        <v>17</v>
      </c>
      <c r="W46" s="775">
        <f t="shared" si="14"/>
        <v>100</v>
      </c>
      <c r="X46" s="1815"/>
      <c r="Y46" s="3218"/>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4"/>
      <c r="Q47" s="1812">
        <f t="shared" si="11"/>
        <v>111</v>
      </c>
      <c r="R47" s="774" t="s">
        <v>17</v>
      </c>
      <c r="S47" s="775">
        <f t="shared" si="12"/>
        <v>100</v>
      </c>
      <c r="T47" s="774" t="s">
        <v>17</v>
      </c>
      <c r="U47" s="775">
        <f t="shared" si="13"/>
        <v>100</v>
      </c>
      <c r="V47" s="774" t="s">
        <v>17</v>
      </c>
      <c r="W47" s="775">
        <f t="shared" si="14"/>
        <v>100</v>
      </c>
      <c r="X47" s="1815"/>
      <c r="Y47" s="3285"/>
      <c r="Z47" s="1816">
        <f t="shared" si="15"/>
        <v>111</v>
      </c>
      <c r="AA47" s="1813">
        <f t="shared" si="3"/>
        <v>1</v>
      </c>
      <c r="AB47" s="1813">
        <f t="shared" si="4"/>
        <v>1</v>
      </c>
      <c r="AC47" s="2680">
        <f t="shared" si="5"/>
        <v>1</v>
      </c>
    </row>
    <row r="48" spans="1:29" ht="15">
      <c r="A48" s="479" t="s">
        <v>2532</v>
      </c>
      <c r="B48" s="480"/>
      <c r="C48" s="1410" t="s">
        <v>1</v>
      </c>
      <c r="D48" s="1411"/>
      <c r="E48" s="1412"/>
      <c r="F48" s="1413"/>
      <c r="G48" s="1414"/>
      <c r="H48" s="1415"/>
      <c r="I48" s="1412"/>
      <c r="J48" s="485"/>
      <c r="K48" s="783"/>
      <c r="L48" s="1146"/>
      <c r="M48" s="1134"/>
      <c r="N48" s="1134"/>
      <c r="O48" s="1134"/>
      <c r="P48" s="3212" t="str">
        <f>A48</f>
        <v>成交单价（元/平方米）</v>
      </c>
      <c r="Q48" s="3213"/>
      <c r="R48" s="3281">
        <f>E48</f>
        <v>0</v>
      </c>
      <c r="S48" s="3281"/>
      <c r="T48" s="3281">
        <f>G48</f>
        <v>0</v>
      </c>
      <c r="U48" s="3281"/>
      <c r="V48" s="3281">
        <f>I48</f>
        <v>0</v>
      </c>
      <c r="W48" s="3281"/>
      <c r="X48" s="446"/>
      <c r="Y48" s="781"/>
      <c r="Z48" s="446"/>
      <c r="AA48" s="446"/>
      <c r="AB48" s="446"/>
      <c r="AC48" s="630"/>
    </row>
    <row r="49" spans="1:29" ht="15.75" thickBot="1">
      <c r="A49" s="486" t="s">
        <v>2623</v>
      </c>
      <c r="B49" s="487"/>
      <c r="C49" s="1416" t="e">
        <f>R50</f>
        <v>#DIV/0!</v>
      </c>
      <c r="D49" s="1417"/>
      <c r="E49" s="1418" t="e">
        <f>R49</f>
        <v>#DIV/0!</v>
      </c>
      <c r="F49" s="1418"/>
      <c r="G49" s="1416" t="e">
        <f>T49</f>
        <v>#DIV/0!</v>
      </c>
      <c r="H49" s="1417"/>
      <c r="I49" s="1418" t="e">
        <f>V49</f>
        <v>#DIV/0!</v>
      </c>
      <c r="J49" s="489"/>
      <c r="K49" s="784"/>
      <c r="L49" s="1146"/>
      <c r="M49" s="1134"/>
      <c r="N49" s="1134"/>
      <c r="O49" s="1134"/>
      <c r="P49" s="3212" t="str">
        <f>A49</f>
        <v>比较价值（元/平方米）</v>
      </c>
      <c r="Q49" s="3213"/>
      <c r="R49" s="3281" t="e">
        <f>IF(F1="售价",ROUND(PRODUCT(R48,AA7:AA47),0),ROUND(PRODUCT(R48,AA7:AA47),1))</f>
        <v>#DIV/0!</v>
      </c>
      <c r="S49" s="3281"/>
      <c r="T49" s="3281" t="e">
        <f>IF(F1="售价",ROUND(PRODUCT(T48,AB7:AB47),0),ROUND(PRODUCT(T48,AB7:AB47),1))</f>
        <v>#DIV/0!</v>
      </c>
      <c r="U49" s="3281"/>
      <c r="V49" s="3281" t="e">
        <f>IF(F1="售价",ROUND(PRODUCT(V48,AC7:AC47),0),ROUND(PRODUCT(V48,AC7:AC47),1))</f>
        <v>#DIV/0!</v>
      </c>
      <c r="W49" s="3281"/>
      <c r="X49" s="446"/>
      <c r="Y49" s="446"/>
      <c r="Z49" s="446"/>
      <c r="AA49" s="446"/>
      <c r="AB49" s="446"/>
      <c r="AC49" s="630"/>
    </row>
    <row r="50" spans="1:29" ht="15.75" thickBot="1">
      <c r="A50" s="492" t="s">
        <v>2624</v>
      </c>
      <c r="B50" s="493"/>
      <c r="C50" s="1420" t="e">
        <f>R50</f>
        <v>#DIV/0!</v>
      </c>
      <c r="D50" s="1420"/>
      <c r="E50" s="1420"/>
      <c r="F50" s="1420"/>
      <c r="G50" s="1420"/>
      <c r="H50" s="1420"/>
      <c r="I50" s="1420"/>
      <c r="J50" s="494"/>
      <c r="K50" s="785"/>
      <c r="L50" s="1146"/>
      <c r="M50" s="1134"/>
      <c r="N50" s="1134"/>
      <c r="O50" s="1134"/>
      <c r="P50" s="3288" t="str">
        <f>A50</f>
        <v>估价对象XX用房的比较价值（楼面单价，元/平方米）</v>
      </c>
      <c r="Q50" s="3289"/>
      <c r="R50" s="3290" t="e">
        <f>IF(F1="售价",ROUND(AVERAGE(R49:V49),0),ROUND(AVERAGE(R49:V49),1))</f>
        <v>#DIV/0!</v>
      </c>
      <c r="S50" s="3290"/>
      <c r="T50" s="3290"/>
      <c r="U50" s="3290"/>
      <c r="V50" s="3290"/>
      <c r="W50" s="3290"/>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2628</v>
      </c>
      <c r="B58" s="759"/>
      <c r="C58" s="764"/>
      <c r="D58" s="764"/>
      <c r="E58" s="764"/>
      <c r="F58" s="765"/>
      <c r="G58" s="765"/>
      <c r="H58" s="764"/>
      <c r="I58" s="764"/>
      <c r="J58" s="764"/>
      <c r="K58" s="766"/>
      <c r="L58" s="1164"/>
      <c r="M58" s="1162"/>
      <c r="N58" s="1162"/>
      <c r="O58" s="1162"/>
      <c r="P58" s="2687"/>
      <c r="Q58" s="504"/>
    </row>
    <row r="59" spans="1:29" s="508" customFormat="1" ht="15">
      <c r="A59" s="505" t="s">
        <v>2503</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2539</v>
      </c>
      <c r="B61" s="516"/>
      <c r="C61" s="517"/>
      <c r="D61" s="518"/>
      <c r="E61" s="518"/>
      <c r="F61" s="518"/>
      <c r="G61" s="518"/>
      <c r="H61" s="518"/>
      <c r="I61" s="518"/>
      <c r="J61" s="518"/>
      <c r="K61" s="518"/>
      <c r="L61" s="518"/>
      <c r="M61" s="519"/>
      <c r="N61" s="518"/>
      <c r="O61" s="519"/>
      <c r="P61" s="2688"/>
      <c r="Q61" s="504"/>
    </row>
    <row r="62" spans="1:29" s="117" customFormat="1" ht="15">
      <c r="A62" s="521" t="s">
        <v>2505</v>
      </c>
      <c r="B62" s="510"/>
      <c r="C62" s="522" t="s">
        <v>2606</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2542</v>
      </c>
      <c r="B64" s="528" t="s">
        <v>2509</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2512</v>
      </c>
      <c r="C66" s="539" t="s">
        <v>2543</v>
      </c>
      <c r="D66" s="539" t="s">
        <v>2544</v>
      </c>
      <c r="E66" s="539" t="s">
        <v>2545</v>
      </c>
      <c r="F66" s="539" t="s">
        <v>2546</v>
      </c>
      <c r="G66" s="539" t="s">
        <v>2547</v>
      </c>
      <c r="H66" s="539" t="s">
        <v>2548</v>
      </c>
      <c r="I66" s="539" t="s">
        <v>2549</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2514</v>
      </c>
      <c r="B77" s="528" t="s">
        <v>2651</v>
      </c>
      <c r="C77" s="573" t="s">
        <v>2551</v>
      </c>
      <c r="D77" s="573" t="s">
        <v>2552</v>
      </c>
      <c r="E77" s="573" t="s">
        <v>2553</v>
      </c>
      <c r="F77" s="573" t="s">
        <v>2554</v>
      </c>
      <c r="G77" s="573" t="s">
        <v>2555</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2556</v>
      </c>
      <c r="C79" s="578" t="s">
        <v>2551</v>
      </c>
      <c r="D79" s="578" t="s">
        <v>2552</v>
      </c>
      <c r="E79" s="578" t="s">
        <v>2553</v>
      </c>
      <c r="F79" s="578" t="s">
        <v>2554</v>
      </c>
      <c r="G79" s="578" t="s">
        <v>2555</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2557</v>
      </c>
      <c r="C81" s="578" t="s">
        <v>2551</v>
      </c>
      <c r="D81" s="578" t="s">
        <v>2552</v>
      </c>
      <c r="E81" s="578" t="s">
        <v>2553</v>
      </c>
      <c r="F81" s="578" t="s">
        <v>2554</v>
      </c>
      <c r="G81" s="578" t="s">
        <v>2555</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2643</v>
      </c>
      <c r="C83" s="660" t="s">
        <v>2629</v>
      </c>
      <c r="D83" s="660" t="s">
        <v>2630</v>
      </c>
      <c r="E83" s="660" t="s">
        <v>2631</v>
      </c>
      <c r="F83" s="660" t="s">
        <v>2632</v>
      </c>
      <c r="G83" s="660" t="s">
        <v>2633</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2652</v>
      </c>
      <c r="C85" s="578" t="s">
        <v>2551</v>
      </c>
      <c r="D85" s="578" t="s">
        <v>2552</v>
      </c>
      <c r="E85" s="578" t="s">
        <v>2553</v>
      </c>
      <c r="F85" s="578" t="s">
        <v>2554</v>
      </c>
      <c r="G85" s="578" t="s">
        <v>2555</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2653</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2518</v>
      </c>
      <c r="B101" s="528" t="s">
        <v>2566</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2567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2568</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2570</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1960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2654</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2571</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2572</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2655</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2638</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2574</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2575</v>
      </c>
      <c r="C125" s="578" t="s">
        <v>2551</v>
      </c>
      <c r="D125" s="578" t="s">
        <v>2552</v>
      </c>
      <c r="E125" s="578" t="s">
        <v>2553</v>
      </c>
      <c r="F125" s="578" t="s">
        <v>2554</v>
      </c>
      <c r="G125" s="578" t="s">
        <v>2555</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1607</v>
      </c>
    </row>
    <row r="2" spans="1:1">
      <c r="A2" s="1948"/>
    </row>
    <row r="3" spans="1:1" ht="18">
      <c r="A3" s="1949" t="str">
        <f>项目基本情况!B5&amp;"："</f>
        <v>大业信托：</v>
      </c>
    </row>
    <row r="4" spans="1:1" ht="36">
      <c r="A4" s="1950" t="str">
        <f>"受贵公司委托，我公司对"&amp;项目基本情况!S1&amp;"进行了预评估。"</f>
        <v>受贵公司委托，我公司对湖南省长沙市出让国有建设用地使用权及在建建筑物房地产抵押价值进行了预评估。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长沙市出让国有建设用地使用权及在建建筑物房地产，为湖南正昊置业发展有限公司所有。根据《国土证》，估价对象（分摊）出让国有建设用地使用权面积为6969.29平方米，建筑面积为44412.45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长沙市出让国有建设用地使用权及在建建筑物房地产,属湖南正昊置业发展有限公司开发建设的居住项目，该项目尚在开发建设中。根据《国土证》，估价对象（分摊）出让国有建设用地使用权面积为6969.29平方米，规划建筑面积为44412.45平方米。</v>
      </c>
    </row>
    <row r="11" spans="1:1" ht="76.5">
      <c r="A11" s="1953" t="s">
        <v>1612</v>
      </c>
    </row>
    <row r="12" spans="1:1" ht="18.75">
      <c r="A12" s="1951" t="s">
        <v>1613</v>
      </c>
    </row>
    <row r="13" spans="1:1" ht="38.25" customHeight="1">
      <c r="A13" s="1954" t="str">
        <f>IF(项目基本情况!B8="抵押",IF(项目基本情况!B5=项目基本情况!B6,定义!C51,定义!B51),定义!D51)</f>
        <v>湖南正昊置业发展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2018年8月9日（评估专业人员实地查勘之日）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75" t="s">
        <v>2656</v>
      </c>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IF(C2="——",ROUND(C43*D3/10000,0),ROUND(C43*D3/10000,0)-D2)</f>
        <v>#DIV/0!</v>
      </c>
      <c r="C2" s="2592"/>
      <c r="D2" s="1127" t="e">
        <f ca="1">SUMIF(INDIRECT("'"&amp;F2&amp;"'"&amp;"!A:A"),"承租人权益价值",INDIRECT("'"&amp;F2&amp;"'"&amp;"!c:c"))</f>
        <v>#REF!</v>
      </c>
      <c r="E2" s="2593" t="s">
        <v>2286</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2287</v>
      </c>
      <c r="B3" s="609" t="e">
        <f ca="1">IF(C2="——",C43,ROUND(B2*10000/D3,0))</f>
        <v>#DIV/0!</v>
      </c>
      <c r="C3" s="400" t="s">
        <v>2598</v>
      </c>
      <c r="D3" s="399">
        <f>IF(D1="",'数据-汇总表'!E3,SUMIF('数据-汇总表'!$C19:$C33,D1,'数据-汇总表'!$E19:$E33))</f>
        <v>44412.450000000026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210" t="s">
        <v>2600</v>
      </c>
      <c r="D4" s="3223"/>
      <c r="E4" s="3224" t="s">
        <v>2601</v>
      </c>
      <c r="F4" s="3225"/>
      <c r="G4" s="3210" t="s">
        <v>2602</v>
      </c>
      <c r="H4" s="3223"/>
      <c r="I4" s="3210" t="s">
        <v>2603</v>
      </c>
      <c r="J4" s="3223"/>
      <c r="K4" s="610" t="s">
        <v>2604</v>
      </c>
      <c r="L4" s="1133"/>
      <c r="M4" s="1134"/>
      <c r="N4" s="1134"/>
      <c r="O4" s="1134"/>
      <c r="P4" s="3226" t="s">
        <v>2605</v>
      </c>
      <c r="Q4" s="3227"/>
      <c r="R4" s="3232" t="s">
        <v>2601</v>
      </c>
      <c r="S4" s="3233"/>
      <c r="T4" s="3232" t="s">
        <v>2602</v>
      </c>
      <c r="U4" s="3233"/>
      <c r="V4" s="3219" t="s">
        <v>2603</v>
      </c>
      <c r="W4" s="3219"/>
      <c r="X4" s="1815"/>
      <c r="Y4" s="3232" t="s">
        <v>2605</v>
      </c>
      <c r="Z4" s="3233"/>
      <c r="AA4" s="3220" t="s">
        <v>2601</v>
      </c>
      <c r="AB4" s="3221" t="s">
        <v>2602</v>
      </c>
      <c r="AC4" s="3220" t="s">
        <v>2603</v>
      </c>
    </row>
    <row r="5" spans="1:29" ht="15">
      <c r="A5" s="404"/>
      <c r="B5" s="405"/>
      <c r="C5" s="3240" t="s">
        <v>2497</v>
      </c>
      <c r="D5" s="3241"/>
      <c r="E5" s="3248" t="s">
        <v>2498</v>
      </c>
      <c r="F5" s="3249"/>
      <c r="G5" s="3240" t="s">
        <v>2499</v>
      </c>
      <c r="H5" s="3241"/>
      <c r="I5" s="3240" t="s">
        <v>2500</v>
      </c>
      <c r="J5" s="3241"/>
      <c r="K5" s="610"/>
      <c r="L5" s="1133"/>
      <c r="M5" s="1134"/>
      <c r="N5" s="1134"/>
      <c r="O5" s="1134"/>
      <c r="P5" s="3228"/>
      <c r="Q5" s="3229"/>
      <c r="R5" s="3234"/>
      <c r="S5" s="3235"/>
      <c r="T5" s="3234"/>
      <c r="U5" s="3235"/>
      <c r="V5" s="3219"/>
      <c r="W5" s="3219"/>
      <c r="X5" s="1815"/>
      <c r="Y5" s="3234"/>
      <c r="Z5" s="3235"/>
      <c r="AA5" s="3221"/>
      <c r="AB5" s="3221"/>
      <c r="AC5" s="3221"/>
    </row>
    <row r="6" spans="1:29" ht="15.75" thickBot="1">
      <c r="A6" s="406"/>
      <c r="B6" s="407"/>
      <c r="C6" s="3238" t="s">
        <v>2501</v>
      </c>
      <c r="D6" s="3239"/>
      <c r="E6" s="3246" t="s">
        <v>2501</v>
      </c>
      <c r="F6" s="3247"/>
      <c r="G6" s="3238" t="s">
        <v>2501</v>
      </c>
      <c r="H6" s="3239"/>
      <c r="I6" s="3238" t="s">
        <v>2501</v>
      </c>
      <c r="J6" s="3239"/>
      <c r="K6" s="610" t="s">
        <v>2502</v>
      </c>
      <c r="L6" s="1133"/>
      <c r="M6" s="1134"/>
      <c r="N6" s="1134"/>
      <c r="O6" s="1134"/>
      <c r="P6" s="3230"/>
      <c r="Q6" s="3231"/>
      <c r="R6" s="3234"/>
      <c r="S6" s="3235"/>
      <c r="T6" s="3236"/>
      <c r="U6" s="3237"/>
      <c r="V6" s="3219"/>
      <c r="W6" s="3219"/>
      <c r="X6" s="1815"/>
      <c r="Y6" s="3236"/>
      <c r="Z6" s="3237"/>
      <c r="AA6" s="3222"/>
      <c r="AB6" s="3222"/>
      <c r="AC6" s="3222"/>
    </row>
    <row r="7" spans="1:29" s="117" customFormat="1" ht="15.75" thickBot="1">
      <c r="A7" s="408" t="s">
        <v>2503</v>
      </c>
      <c r="B7" s="409"/>
      <c r="C7" s="410">
        <f>'数据-取费表'!B2</f>
        <v>43321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2" t="s">
        <v>2504</v>
      </c>
      <c r="Q7" s="3244"/>
      <c r="R7" s="770" t="s">
        <v>17</v>
      </c>
      <c r="S7" s="771">
        <f t="shared" ref="S7:S15" si="0">F7</f>
        <v>0</v>
      </c>
      <c r="T7" s="770" t="s">
        <v>17</v>
      </c>
      <c r="U7" s="771">
        <f t="shared" ref="U7:U15" si="1">H7</f>
        <v>0</v>
      </c>
      <c r="V7" s="770" t="s">
        <v>17</v>
      </c>
      <c r="W7" s="771">
        <f t="shared" ref="W7:W15" si="2">J7</f>
        <v>0</v>
      </c>
      <c r="X7" s="772"/>
      <c r="Y7" s="3242" t="s">
        <v>2504</v>
      </c>
      <c r="Z7" s="3243"/>
      <c r="AA7" s="773" t="e">
        <f>D7/F7</f>
        <v>#DIV/0!</v>
      </c>
      <c r="AB7" s="773" t="e">
        <f>D7/H7</f>
        <v>#DIV/0!</v>
      </c>
      <c r="AC7" s="773" t="e">
        <f>D7/J7</f>
        <v>#DIV/0!</v>
      </c>
    </row>
    <row r="8" spans="1:29" s="117" customFormat="1" ht="15.7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2" t="s">
        <v>2507</v>
      </c>
      <c r="Q8" s="3243"/>
      <c r="R8" s="770" t="s">
        <v>17</v>
      </c>
      <c r="S8" s="771">
        <f t="shared" si="0"/>
        <v>0</v>
      </c>
      <c r="T8" s="770" t="s">
        <v>17</v>
      </c>
      <c r="U8" s="771">
        <f t="shared" si="1"/>
        <v>0</v>
      </c>
      <c r="V8" s="770" t="s">
        <v>17</v>
      </c>
      <c r="W8" s="771">
        <f t="shared" si="2"/>
        <v>0</v>
      </c>
      <c r="X8" s="772"/>
      <c r="Y8" s="3242" t="s">
        <v>2507</v>
      </c>
      <c r="Z8" s="3243"/>
      <c r="AA8" s="773" t="e">
        <f t="shared" ref="AA8:AA40" si="3">D8/F8</f>
        <v>#DIV/0!</v>
      </c>
      <c r="AB8" s="773" t="e">
        <f t="shared" ref="AB8:AB40" si="4">D8/H8</f>
        <v>#DIV/0!</v>
      </c>
      <c r="AC8" s="773" t="e">
        <f t="shared" ref="AC8:AC40" si="5">D8/J8</f>
        <v>#DIV/0!</v>
      </c>
    </row>
    <row r="9" spans="1:29" s="117" customFormat="1">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3" t="s">
        <v>2510</v>
      </c>
      <c r="Q9" s="1797" t="str">
        <f t="shared" ref="Q9:Q15" si="6">B9</f>
        <v>用途</v>
      </c>
      <c r="R9" s="770" t="s">
        <v>17</v>
      </c>
      <c r="S9" s="771">
        <f t="shared" si="0"/>
        <v>100</v>
      </c>
      <c r="T9" s="770" t="s">
        <v>17</v>
      </c>
      <c r="U9" s="771">
        <f t="shared" si="1"/>
        <v>100</v>
      </c>
      <c r="V9" s="770" t="s">
        <v>17</v>
      </c>
      <c r="W9" s="771">
        <f t="shared" si="2"/>
        <v>100</v>
      </c>
      <c r="X9" s="772"/>
      <c r="Y9" s="3064"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3"/>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3"/>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13"/>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13"/>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13"/>
      <c r="Q14" s="1797">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15">
      <c r="A15" s="440" t="s">
        <v>2514</v>
      </c>
      <c r="B15" s="69" t="s">
        <v>2657</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5" t="s">
        <v>2515</v>
      </c>
      <c r="Q15" s="1812" t="str">
        <f t="shared" si="6"/>
        <v>产业集聚程度</v>
      </c>
      <c r="R15" s="774" t="s">
        <v>17</v>
      </c>
      <c r="S15" s="775">
        <f t="shared" si="0"/>
        <v>100</v>
      </c>
      <c r="T15" s="774" t="s">
        <v>17</v>
      </c>
      <c r="U15" s="775">
        <f t="shared" si="1"/>
        <v>100</v>
      </c>
      <c r="V15" s="774" t="s">
        <v>17</v>
      </c>
      <c r="W15" s="775">
        <f t="shared" si="2"/>
        <v>100</v>
      </c>
      <c r="X15" s="1815"/>
      <c r="Y15" s="3215" t="s">
        <v>2515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16"/>
      <c r="Q16" s="1812"/>
      <c r="R16" s="774"/>
      <c r="S16" s="775"/>
      <c r="T16" s="774"/>
      <c r="U16" s="775"/>
      <c r="V16" s="774"/>
      <c r="W16" s="775"/>
      <c r="X16" s="1815"/>
      <c r="Y16" s="3216"/>
      <c r="Z16" s="1816"/>
      <c r="AA16" s="1813">
        <v>1</v>
      </c>
      <c r="AB16" s="1813">
        <v>1</v>
      </c>
      <c r="AC16" s="1813">
        <v>1</v>
      </c>
    </row>
    <row r="17" spans="1:29" ht="15">
      <c r="A17" s="428"/>
      <c r="B17" s="451" t="s">
        <v>2056</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6"/>
      <c r="Q17" s="1812" t="str">
        <f>B17</f>
        <v>交通便捷度</v>
      </c>
      <c r="R17" s="774" t="s">
        <v>17</v>
      </c>
      <c r="S17" s="775">
        <f>F17</f>
        <v>100</v>
      </c>
      <c r="T17" s="774" t="s">
        <v>17</v>
      </c>
      <c r="U17" s="775">
        <f>H17</f>
        <v>100</v>
      </c>
      <c r="V17" s="774" t="s">
        <v>17</v>
      </c>
      <c r="W17" s="775">
        <f>J17</f>
        <v>100</v>
      </c>
      <c r="X17" s="1815"/>
      <c r="Y17" s="321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216"/>
      <c r="Q18" s="1812"/>
      <c r="R18" s="774"/>
      <c r="S18" s="775"/>
      <c r="T18" s="774"/>
      <c r="U18" s="775"/>
      <c r="V18" s="774"/>
      <c r="W18" s="775"/>
      <c r="X18" s="1815"/>
      <c r="Y18" s="3216"/>
      <c r="Z18" s="1816"/>
      <c r="AA18" s="1813">
        <v>1</v>
      </c>
      <c r="AB18" s="1813">
        <v>1</v>
      </c>
      <c r="AC18" s="1813">
        <v>1</v>
      </c>
    </row>
    <row r="19" spans="1:29" ht="15">
      <c r="A19" s="428"/>
      <c r="B19" s="451" t="s">
        <v>2642</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6"/>
      <c r="Q19" s="1812" t="str">
        <f>B19</f>
        <v>公共配套设施</v>
      </c>
      <c r="R19" s="774" t="s">
        <v>17</v>
      </c>
      <c r="S19" s="775">
        <f>F19</f>
        <v>100</v>
      </c>
      <c r="T19" s="774" t="s">
        <v>17</v>
      </c>
      <c r="U19" s="775">
        <f>H19</f>
        <v>100</v>
      </c>
      <c r="V19" s="774" t="s">
        <v>17</v>
      </c>
      <c r="W19" s="775">
        <f>J19</f>
        <v>100</v>
      </c>
      <c r="X19" s="1815"/>
      <c r="Y19" s="321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216"/>
      <c r="Q20" s="1812"/>
      <c r="R20" s="774"/>
      <c r="S20" s="775"/>
      <c r="T20" s="774"/>
      <c r="U20" s="775"/>
      <c r="V20" s="774"/>
      <c r="W20" s="775"/>
      <c r="X20" s="1815"/>
      <c r="Y20" s="3216"/>
      <c r="Z20" s="1816"/>
      <c r="AA20" s="1813">
        <v>1</v>
      </c>
      <c r="AB20" s="1813">
        <v>1</v>
      </c>
      <c r="AC20" s="1813">
        <v>1</v>
      </c>
    </row>
    <row r="21" spans="1:29" ht="15">
      <c r="A21" s="428"/>
      <c r="B21" s="1387" t="s">
        <v>2643</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6"/>
      <c r="Q21" s="1812" t="str">
        <f>B21</f>
        <v>基础设施水平</v>
      </c>
      <c r="R21" s="774" t="s">
        <v>17</v>
      </c>
      <c r="S21" s="775">
        <f>F21</f>
        <v>100</v>
      </c>
      <c r="T21" s="774" t="s">
        <v>17</v>
      </c>
      <c r="U21" s="775">
        <f>H21</f>
        <v>100</v>
      </c>
      <c r="V21" s="774" t="s">
        <v>17</v>
      </c>
      <c r="W21" s="775">
        <f>J21</f>
        <v>100</v>
      </c>
      <c r="X21" s="1815"/>
      <c r="Y21" s="321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216"/>
      <c r="Q22" s="1812"/>
      <c r="R22" s="774"/>
      <c r="S22" s="775"/>
      <c r="T22" s="774"/>
      <c r="U22" s="775"/>
      <c r="V22" s="774"/>
      <c r="W22" s="775"/>
      <c r="X22" s="1815"/>
      <c r="Y22" s="3216"/>
      <c r="Z22" s="1816"/>
      <c r="AA22" s="1813">
        <v>1</v>
      </c>
      <c r="AB22" s="1813">
        <v>1</v>
      </c>
      <c r="AC22" s="1813">
        <v>1</v>
      </c>
    </row>
    <row r="23" spans="1:29" ht="15">
      <c r="A23" s="428"/>
      <c r="B23" s="451" t="s">
        <v>2644</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6"/>
      <c r="Q23" s="1812" t="str">
        <f>B23</f>
        <v>环境质量</v>
      </c>
      <c r="R23" s="774" t="s">
        <v>17</v>
      </c>
      <c r="S23" s="775">
        <f>F23</f>
        <v>100</v>
      </c>
      <c r="T23" s="774" t="s">
        <v>17</v>
      </c>
      <c r="U23" s="775">
        <f>H23</f>
        <v>100</v>
      </c>
      <c r="V23" s="774" t="s">
        <v>17</v>
      </c>
      <c r="W23" s="775">
        <f>J23</f>
        <v>100</v>
      </c>
      <c r="X23" s="1815"/>
      <c r="Y23" s="3216"/>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216"/>
      <c r="Q24" s="1812"/>
      <c r="R24" s="774"/>
      <c r="S24" s="775"/>
      <c r="T24" s="774"/>
      <c r="U24" s="775"/>
      <c r="V24" s="774"/>
      <c r="W24" s="775"/>
      <c r="X24" s="1815"/>
      <c r="Y24" s="321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6"/>
      <c r="Q25" s="1812">
        <f>B25</f>
        <v>111</v>
      </c>
      <c r="R25" s="774" t="s">
        <v>17</v>
      </c>
      <c r="S25" s="775">
        <f>F25</f>
        <v>100</v>
      </c>
      <c r="T25" s="774" t="s">
        <v>17</v>
      </c>
      <c r="U25" s="775">
        <f>H25</f>
        <v>100</v>
      </c>
      <c r="V25" s="774" t="s">
        <v>17</v>
      </c>
      <c r="W25" s="775">
        <f>J25</f>
        <v>100</v>
      </c>
      <c r="X25" s="1815"/>
      <c r="Y25" s="321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6"/>
      <c r="Q26" s="1812">
        <f t="shared" ref="Q26:Q40" si="11">B26</f>
        <v>111</v>
      </c>
      <c r="R26" s="774" t="s">
        <v>17</v>
      </c>
      <c r="S26" s="775">
        <f>F26</f>
        <v>100</v>
      </c>
      <c r="T26" s="774" t="s">
        <v>17</v>
      </c>
      <c r="U26" s="775">
        <f>H26</f>
        <v>100</v>
      </c>
      <c r="V26" s="774" t="s">
        <v>17</v>
      </c>
      <c r="W26" s="775">
        <f>J26</f>
        <v>100</v>
      </c>
      <c r="X26" s="1815"/>
      <c r="Y26" s="321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6"/>
      <c r="Q27" s="1797">
        <f t="shared" si="11"/>
        <v>111</v>
      </c>
      <c r="R27" s="770" t="s">
        <v>17</v>
      </c>
      <c r="S27" s="771">
        <f>F27</f>
        <v>100</v>
      </c>
      <c r="T27" s="770" t="s">
        <v>17</v>
      </c>
      <c r="U27" s="771">
        <f>H27</f>
        <v>100</v>
      </c>
      <c r="V27" s="770" t="s">
        <v>17</v>
      </c>
      <c r="W27" s="771">
        <f>J27</f>
        <v>100</v>
      </c>
      <c r="X27" s="772"/>
      <c r="Y27" s="3216"/>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6"/>
      <c r="Q28" s="1812">
        <f t="shared" si="11"/>
        <v>111</v>
      </c>
      <c r="R28" s="774" t="s">
        <v>17</v>
      </c>
      <c r="S28" s="775">
        <f t="shared" ref="S28:S40" si="12">F28</f>
        <v>100</v>
      </c>
      <c r="T28" s="774" t="s">
        <v>17</v>
      </c>
      <c r="U28" s="775">
        <f t="shared" ref="U28:U40" si="13">H28</f>
        <v>100</v>
      </c>
      <c r="V28" s="774" t="s">
        <v>17</v>
      </c>
      <c r="W28" s="775">
        <f t="shared" ref="W28:W40" si="14">J28</f>
        <v>100</v>
      </c>
      <c r="X28" s="1815"/>
      <c r="Y28" s="3216"/>
      <c r="Z28" s="1816">
        <f t="shared" ref="Z28:Z40" si="15">Q28</f>
        <v>111</v>
      </c>
      <c r="AA28" s="1813">
        <f t="shared" si="3"/>
        <v>1</v>
      </c>
      <c r="AB28" s="1813">
        <f t="shared" si="4"/>
        <v>1</v>
      </c>
      <c r="AC28" s="1813">
        <f t="shared" si="5"/>
        <v>1</v>
      </c>
    </row>
    <row r="29" spans="1:29" ht="15">
      <c r="A29" s="466" t="s">
        <v>2518</v>
      </c>
      <c r="B29" s="71" t="s">
        <v>2647</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17" t="s">
        <v>2520</v>
      </c>
      <c r="Q29" s="1812" t="str">
        <f t="shared" si="11"/>
        <v>建筑类型</v>
      </c>
      <c r="R29" s="774" t="s">
        <v>17</v>
      </c>
      <c r="S29" s="775">
        <f t="shared" si="12"/>
        <v>100</v>
      </c>
      <c r="T29" s="774" t="s">
        <v>17</v>
      </c>
      <c r="U29" s="775">
        <f t="shared" si="13"/>
        <v>100</v>
      </c>
      <c r="V29" s="774" t="s">
        <v>17</v>
      </c>
      <c r="W29" s="775">
        <f t="shared" si="14"/>
        <v>100</v>
      </c>
      <c r="X29" s="1815"/>
      <c r="Y29" s="3218" t="s">
        <v>2520</v>
      </c>
      <c r="Z29" s="1816" t="str">
        <f t="shared" si="15"/>
        <v>建筑类型</v>
      </c>
      <c r="AA29" s="1813">
        <f t="shared" si="3"/>
        <v>1</v>
      </c>
      <c r="AB29" s="1813">
        <f t="shared" si="4"/>
        <v>1</v>
      </c>
      <c r="AC29" s="1813">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13" t="e">
        <f t="shared" si="3"/>
        <v>#N/A</v>
      </c>
      <c r="AB30" s="1813" t="e">
        <f t="shared" si="4"/>
        <v>#N/A</v>
      </c>
      <c r="AC30" s="1813"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8"/>
      <c r="Q31" s="1812" t="str">
        <f t="shared" si="11"/>
        <v>建筑结构</v>
      </c>
      <c r="R31" s="774" t="s">
        <v>17</v>
      </c>
      <c r="S31" s="775">
        <f t="shared" si="12"/>
        <v>100</v>
      </c>
      <c r="T31" s="774" t="s">
        <v>17</v>
      </c>
      <c r="U31" s="775">
        <f t="shared" si="13"/>
        <v>100</v>
      </c>
      <c r="V31" s="774" t="s">
        <v>17</v>
      </c>
      <c r="W31" s="775">
        <f t="shared" si="14"/>
        <v>100</v>
      </c>
      <c r="X31" s="1815"/>
      <c r="Y31" s="3218"/>
      <c r="Z31" s="1816" t="str">
        <f t="shared" si="15"/>
        <v>建筑结构</v>
      </c>
      <c r="AA31" s="1813">
        <f t="shared" si="3"/>
        <v>1</v>
      </c>
      <c r="AB31" s="1813">
        <f t="shared" si="4"/>
        <v>1</v>
      </c>
      <c r="AC31" s="1813">
        <f t="shared" si="5"/>
        <v>1</v>
      </c>
    </row>
    <row r="32" spans="1:29" ht="15">
      <c r="A32" s="472"/>
      <c r="B32" s="422" t="s">
        <v>2615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8"/>
      <c r="Q32" s="1812" t="str">
        <f t="shared" si="11"/>
        <v>公共部分装修</v>
      </c>
      <c r="R32" s="774" t="s">
        <v>17</v>
      </c>
      <c r="S32" s="775">
        <f t="shared" si="12"/>
        <v>100</v>
      </c>
      <c r="T32" s="774" t="s">
        <v>17</v>
      </c>
      <c r="U32" s="775">
        <f t="shared" si="13"/>
        <v>100</v>
      </c>
      <c r="V32" s="774" t="s">
        <v>17</v>
      </c>
      <c r="W32" s="775">
        <f t="shared" si="14"/>
        <v>100</v>
      </c>
      <c r="X32" s="1815"/>
      <c r="Y32" s="3218"/>
      <c r="Z32" s="1816" t="str">
        <f t="shared" si="15"/>
        <v>公共部分装修</v>
      </c>
      <c r="AA32" s="1813">
        <f t="shared" si="3"/>
        <v>1</v>
      </c>
      <c r="AB32" s="1813">
        <f t="shared" si="4"/>
        <v>1</v>
      </c>
      <c r="AC32" s="1813">
        <f t="shared" si="5"/>
        <v>1</v>
      </c>
    </row>
    <row r="33" spans="1:29" ht="15">
      <c r="A33" s="472"/>
      <c r="B33" s="422" t="s">
        <v>2616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8"/>
      <c r="Q33" s="1812" t="str">
        <f t="shared" si="11"/>
        <v>成新度</v>
      </c>
      <c r="R33" s="774" t="s">
        <v>17</v>
      </c>
      <c r="S33" s="775" t="e">
        <f t="shared" si="12"/>
        <v>#N/A</v>
      </c>
      <c r="T33" s="774" t="s">
        <v>17</v>
      </c>
      <c r="U33" s="775" t="e">
        <f t="shared" si="13"/>
        <v>#N/A</v>
      </c>
      <c r="V33" s="774" t="s">
        <v>17</v>
      </c>
      <c r="W33" s="775" t="e">
        <f t="shared" si="14"/>
        <v>#N/A</v>
      </c>
      <c r="X33" s="1815"/>
      <c r="Y33" s="3218"/>
      <c r="Z33" s="1816" t="str">
        <f t="shared" si="15"/>
        <v>成新度</v>
      </c>
      <c r="AA33" s="1813" t="e">
        <f t="shared" si="3"/>
        <v>#N/A</v>
      </c>
      <c r="AB33" s="1813" t="e">
        <f t="shared" si="4"/>
        <v>#N/A</v>
      </c>
      <c r="AC33" s="1813" t="e">
        <f t="shared" si="5"/>
        <v>#N/A</v>
      </c>
    </row>
    <row r="34" spans="1:29" s="117" customFormat="1" ht="15">
      <c r="A34" s="473"/>
      <c r="B34" s="422" t="s">
        <v>2649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8"/>
      <c r="Q34" s="1797"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2617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8" t="s">
        <v>2520</v>
      </c>
      <c r="Q35" s="1812" t="str">
        <f t="shared" si="11"/>
        <v>市政基础设施</v>
      </c>
      <c r="R35" s="774" t="s">
        <v>17</v>
      </c>
      <c r="S35" s="775">
        <f t="shared" si="12"/>
        <v>100</v>
      </c>
      <c r="T35" s="774" t="s">
        <v>17</v>
      </c>
      <c r="U35" s="775">
        <f t="shared" si="13"/>
        <v>100</v>
      </c>
      <c r="V35" s="774" t="s">
        <v>17</v>
      </c>
      <c r="W35" s="775">
        <f t="shared" si="14"/>
        <v>100</v>
      </c>
      <c r="X35" s="1815"/>
      <c r="Y35" s="3218" t="s">
        <v>2520</v>
      </c>
      <c r="Z35" s="1816" t="str">
        <f t="shared" si="15"/>
        <v>市政基础设施</v>
      </c>
      <c r="AA35" s="1813">
        <f t="shared" si="3"/>
        <v>1</v>
      </c>
      <c r="AB35" s="1813">
        <f t="shared" si="4"/>
        <v>1</v>
      </c>
      <c r="AC35" s="1813">
        <f t="shared" si="5"/>
        <v>1</v>
      </c>
    </row>
    <row r="36" spans="1:29" ht="15">
      <c r="A36" s="472"/>
      <c r="B36" s="422" t="s">
        <v>2622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8"/>
      <c r="Q36" s="1812" t="str">
        <f t="shared" si="11"/>
        <v>内部装修</v>
      </c>
      <c r="R36" s="774" t="s">
        <v>17</v>
      </c>
      <c r="S36" s="775">
        <f t="shared" si="12"/>
        <v>100</v>
      </c>
      <c r="T36" s="774" t="s">
        <v>17</v>
      </c>
      <c r="U36" s="775">
        <f t="shared" si="13"/>
        <v>100</v>
      </c>
      <c r="V36" s="774" t="s">
        <v>17</v>
      </c>
      <c r="W36" s="775">
        <f t="shared" si="14"/>
        <v>100</v>
      </c>
      <c r="X36" s="1815"/>
      <c r="Y36" s="3218"/>
      <c r="Z36" s="1816" t="str">
        <f t="shared" si="15"/>
        <v>内部装修</v>
      </c>
      <c r="AA36" s="1813">
        <f t="shared" si="3"/>
        <v>1</v>
      </c>
      <c r="AB36" s="1813">
        <f t="shared" si="4"/>
        <v>1</v>
      </c>
      <c r="AC36" s="1813">
        <f t="shared" si="5"/>
        <v>1</v>
      </c>
    </row>
    <row r="37" spans="1:29" ht="15">
      <c r="A37" s="472"/>
      <c r="B37" s="422" t="s">
        <v>2658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8"/>
      <c r="Q37" s="1812" t="str">
        <f t="shared" si="11"/>
        <v>内部装修状况</v>
      </c>
      <c r="R37" s="774" t="s">
        <v>17</v>
      </c>
      <c r="S37" s="775">
        <f t="shared" si="12"/>
        <v>100</v>
      </c>
      <c r="T37" s="774" t="s">
        <v>17</v>
      </c>
      <c r="U37" s="775">
        <f t="shared" si="13"/>
        <v>100</v>
      </c>
      <c r="V37" s="774" t="s">
        <v>17</v>
      </c>
      <c r="W37" s="775">
        <f t="shared" si="14"/>
        <v>100</v>
      </c>
      <c r="X37" s="1815"/>
      <c r="Y37" s="321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8"/>
      <c r="Q39" s="1812">
        <f t="shared" si="11"/>
        <v>111</v>
      </c>
      <c r="R39" s="774" t="s">
        <v>17</v>
      </c>
      <c r="S39" s="775">
        <f t="shared" si="12"/>
        <v>100</v>
      </c>
      <c r="T39" s="774" t="s">
        <v>17</v>
      </c>
      <c r="U39" s="775">
        <f t="shared" si="13"/>
        <v>100</v>
      </c>
      <c r="V39" s="774" t="s">
        <v>17</v>
      </c>
      <c r="W39" s="775">
        <f t="shared" si="14"/>
        <v>100</v>
      </c>
      <c r="X39" s="1815"/>
      <c r="Y39" s="3218"/>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85"/>
      <c r="Q40" s="1812">
        <f t="shared" si="11"/>
        <v>111</v>
      </c>
      <c r="R40" s="774" t="s">
        <v>17</v>
      </c>
      <c r="S40" s="775">
        <f t="shared" si="12"/>
        <v>100</v>
      </c>
      <c r="T40" s="774" t="s">
        <v>17</v>
      </c>
      <c r="U40" s="775">
        <f t="shared" si="13"/>
        <v>100</v>
      </c>
      <c r="V40" s="774" t="s">
        <v>17</v>
      </c>
      <c r="W40" s="775">
        <f t="shared" si="14"/>
        <v>100</v>
      </c>
      <c r="X40" s="1815"/>
      <c r="Y40" s="3285"/>
      <c r="Z40" s="1816">
        <f t="shared" si="15"/>
        <v>111</v>
      </c>
      <c r="AA40" s="1813">
        <f t="shared" si="3"/>
        <v>1</v>
      </c>
      <c r="AB40" s="1813">
        <f t="shared" si="4"/>
        <v>1</v>
      </c>
      <c r="AC40" s="1813">
        <f t="shared" si="5"/>
        <v>1</v>
      </c>
    </row>
    <row r="41" spans="1:29" ht="15">
      <c r="A41" s="479" t="s">
        <v>2532</v>
      </c>
      <c r="B41" s="480"/>
      <c r="C41" s="1410" t="s">
        <v>1</v>
      </c>
      <c r="D41" s="1411"/>
      <c r="E41" s="1412"/>
      <c r="F41" s="1413"/>
      <c r="G41" s="1414"/>
      <c r="H41" s="1415"/>
      <c r="I41" s="1412"/>
      <c r="J41" s="1415"/>
      <c r="K41" s="783"/>
      <c r="L41" s="1146"/>
      <c r="M41" s="1147"/>
      <c r="N41" s="1134"/>
      <c r="O41" s="1147"/>
      <c r="P41" s="3213" t="str">
        <f>A41</f>
        <v>成交单价（元/平方米）</v>
      </c>
      <c r="Q41" s="3213"/>
      <c r="R41" s="3281">
        <f>E41</f>
        <v>0</v>
      </c>
      <c r="S41" s="3281"/>
      <c r="T41" s="3281">
        <f>G41</f>
        <v>0</v>
      </c>
      <c r="U41" s="3281"/>
      <c r="V41" s="3281">
        <f>I41</f>
        <v>0</v>
      </c>
      <c r="W41" s="3281"/>
      <c r="X41" s="759"/>
      <c r="Y41" s="781"/>
      <c r="Z41" s="759"/>
      <c r="AA41" s="759"/>
      <c r="AB41" s="759"/>
      <c r="AC41" s="759"/>
    </row>
    <row r="42" spans="1:29" ht="15.75" thickBot="1">
      <c r="A42" s="486" t="s">
        <v>2623</v>
      </c>
      <c r="B42" s="487"/>
      <c r="C42" s="1416" t="e">
        <f>R43</f>
        <v>#DIV/0!</v>
      </c>
      <c r="D42" s="1417"/>
      <c r="E42" s="1418" t="e">
        <f>R42</f>
        <v>#DIV/0!</v>
      </c>
      <c r="F42" s="1418"/>
      <c r="G42" s="1416" t="e">
        <f>T42</f>
        <v>#DIV/0!</v>
      </c>
      <c r="H42" s="1417"/>
      <c r="I42" s="1418" t="e">
        <f>V42</f>
        <v>#DIV/0!</v>
      </c>
      <c r="J42" s="1417"/>
      <c r="K42" s="784"/>
      <c r="L42" s="1146"/>
      <c r="M42" s="1147"/>
      <c r="N42" s="1134"/>
      <c r="O42" s="1147"/>
      <c r="P42" s="3213" t="str">
        <f>A42</f>
        <v>比较价值（元/平方米）</v>
      </c>
      <c r="Q42" s="3213"/>
      <c r="R42" s="3281" t="e">
        <f>IF(F1="售价",ROUND(PRODUCT(R41,AA7:AA40),0),ROUND(PRODUCT(R41,AA7:AA40),1))</f>
        <v>#DIV/0!</v>
      </c>
      <c r="S42" s="3281"/>
      <c r="T42" s="3281" t="e">
        <f>IF(F1="售价",ROUND(PRODUCT(T41,AB7:AB40),0),ROUND(PRODUCT(T41,AB7:AB40),1))</f>
        <v>#DIV/0!</v>
      </c>
      <c r="U42" s="3281"/>
      <c r="V42" s="3281" t="e">
        <f>IF(F1="售价",ROUND(PRODUCT(V41,AC7:AC40),0),ROUND(PRODUCT(V41,AC7:AC40),1))</f>
        <v>#DIV/0!</v>
      </c>
      <c r="W42" s="3281"/>
      <c r="X42" s="759"/>
      <c r="Y42" s="759"/>
      <c r="Z42" s="759"/>
      <c r="AA42" s="759"/>
      <c r="AB42" s="759"/>
      <c r="AC42" s="759"/>
    </row>
    <row r="43" spans="1:29" ht="15.75" thickBot="1">
      <c r="A43" s="492" t="s">
        <v>2624</v>
      </c>
      <c r="B43" s="493"/>
      <c r="C43" s="1420" t="e">
        <f>R43</f>
        <v>#DIV/0!</v>
      </c>
      <c r="D43" s="1420"/>
      <c r="E43" s="1420"/>
      <c r="F43" s="1420"/>
      <c r="G43" s="1420"/>
      <c r="H43" s="1420"/>
      <c r="I43" s="1420"/>
      <c r="J43" s="1420"/>
      <c r="K43" s="785"/>
      <c r="L43" s="1146"/>
      <c r="M43" s="1147"/>
      <c r="N43" s="1147"/>
      <c r="O43" s="1147"/>
      <c r="P43" s="3207" t="str">
        <f>A43</f>
        <v>估价对象XX用房的比较价值（楼面单价，元/平方米）</v>
      </c>
      <c r="Q43" s="3208"/>
      <c r="R43" s="3280" t="e">
        <f>IF(F1="售价",ROUND(AVERAGE(R42:V42),0),ROUND(AVERAGE(R42:V42),1))</f>
        <v>#DIV/0!</v>
      </c>
      <c r="S43" s="3280"/>
      <c r="T43" s="3280"/>
      <c r="U43" s="3280"/>
      <c r="V43" s="3280"/>
      <c r="W43" s="328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2628</v>
      </c>
      <c r="B51" s="759"/>
      <c r="C51" s="764"/>
      <c r="D51" s="764"/>
      <c r="E51" s="764"/>
      <c r="F51" s="765"/>
      <c r="G51" s="765"/>
      <c r="H51" s="764"/>
      <c r="I51" s="764"/>
      <c r="J51" s="764"/>
      <c r="K51" s="1163"/>
      <c r="L51" s="1164"/>
      <c r="M51" s="1162"/>
      <c r="N51" s="1162"/>
      <c r="O51" s="1162"/>
      <c r="P51" s="503"/>
      <c r="Q51" s="504"/>
    </row>
    <row r="52" spans="1:17" s="508" customFormat="1" ht="15">
      <c r="A52" s="505" t="s">
        <v>2503</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2539</v>
      </c>
      <c r="B54" s="516"/>
      <c r="C54" s="517"/>
      <c r="D54" s="518"/>
      <c r="E54" s="518"/>
      <c r="F54" s="518"/>
      <c r="G54" s="518"/>
      <c r="H54" s="518"/>
      <c r="I54" s="518"/>
      <c r="J54" s="518"/>
      <c r="K54" s="518"/>
      <c r="L54" s="518"/>
      <c r="M54" s="519"/>
      <c r="N54" s="518"/>
      <c r="O54" s="520"/>
      <c r="P54" s="504"/>
      <c r="Q54" s="504"/>
    </row>
    <row r="55" spans="1:17" s="117" customFormat="1" ht="15">
      <c r="A55" s="521" t="s">
        <v>2505</v>
      </c>
      <c r="B55" s="510"/>
      <c r="C55" s="522" t="s">
        <v>2606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2542</v>
      </c>
      <c r="B57" s="528" t="s">
        <v>2509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2512</v>
      </c>
      <c r="C59" s="539" t="s">
        <v>2543</v>
      </c>
      <c r="D59" s="539" t="s">
        <v>2544</v>
      </c>
      <c r="E59" s="539" t="s">
        <v>2545</v>
      </c>
      <c r="F59" s="539" t="s">
        <v>2546</v>
      </c>
      <c r="G59" s="539" t="s">
        <v>2547</v>
      </c>
      <c r="H59" s="539" t="s">
        <v>2548</v>
      </c>
      <c r="I59" s="539" t="s">
        <v>2549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2514</v>
      </c>
      <c r="B70" s="528" t="s">
        <v>2659</v>
      </c>
      <c r="C70" s="573" t="s">
        <v>2551</v>
      </c>
      <c r="D70" s="573" t="s">
        <v>2552</v>
      </c>
      <c r="E70" s="573" t="s">
        <v>2553</v>
      </c>
      <c r="F70" s="573" t="s">
        <v>2554</v>
      </c>
      <c r="G70" s="573" t="s">
        <v>2555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2556</v>
      </c>
      <c r="C72" s="578" t="s">
        <v>2551</v>
      </c>
      <c r="D72" s="578" t="s">
        <v>2552</v>
      </c>
      <c r="E72" s="578" t="s">
        <v>2553</v>
      </c>
      <c r="F72" s="578" t="s">
        <v>2554</v>
      </c>
      <c r="G72" s="578" t="s">
        <v>2555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2557</v>
      </c>
      <c r="C74" s="578" t="s">
        <v>2551</v>
      </c>
      <c r="D74" s="578" t="s">
        <v>2552</v>
      </c>
      <c r="E74" s="578" t="s">
        <v>2553</v>
      </c>
      <c r="F74" s="578" t="s">
        <v>2554</v>
      </c>
      <c r="G74" s="578" t="s">
        <v>2555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2643</v>
      </c>
      <c r="C76" s="660" t="s">
        <v>2629</v>
      </c>
      <c r="D76" s="660" t="s">
        <v>2630</v>
      </c>
      <c r="E76" s="660" t="s">
        <v>2631</v>
      </c>
      <c r="F76" s="660" t="s">
        <v>2632</v>
      </c>
      <c r="G76" s="660" t="s">
        <v>2633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2652</v>
      </c>
      <c r="C78" s="578" t="s">
        <v>2551</v>
      </c>
      <c r="D78" s="578" t="s">
        <v>2552</v>
      </c>
      <c r="E78" s="578" t="s">
        <v>2553</v>
      </c>
      <c r="F78" s="578" t="s">
        <v>2554</v>
      </c>
      <c r="G78" s="578" t="s">
        <v>2555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2518</v>
      </c>
      <c r="B88" s="528" t="s">
        <v>2566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2567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1960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2660</v>
      </c>
      <c r="C106" s="578" t="s">
        <v>2551</v>
      </c>
      <c r="D106" s="578" t="s">
        <v>2552</v>
      </c>
      <c r="E106" s="578" t="s">
        <v>2553</v>
      </c>
      <c r="F106" s="578" t="s">
        <v>2554</v>
      </c>
      <c r="G106" s="578" t="s">
        <v>2555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2485</v>
      </c>
      <c r="D1" s="1623"/>
      <c r="E1" s="1624"/>
      <c r="F1" s="2590"/>
      <c r="G1" s="1625" t="s">
        <v>2597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2285</v>
      </c>
      <c r="B2" s="1421" t="e">
        <f ca="1">IF(C2="——",IF(B37="元/平方米",ROUND(C39*D3/10000,0),ROUND(F3*C39/10000,0)),IF(B37="元/平方米",ROUND(C39*D3/10000,0),ROUND(F3*C39/10000,0))-D2)</f>
        <v>#DIV/0!</v>
      </c>
      <c r="C2" s="2592"/>
      <c r="D2" s="1127" t="e">
        <f ca="1">SUMIF(INDIRECT("'"&amp;F2&amp;"'"&amp;"!A:A"),"承租人权益价值",INDIRECT("'"&amp;F2&amp;"'"&amp;"!c:c"))</f>
        <v>#REF!</v>
      </c>
      <c r="E2" s="2593" t="s">
        <v>2286</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2287</v>
      </c>
      <c r="B3" s="609" t="e">
        <f ca="1">IF(AND(C2="——",B37="元/平方米"),C39,ROUND(B2*10000/D3,0))</f>
        <v>#DIV/0!</v>
      </c>
      <c r="C3" s="400" t="s">
        <v>2598</v>
      </c>
      <c r="D3" s="399">
        <f>SUMIF('数据-汇总表'!$C19:$C33,D1,'数据-汇总表'!$E19:$E33)</f>
        <v>0</v>
      </c>
      <c r="E3" s="400" t="s">
        <v>2662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2599</v>
      </c>
      <c r="B4" s="402"/>
      <c r="C4" s="3210" t="s">
        <v>2600</v>
      </c>
      <c r="D4" s="3223"/>
      <c r="E4" s="3224" t="s">
        <v>2601</v>
      </c>
      <c r="F4" s="3225"/>
      <c r="G4" s="3210" t="s">
        <v>2602</v>
      </c>
      <c r="H4" s="3223"/>
      <c r="I4" s="3210" t="s">
        <v>2603</v>
      </c>
      <c r="J4" s="3223"/>
      <c r="K4" s="610" t="s">
        <v>2604</v>
      </c>
      <c r="L4" s="1133"/>
      <c r="M4" s="1134"/>
      <c r="N4" s="1134"/>
      <c r="O4" s="1134"/>
      <c r="P4" s="3226" t="s">
        <v>2605</v>
      </c>
      <c r="Q4" s="3227"/>
      <c r="R4" s="3232" t="s">
        <v>2601</v>
      </c>
      <c r="S4" s="3233"/>
      <c r="T4" s="3232" t="s">
        <v>2602</v>
      </c>
      <c r="U4" s="3233"/>
      <c r="V4" s="3219" t="s">
        <v>2603</v>
      </c>
      <c r="W4" s="3219"/>
      <c r="X4" s="1815"/>
      <c r="Y4" s="3232" t="s">
        <v>2605</v>
      </c>
      <c r="Z4" s="3233"/>
      <c r="AA4" s="3220" t="s">
        <v>2601</v>
      </c>
      <c r="AB4" s="3221" t="s">
        <v>2602</v>
      </c>
      <c r="AC4" s="3220" t="s">
        <v>2603</v>
      </c>
    </row>
    <row r="5" spans="1:29" ht="15">
      <c r="A5" s="404"/>
      <c r="B5" s="405"/>
      <c r="C5" s="3240" t="s">
        <v>2497</v>
      </c>
      <c r="D5" s="3241"/>
      <c r="E5" s="3248" t="s">
        <v>2498</v>
      </c>
      <c r="F5" s="3249"/>
      <c r="G5" s="3240" t="s">
        <v>2499</v>
      </c>
      <c r="H5" s="3241"/>
      <c r="I5" s="3240" t="s">
        <v>2500</v>
      </c>
      <c r="J5" s="3241"/>
      <c r="K5" s="610"/>
      <c r="L5" s="1133"/>
      <c r="M5" s="1134"/>
      <c r="N5" s="1134"/>
      <c r="O5" s="1134"/>
      <c r="P5" s="3228"/>
      <c r="Q5" s="3229"/>
      <c r="R5" s="3234"/>
      <c r="S5" s="3235"/>
      <c r="T5" s="3234"/>
      <c r="U5" s="3235"/>
      <c r="V5" s="3219"/>
      <c r="W5" s="3219"/>
      <c r="X5" s="1815"/>
      <c r="Y5" s="3234"/>
      <c r="Z5" s="3235"/>
      <c r="AA5" s="3221"/>
      <c r="AB5" s="3221"/>
      <c r="AC5" s="3221"/>
    </row>
    <row r="6" spans="1:29" ht="15.75" thickBot="1">
      <c r="A6" s="406"/>
      <c r="B6" s="407"/>
      <c r="C6" s="3238" t="s">
        <v>2501</v>
      </c>
      <c r="D6" s="3239"/>
      <c r="E6" s="3246" t="s">
        <v>2501</v>
      </c>
      <c r="F6" s="3247"/>
      <c r="G6" s="3238" t="s">
        <v>2501</v>
      </c>
      <c r="H6" s="3239"/>
      <c r="I6" s="3238" t="s">
        <v>2501</v>
      </c>
      <c r="J6" s="3239"/>
      <c r="K6" s="610" t="s">
        <v>2502</v>
      </c>
      <c r="L6" s="1133"/>
      <c r="M6" s="1134"/>
      <c r="N6" s="1134"/>
      <c r="O6" s="1134"/>
      <c r="P6" s="3230"/>
      <c r="Q6" s="3231"/>
      <c r="R6" s="3234"/>
      <c r="S6" s="3235"/>
      <c r="T6" s="3236"/>
      <c r="U6" s="3237"/>
      <c r="V6" s="3219"/>
      <c r="W6" s="3219"/>
      <c r="X6" s="1815"/>
      <c r="Y6" s="3236"/>
      <c r="Z6" s="3237"/>
      <c r="AA6" s="3222"/>
      <c r="AB6" s="3222"/>
      <c r="AC6" s="3222"/>
    </row>
    <row r="7" spans="1:29" s="117" customFormat="1" ht="15.75" thickBot="1">
      <c r="A7" s="408" t="s">
        <v>2503</v>
      </c>
      <c r="B7" s="409"/>
      <c r="C7" s="410">
        <f>'数据-取费表'!B2</f>
        <v>43321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2" t="s">
        <v>2504</v>
      </c>
      <c r="Q7" s="3244"/>
      <c r="R7" s="770" t="s">
        <v>17</v>
      </c>
      <c r="S7" s="771">
        <f t="shared" ref="S7:S14" si="0">F7</f>
        <v>0</v>
      </c>
      <c r="T7" s="770" t="s">
        <v>17</v>
      </c>
      <c r="U7" s="771">
        <f t="shared" ref="U7:U14" si="1">H7</f>
        <v>0</v>
      </c>
      <c r="V7" s="770" t="s">
        <v>17</v>
      </c>
      <c r="W7" s="771">
        <f t="shared" ref="W7:W14" si="2">J7</f>
        <v>0</v>
      </c>
      <c r="X7" s="772"/>
      <c r="Y7" s="3242" t="s">
        <v>2504</v>
      </c>
      <c r="Z7" s="3243"/>
      <c r="AA7" s="773" t="e">
        <f>D7/F7</f>
        <v>#DIV/0!</v>
      </c>
      <c r="AB7" s="773" t="e">
        <f>D7/H7</f>
        <v>#DIV/0!</v>
      </c>
      <c r="AC7" s="773" t="e">
        <f>D7/J7</f>
        <v>#DIV/0!</v>
      </c>
    </row>
    <row r="8" spans="1:29" s="117" customFormat="1" ht="15.75" thickBot="1">
      <c r="A8" s="408" t="s">
        <v>2505</v>
      </c>
      <c r="B8" s="409"/>
      <c r="C8" s="414" t="s">
        <v>2606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2" t="s">
        <v>2507</v>
      </c>
      <c r="Q8" s="3243"/>
      <c r="R8" s="770" t="s">
        <v>17</v>
      </c>
      <c r="S8" s="771">
        <f t="shared" si="0"/>
        <v>0</v>
      </c>
      <c r="T8" s="770" t="s">
        <v>17</v>
      </c>
      <c r="U8" s="771">
        <f t="shared" si="1"/>
        <v>0</v>
      </c>
      <c r="V8" s="770" t="s">
        <v>17</v>
      </c>
      <c r="W8" s="771">
        <f t="shared" si="2"/>
        <v>0</v>
      </c>
      <c r="X8" s="772"/>
      <c r="Y8" s="3242" t="s">
        <v>2507</v>
      </c>
      <c r="Z8" s="3243"/>
      <c r="AA8" s="773" t="e">
        <f t="shared" ref="AA8:AA36" si="3">D8/F8</f>
        <v>#DIV/0!</v>
      </c>
      <c r="AB8" s="773" t="e">
        <f t="shared" ref="AB8:AB36" si="4">D8/H8</f>
        <v>#DIV/0!</v>
      </c>
      <c r="AC8" s="773" t="e">
        <f t="shared" ref="AC8:AC36" si="5">D8/J8</f>
        <v>#DIV/0!</v>
      </c>
    </row>
    <row r="9" spans="1:29" s="117" customFormat="1">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3" t="s">
        <v>2510</v>
      </c>
      <c r="Q9" s="1797" t="str">
        <f t="shared" ref="Q9:Q14" si="6">B9</f>
        <v>用途</v>
      </c>
      <c r="R9" s="770" t="s">
        <v>17</v>
      </c>
      <c r="S9" s="771">
        <f t="shared" si="0"/>
        <v>100</v>
      </c>
      <c r="T9" s="770" t="s">
        <v>17</v>
      </c>
      <c r="U9" s="771">
        <f t="shared" si="1"/>
        <v>100</v>
      </c>
      <c r="V9" s="770" t="s">
        <v>17</v>
      </c>
      <c r="W9" s="771">
        <f t="shared" si="2"/>
        <v>100</v>
      </c>
      <c r="X9" s="772"/>
      <c r="Y9" s="3064" t="s">
        <v>2511</v>
      </c>
      <c r="Z9" s="55" t="str">
        <f t="shared" ref="Z9:Z14" si="7">Q9</f>
        <v>用途</v>
      </c>
      <c r="AA9" s="773">
        <f t="shared" si="3"/>
        <v>1</v>
      </c>
      <c r="AB9" s="773">
        <f t="shared" si="4"/>
        <v>1</v>
      </c>
      <c r="AC9" s="773">
        <f t="shared" si="5"/>
        <v>1</v>
      </c>
    </row>
    <row r="10" spans="1:29" s="427" customFormat="1" ht="27">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3"/>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3"/>
      <c r="Q11" s="1797">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3"/>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3"/>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28.25">
      <c r="A14" s="401" t="s">
        <v>2514</v>
      </c>
      <c r="B14" s="629" t="s">
        <v>2663</v>
      </c>
      <c r="C14" s="2699" t="str">
        <f>IF(B1="工业",估价对象房地状况!G4,估价对象房地状况!C6)</f>
        <v>估价对象周边道路密集程度高、周边一公里内有20路、206路等、地铁1号线桂花坪站。停车便捷程度好，综合评价交通便捷度好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5" t="s">
        <v>2515</v>
      </c>
      <c r="Q14" s="1812" t="str">
        <f t="shared" si="6"/>
        <v>交通便捷度</v>
      </c>
      <c r="R14" s="774" t="s">
        <v>17</v>
      </c>
      <c r="S14" s="775">
        <f t="shared" si="0"/>
        <v>100</v>
      </c>
      <c r="T14" s="774" t="s">
        <v>17</v>
      </c>
      <c r="U14" s="775">
        <f t="shared" si="1"/>
        <v>100</v>
      </c>
      <c r="V14" s="774" t="s">
        <v>17</v>
      </c>
      <c r="W14" s="775">
        <f t="shared" si="2"/>
        <v>100</v>
      </c>
      <c r="X14" s="1815"/>
      <c r="Y14" s="3215" t="s">
        <v>2515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16"/>
      <c r="Q15" s="1812"/>
      <c r="R15" s="774"/>
      <c r="S15" s="775"/>
      <c r="T15" s="774"/>
      <c r="U15" s="775"/>
      <c r="V15" s="774"/>
      <c r="W15" s="775"/>
      <c r="X15" s="1815"/>
      <c r="Y15" s="3216"/>
      <c r="Z15" s="1816"/>
      <c r="AA15" s="1813">
        <v>1</v>
      </c>
      <c r="AB15" s="1813">
        <v>1</v>
      </c>
      <c r="AC15" s="1813">
        <v>1</v>
      </c>
    </row>
    <row r="16" spans="1:29" ht="42.75">
      <c r="A16" s="404"/>
      <c r="B16" s="631" t="s">
        <v>2642</v>
      </c>
      <c r="C16" s="2613" t="str">
        <f>IF(B1="工业",估价对象房地状况!G5,估价对象房地状况!C7)</f>
        <v>估价对象所在区域公共配套设施齐备度一般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6"/>
      <c r="Q16" s="1812" t="str">
        <f>B16</f>
        <v>公共配套设施</v>
      </c>
      <c r="R16" s="774" t="s">
        <v>17</v>
      </c>
      <c r="S16" s="775">
        <f>F16</f>
        <v>100</v>
      </c>
      <c r="T16" s="774" t="s">
        <v>17</v>
      </c>
      <c r="U16" s="775">
        <f>H16</f>
        <v>100</v>
      </c>
      <c r="V16" s="774" t="s">
        <v>17</v>
      </c>
      <c r="W16" s="775">
        <f>J16</f>
        <v>100</v>
      </c>
      <c r="X16" s="1815"/>
      <c r="Y16" s="3216"/>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216"/>
      <c r="Q17" s="1812"/>
      <c r="R17" s="774"/>
      <c r="S17" s="775"/>
      <c r="T17" s="774"/>
      <c r="U17" s="775"/>
      <c r="V17" s="774"/>
      <c r="W17" s="775"/>
      <c r="X17" s="1815"/>
      <c r="Y17" s="3216"/>
      <c r="Z17" s="1816"/>
      <c r="AA17" s="1813">
        <v>1</v>
      </c>
      <c r="AB17" s="1813">
        <v>1</v>
      </c>
      <c r="AC17" s="1813">
        <v>1</v>
      </c>
    </row>
    <row r="18" spans="1:29" ht="42.75">
      <c r="A18" s="404"/>
      <c r="B18" s="633" t="s">
        <v>2643</v>
      </c>
      <c r="C18" s="2613"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6"/>
      <c r="Q18" s="1812" t="str">
        <f>B18</f>
        <v>基础设施水平</v>
      </c>
      <c r="R18" s="774" t="s">
        <v>17</v>
      </c>
      <c r="S18" s="775">
        <f>F18</f>
        <v>100</v>
      </c>
      <c r="T18" s="774" t="s">
        <v>17</v>
      </c>
      <c r="U18" s="775">
        <f>H18</f>
        <v>100</v>
      </c>
      <c r="V18" s="774" t="s">
        <v>17</v>
      </c>
      <c r="W18" s="775">
        <f>J18</f>
        <v>100</v>
      </c>
      <c r="X18" s="1815"/>
      <c r="Y18" s="3216"/>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216"/>
      <c r="Q19" s="1812"/>
      <c r="R19" s="774"/>
      <c r="S19" s="775"/>
      <c r="T19" s="774"/>
      <c r="U19" s="775"/>
      <c r="V19" s="774"/>
      <c r="W19" s="775"/>
      <c r="X19" s="1815"/>
      <c r="Y19" s="3216"/>
      <c r="Z19" s="1816"/>
      <c r="AA19" s="1813">
        <v>1</v>
      </c>
      <c r="AB19" s="1813">
        <v>1</v>
      </c>
      <c r="AC19" s="1813">
        <v>1</v>
      </c>
    </row>
    <row r="20" spans="1:29" ht="99.75">
      <c r="A20" s="404"/>
      <c r="B20" s="631" t="s">
        <v>2664</v>
      </c>
      <c r="C20" s="2613" t="str">
        <f>IF(B1="工业",估价对象房地状况!G7,估价对象房地状况!C9)</f>
        <v>区域自然环境：周边有宜春社区公园等；人文环境：周边有盛砚砚博物馆等；综合评价环境状况较好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6"/>
      <c r="Q20" s="1812" t="str">
        <f>B20</f>
        <v>自然及人文环境</v>
      </c>
      <c r="R20" s="774" t="s">
        <v>17</v>
      </c>
      <c r="S20" s="775">
        <f>F20</f>
        <v>100</v>
      </c>
      <c r="T20" s="774" t="s">
        <v>17</v>
      </c>
      <c r="U20" s="775">
        <f>H20</f>
        <v>100</v>
      </c>
      <c r="V20" s="774" t="s">
        <v>17</v>
      </c>
      <c r="W20" s="775">
        <f>J20</f>
        <v>100</v>
      </c>
      <c r="X20" s="1815"/>
      <c r="Y20" s="321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16"/>
      <c r="Q21" s="1812"/>
      <c r="R21" s="774"/>
      <c r="S21" s="775"/>
      <c r="T21" s="774"/>
      <c r="U21" s="775"/>
      <c r="V21" s="774"/>
      <c r="W21" s="775"/>
      <c r="X21" s="1815"/>
      <c r="Y21" s="3216"/>
      <c r="Z21" s="1816"/>
      <c r="AA21" s="1813">
        <v>1</v>
      </c>
      <c r="AB21" s="1813">
        <v>1</v>
      </c>
      <c r="AC21" s="1813">
        <v>1</v>
      </c>
    </row>
    <row r="22" spans="1:29" ht="15">
      <c r="A22" s="404"/>
      <c r="B22" s="631" t="s">
        <v>2665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6"/>
      <c r="Q22" s="1812" t="str">
        <f>B22</f>
        <v>楼层</v>
      </c>
      <c r="R22" s="774" t="s">
        <v>17</v>
      </c>
      <c r="S22" s="775">
        <f>F22</f>
        <v>100</v>
      </c>
      <c r="T22" s="774" t="s">
        <v>17</v>
      </c>
      <c r="U22" s="775">
        <f>H22</f>
        <v>100</v>
      </c>
      <c r="V22" s="774" t="s">
        <v>17</v>
      </c>
      <c r="W22" s="775">
        <f>J22</f>
        <v>100</v>
      </c>
      <c r="X22" s="1815"/>
      <c r="Y22" s="321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6"/>
      <c r="Q23" s="1812">
        <f>B23</f>
        <v>111</v>
      </c>
      <c r="R23" s="774" t="s">
        <v>17</v>
      </c>
      <c r="S23" s="775">
        <f>F23</f>
        <v>100</v>
      </c>
      <c r="T23" s="774" t="s">
        <v>17</v>
      </c>
      <c r="U23" s="775">
        <f>H23</f>
        <v>100</v>
      </c>
      <c r="V23" s="774" t="s">
        <v>17</v>
      </c>
      <c r="W23" s="775">
        <f>J23</f>
        <v>100</v>
      </c>
      <c r="X23" s="1815"/>
      <c r="Y23" s="321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6"/>
      <c r="Q24" s="1812">
        <f t="shared" ref="Q24:Q36" si="11">B24</f>
        <v>111</v>
      </c>
      <c r="R24" s="774" t="s">
        <v>17</v>
      </c>
      <c r="S24" s="775">
        <f>F24</f>
        <v>100</v>
      </c>
      <c r="T24" s="774" t="s">
        <v>17</v>
      </c>
      <c r="U24" s="775">
        <f>H24</f>
        <v>100</v>
      </c>
      <c r="V24" s="774" t="s">
        <v>17</v>
      </c>
      <c r="W24" s="775">
        <f>J24</f>
        <v>100</v>
      </c>
      <c r="X24" s="1815"/>
      <c r="Y24" s="321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6"/>
      <c r="Q25" s="1797">
        <f t="shared" si="11"/>
        <v>111</v>
      </c>
      <c r="R25" s="770" t="s">
        <v>17</v>
      </c>
      <c r="S25" s="771">
        <f>F25</f>
        <v>100</v>
      </c>
      <c r="T25" s="770" t="s">
        <v>17</v>
      </c>
      <c r="U25" s="771">
        <f>H25</f>
        <v>100</v>
      </c>
      <c r="V25" s="770" t="s">
        <v>17</v>
      </c>
      <c r="W25" s="771">
        <f>J25</f>
        <v>100</v>
      </c>
      <c r="X25" s="772"/>
      <c r="Y25" s="3216"/>
      <c r="Z25" s="55">
        <f>Q25</f>
        <v>111</v>
      </c>
      <c r="AA25" s="1813">
        <f>D25/F25</f>
        <v>1</v>
      </c>
      <c r="AB25" s="1813">
        <f>D25/H25</f>
        <v>1</v>
      </c>
      <c r="AC25" s="1813">
        <f>D25/J25</f>
        <v>1</v>
      </c>
    </row>
    <row r="26" spans="1:29" ht="15">
      <c r="A26" s="652" t="s">
        <v>2518</v>
      </c>
      <c r="B26" s="70" t="s">
        <v>2666</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7" t="s">
        <v>2520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18" t="s">
        <v>2520</v>
      </c>
      <c r="Z26" s="1816" t="str">
        <f t="shared" ref="Z26:Z36" si="15">Q26</f>
        <v>配套类型</v>
      </c>
      <c r="AA26" s="1813">
        <f t="shared" si="3"/>
        <v>1</v>
      </c>
      <c r="AB26" s="1813">
        <f t="shared" si="4"/>
        <v>1</v>
      </c>
      <c r="AC26" s="1813">
        <f t="shared" si="5"/>
        <v>1</v>
      </c>
    </row>
    <row r="27" spans="1:29" s="471" customFormat="1" ht="15">
      <c r="A27" s="653"/>
      <c r="B27" s="654" t="s">
        <v>2667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3">
        <f t="shared" si="3"/>
        <v>1</v>
      </c>
      <c r="AB27" s="1813">
        <f t="shared" si="4"/>
        <v>1</v>
      </c>
      <c r="AC27" s="1813">
        <f t="shared" si="5"/>
        <v>1</v>
      </c>
    </row>
    <row r="28" spans="1:29" ht="15">
      <c r="A28" s="656"/>
      <c r="B28" s="654" t="s">
        <v>2668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8"/>
      <c r="Q28" s="1812" t="str">
        <f t="shared" si="11"/>
        <v>公共部分装修</v>
      </c>
      <c r="R28" s="774" t="s">
        <v>17</v>
      </c>
      <c r="S28" s="775">
        <f t="shared" si="12"/>
        <v>100</v>
      </c>
      <c r="T28" s="774" t="s">
        <v>17</v>
      </c>
      <c r="U28" s="775">
        <f t="shared" si="13"/>
        <v>100</v>
      </c>
      <c r="V28" s="774" t="s">
        <v>17</v>
      </c>
      <c r="W28" s="775">
        <f t="shared" si="14"/>
        <v>100</v>
      </c>
      <c r="X28" s="1815"/>
      <c r="Y28" s="3218"/>
      <c r="Z28" s="1816" t="str">
        <f t="shared" si="15"/>
        <v>公共部分装修</v>
      </c>
      <c r="AA28" s="1813">
        <f t="shared" si="3"/>
        <v>1</v>
      </c>
      <c r="AB28" s="1813">
        <f t="shared" si="4"/>
        <v>1</v>
      </c>
      <c r="AC28" s="1813">
        <f t="shared" si="5"/>
        <v>1</v>
      </c>
    </row>
    <row r="29" spans="1:29" ht="15">
      <c r="A29" s="656"/>
      <c r="B29" s="654" t="s">
        <v>2669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8"/>
      <c r="Q29" s="1812" t="str">
        <f t="shared" si="11"/>
        <v>成新率</v>
      </c>
      <c r="R29" s="774" t="s">
        <v>17</v>
      </c>
      <c r="S29" s="775" t="e">
        <f t="shared" si="12"/>
        <v>#N/A</v>
      </c>
      <c r="T29" s="774" t="s">
        <v>17</v>
      </c>
      <c r="U29" s="775" t="e">
        <f t="shared" si="13"/>
        <v>#N/A</v>
      </c>
      <c r="V29" s="774" t="s">
        <v>17</v>
      </c>
      <c r="W29" s="775" t="e">
        <f t="shared" si="14"/>
        <v>#N/A</v>
      </c>
      <c r="X29" s="1815"/>
      <c r="Y29" s="3218"/>
      <c r="Z29" s="1816" t="str">
        <f t="shared" si="15"/>
        <v>成新率</v>
      </c>
      <c r="AA29" s="1813" t="e">
        <f t="shared" si="3"/>
        <v>#N/A</v>
      </c>
      <c r="AB29" s="1813" t="e">
        <f t="shared" si="4"/>
        <v>#N/A</v>
      </c>
      <c r="AC29" s="1813" t="e">
        <f t="shared" si="5"/>
        <v>#N/A</v>
      </c>
    </row>
    <row r="30" spans="1:29" ht="15">
      <c r="A30" s="656"/>
      <c r="B30" s="654" t="s">
        <v>2670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8"/>
      <c r="Q30" s="1812" t="str">
        <f t="shared" si="11"/>
        <v>物业等级</v>
      </c>
      <c r="R30" s="774" t="s">
        <v>17</v>
      </c>
      <c r="S30" s="775">
        <f t="shared" si="12"/>
        <v>100</v>
      </c>
      <c r="T30" s="774" t="s">
        <v>17</v>
      </c>
      <c r="U30" s="775">
        <f t="shared" si="13"/>
        <v>100</v>
      </c>
      <c r="V30" s="774" t="s">
        <v>17</v>
      </c>
      <c r="W30" s="775">
        <f t="shared" si="14"/>
        <v>100</v>
      </c>
      <c r="X30" s="1815"/>
      <c r="Y30" s="3218"/>
      <c r="Z30" s="1816" t="str">
        <f t="shared" si="15"/>
        <v>物业等级</v>
      </c>
      <c r="AA30" s="1813">
        <f t="shared" si="3"/>
        <v>1</v>
      </c>
      <c r="AB30" s="1813">
        <f t="shared" si="4"/>
        <v>1</v>
      </c>
      <c r="AC30" s="1813">
        <f t="shared" si="5"/>
        <v>1</v>
      </c>
    </row>
    <row r="31" spans="1:29" s="117" customFormat="1" ht="15">
      <c r="A31" s="658"/>
      <c r="B31" s="654" t="s">
        <v>2671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8"/>
      <c r="Q31" s="1797"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2672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8" t="s">
        <v>2520</v>
      </c>
      <c r="Q32" s="1812" t="str">
        <f t="shared" si="11"/>
        <v>车位类型</v>
      </c>
      <c r="R32" s="774" t="s">
        <v>17</v>
      </c>
      <c r="S32" s="775">
        <f t="shared" si="12"/>
        <v>100</v>
      </c>
      <c r="T32" s="774" t="s">
        <v>17</v>
      </c>
      <c r="U32" s="775">
        <f t="shared" si="13"/>
        <v>100</v>
      </c>
      <c r="V32" s="774" t="s">
        <v>17</v>
      </c>
      <c r="W32" s="775">
        <f t="shared" si="14"/>
        <v>100</v>
      </c>
      <c r="X32" s="1815"/>
      <c r="Y32" s="3218" t="s">
        <v>2520</v>
      </c>
      <c r="Z32" s="1816" t="str">
        <f t="shared" si="15"/>
        <v>车位类型</v>
      </c>
      <c r="AA32" s="1813">
        <f t="shared" si="3"/>
        <v>1</v>
      </c>
      <c r="AB32" s="1813">
        <f t="shared" si="4"/>
        <v>1</v>
      </c>
      <c r="AC32" s="1813">
        <f t="shared" si="5"/>
        <v>1</v>
      </c>
    </row>
    <row r="33" spans="1:29" ht="15">
      <c r="A33" s="656"/>
      <c r="B33" s="654" t="s">
        <v>2673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8"/>
      <c r="Q33" s="1812" t="str">
        <f t="shared" si="11"/>
        <v>是否直接入户</v>
      </c>
      <c r="R33" s="774" t="s">
        <v>17</v>
      </c>
      <c r="S33" s="775">
        <f t="shared" si="12"/>
        <v>100</v>
      </c>
      <c r="T33" s="774" t="s">
        <v>17</v>
      </c>
      <c r="U33" s="775">
        <f t="shared" si="13"/>
        <v>100</v>
      </c>
      <c r="V33" s="774" t="s">
        <v>17</v>
      </c>
      <c r="W33" s="775">
        <f t="shared" si="14"/>
        <v>100</v>
      </c>
      <c r="X33" s="1815"/>
      <c r="Y33" s="321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8"/>
      <c r="Q34" s="1812">
        <f t="shared" si="11"/>
        <v>111</v>
      </c>
      <c r="R34" s="774" t="s">
        <v>17</v>
      </c>
      <c r="S34" s="775">
        <f t="shared" si="12"/>
        <v>100</v>
      </c>
      <c r="T34" s="774" t="s">
        <v>17</v>
      </c>
      <c r="U34" s="775">
        <f t="shared" si="13"/>
        <v>100</v>
      </c>
      <c r="V34" s="774" t="s">
        <v>17</v>
      </c>
      <c r="W34" s="775">
        <f t="shared" si="14"/>
        <v>100</v>
      </c>
      <c r="X34" s="1815"/>
      <c r="Y34" s="321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8"/>
      <c r="Q36" s="1812">
        <f t="shared" si="11"/>
        <v>111</v>
      </c>
      <c r="R36" s="774" t="s">
        <v>17</v>
      </c>
      <c r="S36" s="775">
        <f t="shared" si="12"/>
        <v>100</v>
      </c>
      <c r="T36" s="774" t="s">
        <v>17</v>
      </c>
      <c r="U36" s="775">
        <f t="shared" si="13"/>
        <v>100</v>
      </c>
      <c r="V36" s="774" t="s">
        <v>17</v>
      </c>
      <c r="W36" s="775">
        <f t="shared" si="14"/>
        <v>100</v>
      </c>
      <c r="X36" s="1815"/>
      <c r="Y36" s="3218"/>
      <c r="Z36" s="1816">
        <f t="shared" si="15"/>
        <v>111</v>
      </c>
      <c r="AA36" s="1813">
        <f t="shared" si="3"/>
        <v>1</v>
      </c>
      <c r="AB36" s="1813">
        <f t="shared" si="4"/>
        <v>1</v>
      </c>
      <c r="AC36" s="1813">
        <f t="shared" si="5"/>
        <v>1</v>
      </c>
    </row>
    <row r="37" spans="1:29" ht="15">
      <c r="A37" s="479" t="s">
        <v>2674</v>
      </c>
      <c r="B37" s="2701" t="s">
        <v>2675</v>
      </c>
      <c r="C37" s="1410" t="s">
        <v>1</v>
      </c>
      <c r="D37" s="1411"/>
      <c r="E37" s="1412"/>
      <c r="F37" s="1413"/>
      <c r="G37" s="1414"/>
      <c r="H37" s="1415"/>
      <c r="I37" s="1412"/>
      <c r="J37" s="1415"/>
      <c r="K37" s="619"/>
      <c r="L37" s="1146"/>
      <c r="M37" s="1147"/>
      <c r="N37" s="1134"/>
      <c r="O37" s="1147"/>
      <c r="P37" s="3213" t="str">
        <f>A37</f>
        <v>成交单价</v>
      </c>
      <c r="Q37" s="3213"/>
      <c r="R37" s="3281">
        <f>E37</f>
        <v>0</v>
      </c>
      <c r="S37" s="3281"/>
      <c r="T37" s="3281">
        <f>G37</f>
        <v>0</v>
      </c>
      <c r="U37" s="3281"/>
      <c r="V37" s="3281">
        <f>I37</f>
        <v>0</v>
      </c>
      <c r="W37" s="3281"/>
      <c r="X37" s="759"/>
      <c r="Y37" s="781"/>
      <c r="Z37" s="759"/>
      <c r="AA37" s="759"/>
      <c r="AB37" s="759"/>
      <c r="AC37" s="759"/>
    </row>
    <row r="38" spans="1:29" ht="15.75" thickBot="1">
      <c r="A38" s="486" t="s">
        <v>2676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3" t="str">
        <f>A38</f>
        <v>比较价值（元/平方米）</v>
      </c>
      <c r="Q38" s="3213"/>
      <c r="R38" s="3281" t="e">
        <f>IF(F1="售价",ROUND(PRODUCT(R37,AA7:AA36),0),ROUND(PRODUCT(R37,AA7:AA36),1))</f>
        <v>#DIV/0!</v>
      </c>
      <c r="S38" s="3281"/>
      <c r="T38" s="3281" t="e">
        <f>IF(F1="售价",ROUND(PRODUCT(T37,AB7:AB36),0),ROUND(PRODUCT(T37,AB7:AB36),1))</f>
        <v>#DIV/0!</v>
      </c>
      <c r="U38" s="3281"/>
      <c r="V38" s="3281" t="e">
        <f>IF(F1="售价",ROUND(PRODUCT(V37,AC7:AC36),0),ROUND(PRODUCT(V37,AC7:AC36),1))</f>
        <v>#DIV/0!</v>
      </c>
      <c r="W38" s="3281"/>
      <c r="X38" s="759"/>
      <c r="Y38" s="759"/>
      <c r="Z38" s="759"/>
      <c r="AA38" s="759"/>
      <c r="AB38" s="759"/>
      <c r="AC38" s="759"/>
    </row>
    <row r="39" spans="1:29" ht="15.75" thickBot="1">
      <c r="A39" s="492" t="s">
        <v>2677</v>
      </c>
      <c r="B39" s="493"/>
      <c r="C39" s="1420" t="e">
        <f>R39</f>
        <v>#DIV/0!</v>
      </c>
      <c r="D39" s="1420"/>
      <c r="E39" s="1420"/>
      <c r="F39" s="1420"/>
      <c r="G39" s="1420"/>
      <c r="H39" s="1420"/>
      <c r="I39" s="1420"/>
      <c r="J39" s="1420"/>
      <c r="K39" s="621"/>
      <c r="L39" s="1146"/>
      <c r="M39" s="1147"/>
      <c r="N39" s="1147"/>
      <c r="O39" s="1147"/>
      <c r="P39" s="3207" t="str">
        <f>A39</f>
        <v>估价对象XX用房的比较价值（楼面单价，元/平方米）</v>
      </c>
      <c r="Q39" s="3208"/>
      <c r="R39" s="3280" t="e">
        <f>IF(F1="售价",ROUND(AVERAGE(R38:V38),0),ROUND(AVERAGE(R38:V38),1))</f>
        <v>#DIV/0!</v>
      </c>
      <c r="S39" s="3280"/>
      <c r="T39" s="3280"/>
      <c r="U39" s="3280"/>
      <c r="V39" s="3280"/>
      <c r="W39" s="328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2681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2682</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2505</v>
      </c>
      <c r="B51" s="510"/>
      <c r="C51" s="522" t="s">
        <v>2606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2542</v>
      </c>
      <c r="B53" s="528" t="s">
        <v>2509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2512</v>
      </c>
      <c r="C55" s="539" t="s">
        <v>2543</v>
      </c>
      <c r="D55" s="539" t="s">
        <v>2544</v>
      </c>
      <c r="E55" s="539" t="s">
        <v>2545</v>
      </c>
      <c r="F55" s="539" t="s">
        <v>2546</v>
      </c>
      <c r="G55" s="539" t="s">
        <v>2547</v>
      </c>
      <c r="H55" s="539" t="s">
        <v>2548</v>
      </c>
      <c r="I55" s="539" t="s">
        <v>2549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2514</v>
      </c>
      <c r="B63" s="528" t="s">
        <v>2556</v>
      </c>
      <c r="C63" s="573" t="s">
        <v>2551</v>
      </c>
      <c r="D63" s="573" t="s">
        <v>2552</v>
      </c>
      <c r="E63" s="573" t="s">
        <v>2553</v>
      </c>
      <c r="F63" s="573" t="s">
        <v>2554</v>
      </c>
      <c r="G63" s="573" t="s">
        <v>2555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2557</v>
      </c>
      <c r="C65" s="578" t="s">
        <v>2551</v>
      </c>
      <c r="D65" s="578" t="s">
        <v>2552</v>
      </c>
      <c r="E65" s="578" t="s">
        <v>2553</v>
      </c>
      <c r="F65" s="578" t="s">
        <v>2554</v>
      </c>
      <c r="G65" s="578" t="s">
        <v>2555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2643</v>
      </c>
      <c r="C67" s="660" t="s">
        <v>2629</v>
      </c>
      <c r="D67" s="660" t="s">
        <v>2630</v>
      </c>
      <c r="E67" s="660" t="s">
        <v>2631</v>
      </c>
      <c r="F67" s="660" t="s">
        <v>2632</v>
      </c>
      <c r="G67" s="660" t="s">
        <v>2633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2563</v>
      </c>
      <c r="C69" s="578" t="s">
        <v>2551</v>
      </c>
      <c r="D69" s="578" t="s">
        <v>2552</v>
      </c>
      <c r="E69" s="578" t="s">
        <v>2553</v>
      </c>
      <c r="F69" s="578" t="s">
        <v>2554</v>
      </c>
      <c r="G69" s="578" t="s">
        <v>2555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2683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2518</v>
      </c>
      <c r="B79" s="528" t="s">
        <v>2684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IF(C2="——",ROUND(C37*D3/10000,0),ROUND(C37*D3/10000,0)-D2)</f>
        <v>#DIV/0!</v>
      </c>
      <c r="C2" s="2592"/>
      <c r="D2" s="1127" t="e">
        <f ca="1">SUMIF(INDIRECT("'"&amp;F2&amp;"'"&amp;"!A:A"),"承租人权益价值",INDIRECT("'"&amp;F2&amp;"'"&amp;"!c:c"))</f>
        <v>#REF!</v>
      </c>
      <c r="E2" s="2593" t="s">
        <v>2286</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 ca="1">IF(C2="——",C37,ROUND(B2*10000/D3,0))</f>
        <v>#DIV/0!</v>
      </c>
      <c r="C3" s="400" t="s">
        <v>2598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210" t="s">
        <v>2600</v>
      </c>
      <c r="D4" s="3223"/>
      <c r="E4" s="3224" t="s">
        <v>2601</v>
      </c>
      <c r="F4" s="3225"/>
      <c r="G4" s="3210" t="s">
        <v>2602</v>
      </c>
      <c r="H4" s="3223"/>
      <c r="I4" s="3210" t="s">
        <v>2603</v>
      </c>
      <c r="J4" s="3223"/>
      <c r="K4" s="610" t="s">
        <v>2604</v>
      </c>
      <c r="L4" s="1133"/>
      <c r="M4" s="1134"/>
      <c r="N4" s="1134"/>
      <c r="O4" s="1134"/>
      <c r="P4" s="3226" t="s">
        <v>2605</v>
      </c>
      <c r="Q4" s="3227"/>
      <c r="R4" s="3232" t="s">
        <v>2601</v>
      </c>
      <c r="S4" s="3233"/>
      <c r="T4" s="3232" t="s">
        <v>2602</v>
      </c>
      <c r="U4" s="3233"/>
      <c r="V4" s="3219" t="s">
        <v>2603</v>
      </c>
      <c r="W4" s="3219"/>
      <c r="X4" s="1815"/>
      <c r="Y4" s="3232" t="s">
        <v>2605</v>
      </c>
      <c r="Z4" s="3233"/>
      <c r="AA4" s="3220" t="s">
        <v>2601</v>
      </c>
      <c r="AB4" s="3221" t="s">
        <v>2602</v>
      </c>
      <c r="AC4" s="3220" t="s">
        <v>2603</v>
      </c>
    </row>
    <row r="5" spans="1:29" ht="15">
      <c r="A5" s="404"/>
      <c r="B5" s="405"/>
      <c r="C5" s="3240" t="s">
        <v>2497</v>
      </c>
      <c r="D5" s="3241"/>
      <c r="E5" s="3248" t="s">
        <v>2498</v>
      </c>
      <c r="F5" s="3249"/>
      <c r="G5" s="3240" t="s">
        <v>2499</v>
      </c>
      <c r="H5" s="3241"/>
      <c r="I5" s="3240" t="s">
        <v>2500</v>
      </c>
      <c r="J5" s="3241"/>
      <c r="K5" s="610"/>
      <c r="L5" s="1133"/>
      <c r="M5" s="1134"/>
      <c r="N5" s="1134"/>
      <c r="O5" s="1134"/>
      <c r="P5" s="3228"/>
      <c r="Q5" s="3229"/>
      <c r="R5" s="3234"/>
      <c r="S5" s="3235"/>
      <c r="T5" s="3234"/>
      <c r="U5" s="3235"/>
      <c r="V5" s="3219"/>
      <c r="W5" s="3219"/>
      <c r="X5" s="1815"/>
      <c r="Y5" s="3234"/>
      <c r="Z5" s="3235"/>
      <c r="AA5" s="3221"/>
      <c r="AB5" s="3221"/>
      <c r="AC5" s="3221"/>
    </row>
    <row r="6" spans="1:29" ht="15.75" thickBot="1">
      <c r="A6" s="406"/>
      <c r="B6" s="407"/>
      <c r="C6" s="3238" t="s">
        <v>2501</v>
      </c>
      <c r="D6" s="3239"/>
      <c r="E6" s="3246" t="s">
        <v>2501</v>
      </c>
      <c r="F6" s="3247"/>
      <c r="G6" s="3238" t="s">
        <v>2501</v>
      </c>
      <c r="H6" s="3239"/>
      <c r="I6" s="3238" t="s">
        <v>2501</v>
      </c>
      <c r="J6" s="3239"/>
      <c r="K6" s="610" t="s">
        <v>2502</v>
      </c>
      <c r="L6" s="1133"/>
      <c r="M6" s="1134"/>
      <c r="N6" s="1134"/>
      <c r="O6" s="1134"/>
      <c r="P6" s="3230"/>
      <c r="Q6" s="3231"/>
      <c r="R6" s="3234"/>
      <c r="S6" s="3235"/>
      <c r="T6" s="3236"/>
      <c r="U6" s="3237"/>
      <c r="V6" s="3219"/>
      <c r="W6" s="3219"/>
      <c r="X6" s="1815"/>
      <c r="Y6" s="3236"/>
      <c r="Z6" s="3237"/>
      <c r="AA6" s="3222"/>
      <c r="AB6" s="3222"/>
      <c r="AC6" s="3222"/>
    </row>
    <row r="7" spans="1:29" s="117" customFormat="1" ht="15.75" thickBot="1">
      <c r="A7" s="408" t="s">
        <v>2503</v>
      </c>
      <c r="B7" s="409"/>
      <c r="C7" s="410">
        <f>'数据-取费表'!B2</f>
        <v>43321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42" t="s">
        <v>2504</v>
      </c>
      <c r="Q7" s="3244"/>
      <c r="R7" s="770" t="s">
        <v>17</v>
      </c>
      <c r="S7" s="771">
        <f t="shared" ref="S7:S14" si="0">F7</f>
        <v>0</v>
      </c>
      <c r="T7" s="770" t="s">
        <v>17</v>
      </c>
      <c r="U7" s="771">
        <f t="shared" ref="U7:U14" si="1">H7</f>
        <v>0</v>
      </c>
      <c r="V7" s="770" t="s">
        <v>17</v>
      </c>
      <c r="W7" s="771">
        <f t="shared" ref="W7:W14" si="2">J7</f>
        <v>0</v>
      </c>
      <c r="X7" s="772"/>
      <c r="Y7" s="3242" t="s">
        <v>2504</v>
      </c>
      <c r="Z7" s="3243"/>
      <c r="AA7" s="773" t="e">
        <f>D7/F7</f>
        <v>#DIV/0!</v>
      </c>
      <c r="AB7" s="773" t="e">
        <f>D7/H7</f>
        <v>#DIV/0!</v>
      </c>
      <c r="AC7" s="773" t="e">
        <f>D7/J7</f>
        <v>#DIV/0!</v>
      </c>
    </row>
    <row r="8" spans="1:29" s="117" customFormat="1" ht="15.75" thickBot="1">
      <c r="A8" s="408" t="s">
        <v>2505</v>
      </c>
      <c r="B8" s="409"/>
      <c r="C8" s="414" t="s">
        <v>2606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2" t="s">
        <v>2507</v>
      </c>
      <c r="Q8" s="3243"/>
      <c r="R8" s="770" t="s">
        <v>17</v>
      </c>
      <c r="S8" s="771">
        <f t="shared" si="0"/>
        <v>0</v>
      </c>
      <c r="T8" s="770" t="s">
        <v>17</v>
      </c>
      <c r="U8" s="771">
        <f t="shared" si="1"/>
        <v>0</v>
      </c>
      <c r="V8" s="770" t="s">
        <v>17</v>
      </c>
      <c r="W8" s="771">
        <f t="shared" si="2"/>
        <v>0</v>
      </c>
      <c r="X8" s="772"/>
      <c r="Y8" s="3242" t="s">
        <v>2507</v>
      </c>
      <c r="Z8" s="3243"/>
      <c r="AA8" s="773" t="e">
        <f t="shared" ref="AA8:AA34" si="3">D8/F8</f>
        <v>#DIV/0!</v>
      </c>
      <c r="AB8" s="773" t="e">
        <f t="shared" ref="AB8:AB34" si="4">D8/H8</f>
        <v>#DIV/0!</v>
      </c>
      <c r="AC8" s="773" t="e">
        <f t="shared" ref="AC8:AC34" si="5">D8/J8</f>
        <v>#DIV/0!</v>
      </c>
    </row>
    <row r="9" spans="1:29" s="117" customFormat="1">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3" t="s">
        <v>2510</v>
      </c>
      <c r="Q9" s="1797" t="str">
        <f t="shared" ref="Q9:Q14" si="6">B9</f>
        <v>用途</v>
      </c>
      <c r="R9" s="770" t="s">
        <v>17</v>
      </c>
      <c r="S9" s="771">
        <f t="shared" si="0"/>
        <v>100</v>
      </c>
      <c r="T9" s="770" t="s">
        <v>17</v>
      </c>
      <c r="U9" s="771">
        <f t="shared" si="1"/>
        <v>100</v>
      </c>
      <c r="V9" s="770" t="s">
        <v>17</v>
      </c>
      <c r="W9" s="771">
        <f t="shared" si="2"/>
        <v>100</v>
      </c>
      <c r="X9" s="772"/>
      <c r="Y9" s="3064" t="s">
        <v>2511</v>
      </c>
      <c r="Z9" s="55" t="str">
        <f t="shared" ref="Z9:Z14" si="7">Q9</f>
        <v>用途</v>
      </c>
      <c r="AA9" s="773">
        <f t="shared" si="3"/>
        <v>1</v>
      </c>
      <c r="AB9" s="773">
        <f t="shared" si="4"/>
        <v>1</v>
      </c>
      <c r="AC9" s="773">
        <f t="shared" si="5"/>
        <v>1</v>
      </c>
    </row>
    <row r="10" spans="1:29" s="427" customFormat="1" ht="27">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3"/>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3"/>
      <c r="Q11" s="1797">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3"/>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13"/>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28.25">
      <c r="A14" s="440" t="s">
        <v>2514</v>
      </c>
      <c r="B14" s="69" t="s">
        <v>2663</v>
      </c>
      <c r="C14" s="2699" t="str">
        <f>IF(B1="工业",估价对象房地状况!G4,估价对象房地状况!C6)</f>
        <v>估价对象周边道路密集程度高、周边一公里内有20路、206路等、地铁1号线桂花坪站。停车便捷程度好，综合评价交通便捷度好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5" t="s">
        <v>2515</v>
      </c>
      <c r="Q14" s="1812" t="str">
        <f t="shared" si="6"/>
        <v>交通便捷度</v>
      </c>
      <c r="R14" s="774" t="s">
        <v>17</v>
      </c>
      <c r="S14" s="775">
        <f t="shared" si="0"/>
        <v>100</v>
      </c>
      <c r="T14" s="774" t="s">
        <v>17</v>
      </c>
      <c r="U14" s="775">
        <f t="shared" si="1"/>
        <v>100</v>
      </c>
      <c r="V14" s="774" t="s">
        <v>17</v>
      </c>
      <c r="W14" s="775">
        <f t="shared" si="2"/>
        <v>100</v>
      </c>
      <c r="X14" s="1815"/>
      <c r="Y14" s="3215" t="s">
        <v>2515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16"/>
      <c r="Q15" s="1812"/>
      <c r="R15" s="774"/>
      <c r="S15" s="775"/>
      <c r="T15" s="774"/>
      <c r="U15" s="775"/>
      <c r="V15" s="774"/>
      <c r="W15" s="775"/>
      <c r="X15" s="1815"/>
      <c r="Y15" s="3216"/>
      <c r="Z15" s="1816"/>
      <c r="AA15" s="1813">
        <v>1</v>
      </c>
      <c r="AB15" s="1813">
        <v>1</v>
      </c>
      <c r="AC15" s="1813">
        <v>1</v>
      </c>
    </row>
    <row r="16" spans="1:29" ht="42.75">
      <c r="A16" s="428"/>
      <c r="B16" s="451" t="s">
        <v>2642</v>
      </c>
      <c r="C16" s="2613" t="str">
        <f>IF(B1="工业",估价对象房地状况!G5,估价对象房地状况!C7)</f>
        <v>估价对象所在区域公共配套设施齐备度一般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6"/>
      <c r="Q16" s="1812" t="str">
        <f>B16</f>
        <v>公共配套设施</v>
      </c>
      <c r="R16" s="774" t="s">
        <v>17</v>
      </c>
      <c r="S16" s="775">
        <f>F16</f>
        <v>100</v>
      </c>
      <c r="T16" s="774" t="s">
        <v>17</v>
      </c>
      <c r="U16" s="775">
        <f>H16</f>
        <v>100</v>
      </c>
      <c r="V16" s="774" t="s">
        <v>17</v>
      </c>
      <c r="W16" s="775">
        <f>J16</f>
        <v>100</v>
      </c>
      <c r="X16" s="1815"/>
      <c r="Y16" s="3216"/>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216"/>
      <c r="Q17" s="1812"/>
      <c r="R17" s="774"/>
      <c r="S17" s="775"/>
      <c r="T17" s="774"/>
      <c r="U17" s="775"/>
      <c r="V17" s="774"/>
      <c r="W17" s="775"/>
      <c r="X17" s="1815"/>
      <c r="Y17" s="3216"/>
      <c r="Z17" s="1816"/>
      <c r="AA17" s="1813">
        <v>1</v>
      </c>
      <c r="AB17" s="1813">
        <v>1</v>
      </c>
      <c r="AC17" s="1813">
        <v>1</v>
      </c>
    </row>
    <row r="18" spans="1:29" ht="42.75">
      <c r="A18" s="428"/>
      <c r="B18" s="1387" t="s">
        <v>2643</v>
      </c>
      <c r="C18" s="261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6"/>
      <c r="Q18" s="1812" t="str">
        <f>B18</f>
        <v>基础设施水平</v>
      </c>
      <c r="R18" s="774" t="s">
        <v>17</v>
      </c>
      <c r="S18" s="775">
        <f>F18</f>
        <v>100</v>
      </c>
      <c r="T18" s="774" t="s">
        <v>17</v>
      </c>
      <c r="U18" s="775">
        <f>H18</f>
        <v>100</v>
      </c>
      <c r="V18" s="774" t="s">
        <v>17</v>
      </c>
      <c r="W18" s="775">
        <f>J18</f>
        <v>100</v>
      </c>
      <c r="X18" s="1815"/>
      <c r="Y18" s="3216"/>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216"/>
      <c r="Q19" s="1812"/>
      <c r="R19" s="774"/>
      <c r="S19" s="775"/>
      <c r="T19" s="774"/>
      <c r="U19" s="775"/>
      <c r="V19" s="774"/>
      <c r="W19" s="775"/>
      <c r="X19" s="1815"/>
      <c r="Y19" s="3216"/>
      <c r="Z19" s="1816"/>
      <c r="AA19" s="1813">
        <v>1</v>
      </c>
      <c r="AB19" s="1813">
        <v>1</v>
      </c>
      <c r="AC19" s="1813">
        <v>1</v>
      </c>
    </row>
    <row r="20" spans="1:29" ht="99.75">
      <c r="A20" s="428"/>
      <c r="B20" s="451" t="s">
        <v>2664</v>
      </c>
      <c r="C20" s="2613" t="str">
        <f>IF(B1="工业",估价对象房地状况!G7,估价对象房地状况!C9)</f>
        <v>区域自然环境：周边有宜春社区公园等；人文环境：周边有盛砚砚博物馆等；综合评价环境状况较好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6"/>
      <c r="Q20" s="1812" t="str">
        <f>B20</f>
        <v>自然及人文环境</v>
      </c>
      <c r="R20" s="774" t="s">
        <v>17</v>
      </c>
      <c r="S20" s="775">
        <f>F20</f>
        <v>100</v>
      </c>
      <c r="T20" s="774" t="s">
        <v>17</v>
      </c>
      <c r="U20" s="775">
        <f>H20</f>
        <v>100</v>
      </c>
      <c r="V20" s="774" t="s">
        <v>17</v>
      </c>
      <c r="W20" s="775">
        <f>J20</f>
        <v>100</v>
      </c>
      <c r="X20" s="1815"/>
      <c r="Y20" s="321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16"/>
      <c r="Q21" s="1812"/>
      <c r="R21" s="774"/>
      <c r="S21" s="775"/>
      <c r="T21" s="774"/>
      <c r="U21" s="775"/>
      <c r="V21" s="774"/>
      <c r="W21" s="775"/>
      <c r="X21" s="1815"/>
      <c r="Y21" s="3216"/>
      <c r="Z21" s="1816"/>
      <c r="AA21" s="1813">
        <v>1</v>
      </c>
      <c r="AB21" s="1813">
        <v>1</v>
      </c>
      <c r="AC21" s="1813">
        <v>1</v>
      </c>
    </row>
    <row r="22" spans="1:29" ht="15">
      <c r="A22" s="428"/>
      <c r="B22" s="451" t="s">
        <v>2665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6"/>
      <c r="Q22" s="1812" t="str">
        <f>B22</f>
        <v>楼层</v>
      </c>
      <c r="R22" s="774" t="s">
        <v>17</v>
      </c>
      <c r="S22" s="775">
        <f>F22</f>
        <v>100</v>
      </c>
      <c r="T22" s="774" t="s">
        <v>17</v>
      </c>
      <c r="U22" s="775">
        <f>H22</f>
        <v>100</v>
      </c>
      <c r="V22" s="774" t="s">
        <v>17</v>
      </c>
      <c r="W22" s="775">
        <f>J22</f>
        <v>100</v>
      </c>
      <c r="X22" s="1815"/>
      <c r="Y22" s="3216"/>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6"/>
      <c r="Q23" s="1812">
        <f>B23</f>
        <v>111</v>
      </c>
      <c r="R23" s="774" t="s">
        <v>17</v>
      </c>
      <c r="S23" s="775">
        <f>F23</f>
        <v>100</v>
      </c>
      <c r="T23" s="774" t="s">
        <v>17</v>
      </c>
      <c r="U23" s="775">
        <f>H23</f>
        <v>100</v>
      </c>
      <c r="V23" s="774" t="s">
        <v>17</v>
      </c>
      <c r="W23" s="775">
        <f>J23</f>
        <v>100</v>
      </c>
      <c r="X23" s="1815"/>
      <c r="Y23" s="3216"/>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6"/>
      <c r="Q24" s="1812">
        <f t="shared" ref="Q24:Q34" si="11">B24</f>
        <v>111</v>
      </c>
      <c r="R24" s="774" t="s">
        <v>17</v>
      </c>
      <c r="S24" s="775">
        <f>F24</f>
        <v>100</v>
      </c>
      <c r="T24" s="774" t="s">
        <v>17</v>
      </c>
      <c r="U24" s="775">
        <f>H24</f>
        <v>100</v>
      </c>
      <c r="V24" s="774" t="s">
        <v>17</v>
      </c>
      <c r="W24" s="775">
        <f>J24</f>
        <v>100</v>
      </c>
      <c r="X24" s="1815"/>
      <c r="Y24" s="3216"/>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16"/>
      <c r="Q25" s="1797">
        <f t="shared" si="11"/>
        <v>111</v>
      </c>
      <c r="R25" s="770" t="s">
        <v>17</v>
      </c>
      <c r="S25" s="771">
        <f>F25</f>
        <v>100</v>
      </c>
      <c r="T25" s="770" t="s">
        <v>17</v>
      </c>
      <c r="U25" s="771">
        <f>H25</f>
        <v>100</v>
      </c>
      <c r="V25" s="770" t="s">
        <v>17</v>
      </c>
      <c r="W25" s="771">
        <f>J25</f>
        <v>100</v>
      </c>
      <c r="X25" s="772"/>
      <c r="Y25" s="3216"/>
      <c r="Z25" s="55">
        <f>Q25</f>
        <v>111</v>
      </c>
      <c r="AA25" s="1813">
        <f>D25/F25</f>
        <v>1</v>
      </c>
      <c r="AB25" s="1813">
        <f>D25/H25</f>
        <v>1</v>
      </c>
      <c r="AC25" s="1813">
        <f>D25/J25</f>
        <v>1</v>
      </c>
    </row>
    <row r="26" spans="1:29" ht="15">
      <c r="A26" s="466" t="s">
        <v>2518</v>
      </c>
      <c r="B26" s="71" t="s">
        <v>2668</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17" t="s">
        <v>2520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18" t="s">
        <v>2520</v>
      </c>
      <c r="Z26" s="1816" t="str">
        <f t="shared" ref="Z26:Z34" si="15">Q26</f>
        <v>公共部分装修</v>
      </c>
      <c r="AA26" s="1813">
        <f t="shared" si="3"/>
        <v>1</v>
      </c>
      <c r="AB26" s="1813">
        <f t="shared" si="4"/>
        <v>1</v>
      </c>
      <c r="AC26" s="1813">
        <f t="shared" si="5"/>
        <v>1</v>
      </c>
    </row>
    <row r="27" spans="1:29" s="471" customFormat="1" ht="15">
      <c r="A27" s="468"/>
      <c r="B27" s="422" t="s">
        <v>2669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3" t="e">
        <f t="shared" si="3"/>
        <v>#N/A</v>
      </c>
      <c r="AB27" s="1813" t="e">
        <f t="shared" si="4"/>
        <v>#N/A</v>
      </c>
      <c r="AC27" s="1813" t="e">
        <f t="shared" si="5"/>
        <v>#N/A</v>
      </c>
    </row>
    <row r="28" spans="1:29" ht="15">
      <c r="A28" s="472"/>
      <c r="B28" s="422" t="s">
        <v>2670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8"/>
      <c r="Q28" s="1812" t="str">
        <f t="shared" si="11"/>
        <v>物业等级</v>
      </c>
      <c r="R28" s="774" t="s">
        <v>17</v>
      </c>
      <c r="S28" s="775">
        <f t="shared" si="12"/>
        <v>100</v>
      </c>
      <c r="T28" s="774" t="s">
        <v>17</v>
      </c>
      <c r="U28" s="775">
        <f t="shared" si="13"/>
        <v>100</v>
      </c>
      <c r="V28" s="774" t="s">
        <v>17</v>
      </c>
      <c r="W28" s="775">
        <f t="shared" si="14"/>
        <v>100</v>
      </c>
      <c r="X28" s="1815"/>
      <c r="Y28" s="3218"/>
      <c r="Z28" s="1816" t="str">
        <f t="shared" si="15"/>
        <v>物业等级</v>
      </c>
      <c r="AA28" s="1813">
        <f t="shared" si="3"/>
        <v>1</v>
      </c>
      <c r="AB28" s="1813">
        <f t="shared" si="4"/>
        <v>1</v>
      </c>
      <c r="AC28" s="1813">
        <f t="shared" si="5"/>
        <v>1</v>
      </c>
    </row>
    <row r="29" spans="1:29" ht="15">
      <c r="A29" s="472"/>
      <c r="B29" s="422" t="s">
        <v>2691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8"/>
      <c r="Q29" s="1812" t="str">
        <f t="shared" si="11"/>
        <v>有无电梯</v>
      </c>
      <c r="R29" s="774" t="s">
        <v>17</v>
      </c>
      <c r="S29" s="775">
        <f t="shared" si="12"/>
        <v>100</v>
      </c>
      <c r="T29" s="774" t="s">
        <v>17</v>
      </c>
      <c r="U29" s="775">
        <f t="shared" si="13"/>
        <v>100</v>
      </c>
      <c r="V29" s="774" t="s">
        <v>17</v>
      </c>
      <c r="W29" s="775">
        <f t="shared" si="14"/>
        <v>100</v>
      </c>
      <c r="X29" s="1815"/>
      <c r="Y29" s="3218"/>
      <c r="Z29" s="1816" t="str">
        <f t="shared" si="15"/>
        <v>有无电梯</v>
      </c>
      <c r="AA29" s="1813">
        <f t="shared" si="3"/>
        <v>1</v>
      </c>
      <c r="AB29" s="1813">
        <f t="shared" si="4"/>
        <v>1</v>
      </c>
      <c r="AC29" s="1813">
        <f t="shared" si="5"/>
        <v>1</v>
      </c>
    </row>
    <row r="30" spans="1:29" ht="15">
      <c r="A30" s="472"/>
      <c r="B30" s="422" t="s">
        <v>2692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8"/>
      <c r="Q30" s="1812" t="str">
        <f t="shared" si="11"/>
        <v>建筑面积</v>
      </c>
      <c r="R30" s="774" t="s">
        <v>17</v>
      </c>
      <c r="S30" s="775" t="e">
        <f t="shared" si="12"/>
        <v>#N/A</v>
      </c>
      <c r="T30" s="774" t="s">
        <v>17</v>
      </c>
      <c r="U30" s="775" t="e">
        <f t="shared" si="13"/>
        <v>#N/A</v>
      </c>
      <c r="V30" s="774" t="s">
        <v>17</v>
      </c>
      <c r="W30" s="775" t="e">
        <f t="shared" si="14"/>
        <v>#N/A</v>
      </c>
      <c r="X30" s="1815"/>
      <c r="Y30" s="3218"/>
      <c r="Z30" s="1816" t="str">
        <f t="shared" si="15"/>
        <v>建筑面积</v>
      </c>
      <c r="AA30" s="1813" t="e">
        <f t="shared" si="3"/>
        <v>#N/A</v>
      </c>
      <c r="AB30" s="1813" t="e">
        <f t="shared" si="4"/>
        <v>#N/A</v>
      </c>
      <c r="AC30" s="1813" t="e">
        <f t="shared" si="5"/>
        <v>#N/A</v>
      </c>
    </row>
    <row r="31" spans="1:29" s="117" customFormat="1" ht="15">
      <c r="A31" s="473"/>
      <c r="B31" s="422" t="s">
        <v>2693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8"/>
      <c r="Q31" s="1797"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8" t="s">
        <v>2520</v>
      </c>
      <c r="Q32" s="1812">
        <f t="shared" si="11"/>
        <v>111</v>
      </c>
      <c r="R32" s="774" t="s">
        <v>17</v>
      </c>
      <c r="S32" s="775">
        <f t="shared" si="12"/>
        <v>100</v>
      </c>
      <c r="T32" s="774" t="s">
        <v>17</v>
      </c>
      <c r="U32" s="775">
        <f t="shared" si="13"/>
        <v>100</v>
      </c>
      <c r="V32" s="774" t="s">
        <v>17</v>
      </c>
      <c r="W32" s="775">
        <f t="shared" si="14"/>
        <v>100</v>
      </c>
      <c r="X32" s="1815"/>
      <c r="Y32" s="3218" t="s">
        <v>2520</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8"/>
      <c r="Q33" s="1812">
        <f t="shared" si="11"/>
        <v>111</v>
      </c>
      <c r="R33" s="774" t="s">
        <v>17</v>
      </c>
      <c r="S33" s="775">
        <f t="shared" si="12"/>
        <v>100</v>
      </c>
      <c r="T33" s="774" t="s">
        <v>17</v>
      </c>
      <c r="U33" s="775">
        <f t="shared" si="13"/>
        <v>100</v>
      </c>
      <c r="V33" s="774" t="s">
        <v>17</v>
      </c>
      <c r="W33" s="775">
        <f t="shared" si="14"/>
        <v>100</v>
      </c>
      <c r="X33" s="1815"/>
      <c r="Y33" s="3218"/>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18"/>
      <c r="Q34" s="1812">
        <f t="shared" si="11"/>
        <v>111</v>
      </c>
      <c r="R34" s="774" t="s">
        <v>17</v>
      </c>
      <c r="S34" s="775">
        <f t="shared" si="12"/>
        <v>100</v>
      </c>
      <c r="T34" s="774" t="s">
        <v>17</v>
      </c>
      <c r="U34" s="775">
        <f t="shared" si="13"/>
        <v>100</v>
      </c>
      <c r="V34" s="774" t="s">
        <v>17</v>
      </c>
      <c r="W34" s="775">
        <f t="shared" si="14"/>
        <v>100</v>
      </c>
      <c r="X34" s="1815"/>
      <c r="Y34" s="3218"/>
      <c r="Z34" s="1816">
        <f t="shared" si="15"/>
        <v>111</v>
      </c>
      <c r="AA34" s="1813">
        <f t="shared" si="3"/>
        <v>1</v>
      </c>
      <c r="AB34" s="1813">
        <f t="shared" si="4"/>
        <v>1</v>
      </c>
      <c r="AC34" s="1813">
        <f t="shared" si="5"/>
        <v>1</v>
      </c>
    </row>
    <row r="35" spans="1:29" ht="15">
      <c r="A35" s="479" t="s">
        <v>2532</v>
      </c>
      <c r="B35" s="480"/>
      <c r="C35" s="1410" t="s">
        <v>1</v>
      </c>
      <c r="D35" s="1411"/>
      <c r="E35" s="1412"/>
      <c r="F35" s="1413"/>
      <c r="G35" s="1414"/>
      <c r="H35" s="1415"/>
      <c r="I35" s="1412"/>
      <c r="J35" s="1415"/>
      <c r="K35" s="783"/>
      <c r="L35" s="1146"/>
      <c r="M35" s="1147"/>
      <c r="N35" s="1134"/>
      <c r="O35" s="1147"/>
      <c r="P35" s="3213" t="str">
        <f>A35</f>
        <v>成交单价（元/平方米）</v>
      </c>
      <c r="Q35" s="3213"/>
      <c r="R35" s="3281">
        <f>E35</f>
        <v>0</v>
      </c>
      <c r="S35" s="3281"/>
      <c r="T35" s="3281">
        <f>G35</f>
        <v>0</v>
      </c>
      <c r="U35" s="3281"/>
      <c r="V35" s="3281">
        <f>I35</f>
        <v>0</v>
      </c>
      <c r="W35" s="3281"/>
      <c r="X35" s="759"/>
      <c r="Y35" s="781"/>
      <c r="Z35" s="759"/>
      <c r="AA35" s="759"/>
      <c r="AB35" s="759"/>
      <c r="AC35" s="759"/>
    </row>
    <row r="36" spans="1:29" ht="15.75" thickBot="1">
      <c r="A36" s="486" t="s">
        <v>2623</v>
      </c>
      <c r="B36" s="487"/>
      <c r="C36" s="1416" t="e">
        <f>R37</f>
        <v>#DIV/0!</v>
      </c>
      <c r="D36" s="1417"/>
      <c r="E36" s="1418" t="e">
        <f>R36</f>
        <v>#DIV/0!</v>
      </c>
      <c r="F36" s="1418"/>
      <c r="G36" s="1416" t="e">
        <f>T36</f>
        <v>#DIV/0!</v>
      </c>
      <c r="H36" s="1417"/>
      <c r="I36" s="1418" t="e">
        <f>V36</f>
        <v>#DIV/0!</v>
      </c>
      <c r="J36" s="1417"/>
      <c r="K36" s="784"/>
      <c r="L36" s="1146"/>
      <c r="M36" s="1147"/>
      <c r="N36" s="1134"/>
      <c r="O36" s="1147"/>
      <c r="P36" s="3213" t="str">
        <f>A36</f>
        <v>比较价值（元/平方米）</v>
      </c>
      <c r="Q36" s="3213"/>
      <c r="R36" s="3281" t="e">
        <f>IF(F1="售价",ROUND(PRODUCT(R35,AA7:AA34),0),ROUND(PRODUCT(R35,AA7:AA34),1))</f>
        <v>#DIV/0!</v>
      </c>
      <c r="S36" s="3281"/>
      <c r="T36" s="3281" t="e">
        <f>IF(F1="售价",ROUND(PRODUCT(T35,AB7:AB34),0),ROUND(PRODUCT(T35,AB7:AB34),1))</f>
        <v>#DIV/0!</v>
      </c>
      <c r="U36" s="3281"/>
      <c r="V36" s="3281" t="e">
        <f>IF(F1="售价",ROUND(PRODUCT(V35,AC7:AC34),0),ROUND(PRODUCT(V35,AC7:AC34),1))</f>
        <v>#DIV/0!</v>
      </c>
      <c r="W36" s="3281"/>
      <c r="X36" s="759"/>
      <c r="Y36" s="759"/>
      <c r="Z36" s="759"/>
      <c r="AA36" s="759"/>
      <c r="AB36" s="759"/>
      <c r="AC36" s="759"/>
    </row>
    <row r="37" spans="1:29" ht="15.75" thickBot="1">
      <c r="A37" s="492" t="s">
        <v>2624</v>
      </c>
      <c r="B37" s="493"/>
      <c r="C37" s="1420" t="e">
        <f>R37</f>
        <v>#DIV/0!</v>
      </c>
      <c r="D37" s="1420"/>
      <c r="E37" s="1420"/>
      <c r="F37" s="1420"/>
      <c r="G37" s="1420"/>
      <c r="H37" s="1420"/>
      <c r="I37" s="1420"/>
      <c r="J37" s="1420"/>
      <c r="K37" s="785"/>
      <c r="L37" s="1146"/>
      <c r="M37" s="1147"/>
      <c r="N37" s="1147"/>
      <c r="O37" s="1147"/>
      <c r="P37" s="3207" t="str">
        <f>A37</f>
        <v>估价对象XX用房的比较价值（楼面单价，元/平方米）</v>
      </c>
      <c r="Q37" s="3208"/>
      <c r="R37" s="3280" t="e">
        <f>IF(F1="售价",ROUND(AVERAGE(R36:V36),0),ROUND(AVERAGE(R36:V36),1))</f>
        <v>#DIV/0!</v>
      </c>
      <c r="S37" s="3280"/>
      <c r="T37" s="3280"/>
      <c r="U37" s="3280"/>
      <c r="V37" s="3280"/>
      <c r="W37" s="328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2628</v>
      </c>
      <c r="B45" s="759"/>
      <c r="C45" s="764"/>
      <c r="D45" s="764"/>
      <c r="E45" s="764"/>
      <c r="F45" s="765"/>
      <c r="G45" s="765"/>
      <c r="H45" s="764"/>
      <c r="I45" s="764"/>
      <c r="J45" s="764"/>
      <c r="K45" s="766"/>
      <c r="L45" s="767"/>
      <c r="M45" s="764"/>
      <c r="N45" s="764"/>
      <c r="O45" s="764"/>
      <c r="P45" s="503"/>
      <c r="Q45" s="504"/>
    </row>
    <row r="46" spans="1:29" s="508" customFormat="1" ht="15">
      <c r="A46" s="505" t="s">
        <v>2503</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2539</v>
      </c>
      <c r="B48" s="516"/>
      <c r="C48" s="517"/>
      <c r="D48" s="518"/>
      <c r="E48" s="518"/>
      <c r="F48" s="518"/>
      <c r="G48" s="518"/>
      <c r="H48" s="518"/>
      <c r="I48" s="518"/>
      <c r="J48" s="518"/>
      <c r="K48" s="518"/>
      <c r="L48" s="518"/>
      <c r="M48" s="519"/>
      <c r="N48" s="518"/>
      <c r="O48" s="520"/>
      <c r="P48" s="504"/>
      <c r="Q48" s="504"/>
    </row>
    <row r="49" spans="1:17" s="117" customFormat="1" ht="15">
      <c r="A49" s="521" t="s">
        <v>2505</v>
      </c>
      <c r="B49" s="510"/>
      <c r="C49" s="522" t="s">
        <v>2606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2542</v>
      </c>
      <c r="B51" s="528" t="s">
        <v>2509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2512</v>
      </c>
      <c r="C53" s="539" t="s">
        <v>2543</v>
      </c>
      <c r="D53" s="539" t="s">
        <v>2544</v>
      </c>
      <c r="E53" s="539" t="s">
        <v>2545</v>
      </c>
      <c r="F53" s="539" t="s">
        <v>2546</v>
      </c>
      <c r="G53" s="539" t="s">
        <v>2547</v>
      </c>
      <c r="H53" s="539" t="s">
        <v>2548</v>
      </c>
      <c r="I53" s="539" t="s">
        <v>2549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2514</v>
      </c>
      <c r="B61" s="528" t="s">
        <v>2556</v>
      </c>
      <c r="C61" s="573" t="s">
        <v>2551</v>
      </c>
      <c r="D61" s="573" t="s">
        <v>2552</v>
      </c>
      <c r="E61" s="573" t="s">
        <v>2553</v>
      </c>
      <c r="F61" s="573" t="s">
        <v>2554</v>
      </c>
      <c r="G61" s="573" t="s">
        <v>2555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2694</v>
      </c>
      <c r="C63" s="578" t="s">
        <v>2551</v>
      </c>
      <c r="D63" s="578" t="s">
        <v>2552</v>
      </c>
      <c r="E63" s="578" t="s">
        <v>2553</v>
      </c>
      <c r="F63" s="578" t="s">
        <v>2554</v>
      </c>
      <c r="G63" s="578" t="s">
        <v>2555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2643</v>
      </c>
      <c r="C65" s="660" t="s">
        <v>2629</v>
      </c>
      <c r="D65" s="660" t="s">
        <v>2630</v>
      </c>
      <c r="E65" s="660" t="s">
        <v>2631</v>
      </c>
      <c r="F65" s="660" t="s">
        <v>2632</v>
      </c>
      <c r="G65" s="660" t="s">
        <v>2633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2563</v>
      </c>
      <c r="C67" s="578" t="s">
        <v>2551</v>
      </c>
      <c r="D67" s="578" t="s">
        <v>2552</v>
      </c>
      <c r="E67" s="578" t="s">
        <v>2553</v>
      </c>
      <c r="F67" s="578" t="s">
        <v>2554</v>
      </c>
      <c r="G67" s="578" t="s">
        <v>2555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2518</v>
      </c>
      <c r="B77" s="528" t="s">
        <v>2570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2698</v>
      </c>
      <c r="B1" s="395"/>
      <c r="C1" s="396" t="s">
        <v>2749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ROUND(IF(D3="",B2*10000/'数据-汇总表'!E3,B2*10000/D3),0)</f>
        <v>#DIV/0!</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210" t="s">
        <v>2600</v>
      </c>
      <c r="D4" s="3223"/>
      <c r="E4" s="3224" t="s">
        <v>2601</v>
      </c>
      <c r="F4" s="3225"/>
      <c r="G4" s="3210" t="s">
        <v>2602</v>
      </c>
      <c r="H4" s="3223"/>
      <c r="I4" s="3210" t="s">
        <v>2603</v>
      </c>
      <c r="J4" s="3223"/>
      <c r="K4" s="610" t="s">
        <v>2604</v>
      </c>
      <c r="L4" s="1133"/>
      <c r="M4" s="1134"/>
      <c r="N4" s="1134"/>
      <c r="O4" s="1134"/>
      <c r="P4" s="3226" t="s">
        <v>2605</v>
      </c>
      <c r="Q4" s="3227"/>
      <c r="R4" s="3232" t="s">
        <v>2601</v>
      </c>
      <c r="S4" s="3233"/>
      <c r="T4" s="3232" t="s">
        <v>2602</v>
      </c>
      <c r="U4" s="3233"/>
      <c r="V4" s="3219" t="s">
        <v>2603</v>
      </c>
      <c r="W4" s="3219"/>
      <c r="X4" s="1815"/>
      <c r="Y4" s="3232" t="s">
        <v>2605</v>
      </c>
      <c r="Z4" s="3233"/>
      <c r="AA4" s="3220" t="s">
        <v>2601</v>
      </c>
      <c r="AB4" s="3221" t="s">
        <v>2602</v>
      </c>
      <c r="AC4" s="3220" t="s">
        <v>2603</v>
      </c>
    </row>
    <row r="5" spans="1:29" ht="15">
      <c r="A5" s="404"/>
      <c r="B5" s="405"/>
      <c r="C5" s="3240" t="s">
        <v>2497</v>
      </c>
      <c r="D5" s="3241"/>
      <c r="E5" s="3248" t="s">
        <v>2498</v>
      </c>
      <c r="F5" s="3249"/>
      <c r="G5" s="3240" t="s">
        <v>2499</v>
      </c>
      <c r="H5" s="3241"/>
      <c r="I5" s="3240" t="s">
        <v>2500</v>
      </c>
      <c r="J5" s="3241"/>
      <c r="K5" s="610"/>
      <c r="L5" s="1133"/>
      <c r="M5" s="1134"/>
      <c r="N5" s="1134"/>
      <c r="O5" s="1134"/>
      <c r="P5" s="3228"/>
      <c r="Q5" s="3229"/>
      <c r="R5" s="3234"/>
      <c r="S5" s="3235"/>
      <c r="T5" s="3234"/>
      <c r="U5" s="3235"/>
      <c r="V5" s="3219"/>
      <c r="W5" s="3219"/>
      <c r="X5" s="1815"/>
      <c r="Y5" s="3234"/>
      <c r="Z5" s="3235"/>
      <c r="AA5" s="3221"/>
      <c r="AB5" s="3221"/>
      <c r="AC5" s="3221"/>
    </row>
    <row r="6" spans="1:29" ht="15.75" thickBot="1">
      <c r="A6" s="406"/>
      <c r="B6" s="407"/>
      <c r="C6" s="3303" t="s">
        <v>2750</v>
      </c>
      <c r="D6" s="3304"/>
      <c r="E6" s="3305" t="s">
        <v>2750</v>
      </c>
      <c r="F6" s="3306"/>
      <c r="G6" s="3303" t="s">
        <v>2750</v>
      </c>
      <c r="H6" s="3304"/>
      <c r="I6" s="3303" t="s">
        <v>2750</v>
      </c>
      <c r="J6" s="3304"/>
      <c r="K6" s="610" t="s">
        <v>2502</v>
      </c>
      <c r="L6" s="1133"/>
      <c r="M6" s="1134"/>
      <c r="N6" s="1134"/>
      <c r="O6" s="1134"/>
      <c r="P6" s="3230"/>
      <c r="Q6" s="3231"/>
      <c r="R6" s="3234"/>
      <c r="S6" s="3235"/>
      <c r="T6" s="3236"/>
      <c r="U6" s="3237"/>
      <c r="V6" s="3219"/>
      <c r="W6" s="3219"/>
      <c r="X6" s="1815"/>
      <c r="Y6" s="3236"/>
      <c r="Z6" s="3237"/>
      <c r="AA6" s="3222"/>
      <c r="AB6" s="3222"/>
      <c r="AC6" s="3222"/>
    </row>
    <row r="7" spans="1:29" s="117" customFormat="1" ht="15.75" thickBot="1">
      <c r="A7" s="408" t="s">
        <v>2503</v>
      </c>
      <c r="B7" s="409"/>
      <c r="C7" s="410">
        <f>'数据-取费表'!B2</f>
        <v>43321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42" t="s">
        <v>2504</v>
      </c>
      <c r="Q7" s="3244"/>
      <c r="R7" s="770" t="s">
        <v>17</v>
      </c>
      <c r="S7" s="771">
        <f t="shared" ref="S7:S15" si="0">F7</f>
        <v>0</v>
      </c>
      <c r="T7" s="770" t="s">
        <v>17</v>
      </c>
      <c r="U7" s="771">
        <f t="shared" ref="U7:U15" si="1">H7</f>
        <v>0</v>
      </c>
      <c r="V7" s="770" t="s">
        <v>17</v>
      </c>
      <c r="W7" s="771">
        <f t="shared" ref="W7:W15" si="2">J7</f>
        <v>0</v>
      </c>
      <c r="X7" s="772"/>
      <c r="Y7" s="3242" t="s">
        <v>2504</v>
      </c>
      <c r="Z7" s="3243"/>
      <c r="AA7" s="773" t="e">
        <f>D7/F7</f>
        <v>#DIV/0!</v>
      </c>
      <c r="AB7" s="773" t="e">
        <f>D7/H7</f>
        <v>#DIV/0!</v>
      </c>
      <c r="AC7" s="773" t="e">
        <f>D7/J7</f>
        <v>#DIV/0!</v>
      </c>
    </row>
    <row r="8" spans="1:29" s="117" customFormat="1" ht="15.7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2" t="s">
        <v>2507</v>
      </c>
      <c r="Q8" s="3243"/>
      <c r="R8" s="770" t="s">
        <v>17</v>
      </c>
      <c r="S8" s="771">
        <f t="shared" si="0"/>
        <v>0</v>
      </c>
      <c r="T8" s="770" t="s">
        <v>17</v>
      </c>
      <c r="U8" s="771">
        <f t="shared" si="1"/>
        <v>0</v>
      </c>
      <c r="V8" s="770" t="s">
        <v>17</v>
      </c>
      <c r="W8" s="771">
        <f t="shared" si="2"/>
        <v>0</v>
      </c>
      <c r="X8" s="772"/>
      <c r="Y8" s="3242" t="s">
        <v>2507</v>
      </c>
      <c r="Z8" s="3243"/>
      <c r="AA8" s="773" t="e">
        <f t="shared" ref="AA8:AA40" si="3">D8/F8</f>
        <v>#DIV/0!</v>
      </c>
      <c r="AB8" s="773" t="e">
        <f t="shared" ref="AB8:AB40" si="4">D8/H8</f>
        <v>#DIV/0!</v>
      </c>
      <c r="AC8" s="773" t="e">
        <f t="shared" ref="AC8:AC40" si="5">D8/J8</f>
        <v>#DIV/0!</v>
      </c>
    </row>
    <row r="9" spans="1:29" s="117" customFormat="1">
      <c r="A9" s="415" t="s">
        <v>2508</v>
      </c>
      <c r="B9" s="71" t="s">
        <v>2509</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13" t="s">
        <v>2510</v>
      </c>
      <c r="Q9" s="1797" t="str">
        <f t="shared" ref="Q9:Q15" si="6">B9</f>
        <v>用途</v>
      </c>
      <c r="R9" s="770" t="s">
        <v>17</v>
      </c>
      <c r="S9" s="771">
        <f t="shared" si="0"/>
        <v>100</v>
      </c>
      <c r="T9" s="770" t="s">
        <v>17</v>
      </c>
      <c r="U9" s="771">
        <f t="shared" si="1"/>
        <v>100</v>
      </c>
      <c r="V9" s="770" t="s">
        <v>17</v>
      </c>
      <c r="W9" s="771">
        <f t="shared" si="2"/>
        <v>100</v>
      </c>
      <c r="X9" s="772"/>
      <c r="Y9" s="3064" t="s">
        <v>2511</v>
      </c>
      <c r="Z9" s="55" t="str">
        <f t="shared" ref="Z9:Z15" si="7">Q9</f>
        <v>用途</v>
      </c>
      <c r="AA9" s="773">
        <f t="shared" si="3"/>
        <v>1</v>
      </c>
      <c r="AB9" s="773">
        <f t="shared" si="4"/>
        <v>1</v>
      </c>
      <c r="AC9" s="773">
        <f t="shared" si="5"/>
        <v>1</v>
      </c>
    </row>
    <row r="10" spans="1:29" s="427" customFormat="1" ht="27">
      <c r="A10" s="421"/>
      <c r="B10" s="422" t="s">
        <v>2512</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213"/>
      <c r="Q10" s="1797" t="str">
        <f t="shared" si="6"/>
        <v>土地使用年限（年）</v>
      </c>
      <c r="R10" s="770" t="s">
        <v>17</v>
      </c>
      <c r="S10" s="771">
        <f t="shared" si="0"/>
        <v>103</v>
      </c>
      <c r="T10" s="770" t="s">
        <v>17</v>
      </c>
      <c r="U10" s="771">
        <f t="shared" si="1"/>
        <v>103</v>
      </c>
      <c r="V10" s="770" t="s">
        <v>17</v>
      </c>
      <c r="W10" s="771">
        <f t="shared" si="2"/>
        <v>103</v>
      </c>
      <c r="X10" s="772"/>
      <c r="Y10" s="3064"/>
      <c r="Z10" s="55" t="str">
        <f t="shared" si="7"/>
        <v>土地使用年限（年）</v>
      </c>
      <c r="AA10" s="773">
        <f t="shared" si="3"/>
        <v>0.970873786407767</v>
      </c>
      <c r="AB10" s="773">
        <f t="shared" si="4"/>
        <v>0.970873786407767</v>
      </c>
      <c r="AC10" s="773">
        <f t="shared" si="5"/>
        <v>0.970873786407767</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3"/>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3"/>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3"/>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3"/>
      <c r="Q14" s="1797">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15">
      <c r="A15" s="440" t="s">
        <v>2514</v>
      </c>
      <c r="B15" s="629" t="s">
        <v>2751</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5" t="s">
        <v>2515</v>
      </c>
      <c r="Q15" s="1812" t="str">
        <f t="shared" si="6"/>
        <v>产业集聚程度</v>
      </c>
      <c r="R15" s="774" t="s">
        <v>17</v>
      </c>
      <c r="S15" s="775">
        <f t="shared" si="0"/>
        <v>100</v>
      </c>
      <c r="T15" s="774" t="s">
        <v>17</v>
      </c>
      <c r="U15" s="775">
        <f t="shared" si="1"/>
        <v>100</v>
      </c>
      <c r="V15" s="774" t="s">
        <v>17</v>
      </c>
      <c r="W15" s="775">
        <f t="shared" si="2"/>
        <v>100</v>
      </c>
      <c r="X15" s="1815"/>
      <c r="Y15" s="3215" t="s">
        <v>2515</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216"/>
      <c r="Q16" s="1812"/>
      <c r="R16" s="774"/>
      <c r="S16" s="775"/>
      <c r="T16" s="774"/>
      <c r="U16" s="775"/>
      <c r="V16" s="774"/>
      <c r="W16" s="775"/>
      <c r="X16" s="1815"/>
      <c r="Y16" s="3216"/>
      <c r="Z16" s="1816"/>
      <c r="AA16" s="1813">
        <v>1</v>
      </c>
      <c r="AB16" s="1813">
        <v>1</v>
      </c>
      <c r="AC16" s="1813">
        <v>1</v>
      </c>
    </row>
    <row r="17" spans="1:29" ht="15">
      <c r="A17" s="428"/>
      <c r="B17" s="631" t="s">
        <v>2663</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6"/>
      <c r="Q17" s="1812" t="str">
        <f>B17</f>
        <v>交通便捷度</v>
      </c>
      <c r="R17" s="774" t="s">
        <v>17</v>
      </c>
      <c r="S17" s="775">
        <f>F17</f>
        <v>100</v>
      </c>
      <c r="T17" s="774" t="s">
        <v>17</v>
      </c>
      <c r="U17" s="775">
        <f>H17</f>
        <v>100</v>
      </c>
      <c r="V17" s="774" t="s">
        <v>17</v>
      </c>
      <c r="W17" s="775">
        <f>J17</f>
        <v>100</v>
      </c>
      <c r="X17" s="1815"/>
      <c r="Y17" s="3216"/>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216"/>
      <c r="Q18" s="1812"/>
      <c r="R18" s="774"/>
      <c r="S18" s="775"/>
      <c r="T18" s="774"/>
      <c r="U18" s="775"/>
      <c r="V18" s="774"/>
      <c r="W18" s="775"/>
      <c r="X18" s="1815"/>
      <c r="Y18" s="3216"/>
      <c r="Z18" s="1816"/>
      <c r="AA18" s="1813">
        <v>1</v>
      </c>
      <c r="AB18" s="1813">
        <v>1</v>
      </c>
      <c r="AC18" s="1813">
        <v>1</v>
      </c>
    </row>
    <row r="19" spans="1:29" ht="15">
      <c r="A19" s="428"/>
      <c r="B19" s="631" t="s">
        <v>2701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6"/>
      <c r="Q19" s="1812" t="str">
        <f t="shared" ref="Q19:Q33" si="8">B19</f>
        <v>区域土地利用方向</v>
      </c>
      <c r="R19" s="774" t="s">
        <v>17</v>
      </c>
      <c r="S19" s="775">
        <f>F19</f>
        <v>100</v>
      </c>
      <c r="T19" s="774" t="s">
        <v>17</v>
      </c>
      <c r="U19" s="775">
        <f>H19</f>
        <v>100</v>
      </c>
      <c r="V19" s="774" t="s">
        <v>17</v>
      </c>
      <c r="W19" s="775">
        <f>J19</f>
        <v>100</v>
      </c>
      <c r="X19" s="1815"/>
      <c r="Y19" s="3216"/>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216"/>
      <c r="Q20" s="1812"/>
      <c r="R20" s="774"/>
      <c r="S20" s="775"/>
      <c r="T20" s="774"/>
      <c r="U20" s="775"/>
      <c r="V20" s="774"/>
      <c r="W20" s="775"/>
      <c r="X20" s="1815"/>
      <c r="Y20" s="3216"/>
      <c r="Z20" s="1816"/>
      <c r="AA20" s="1813"/>
      <c r="AB20" s="1813"/>
      <c r="AC20" s="1813"/>
    </row>
    <row r="21" spans="1:29" ht="15">
      <c r="A21" s="404"/>
      <c r="B21" s="631" t="s">
        <v>2752</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6"/>
      <c r="Q21" s="1812" t="str">
        <f t="shared" si="8"/>
        <v>环境状况</v>
      </c>
      <c r="R21" s="774" t="s">
        <v>17</v>
      </c>
      <c r="S21" s="775">
        <f>F21</f>
        <v>100</v>
      </c>
      <c r="T21" s="774" t="s">
        <v>17</v>
      </c>
      <c r="U21" s="775">
        <f>H21</f>
        <v>100</v>
      </c>
      <c r="V21" s="774" t="s">
        <v>17</v>
      </c>
      <c r="W21" s="775">
        <f>J21</f>
        <v>100</v>
      </c>
      <c r="X21" s="1815"/>
      <c r="Y21" s="3216"/>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216"/>
      <c r="Q22" s="1812"/>
      <c r="R22" s="774"/>
      <c r="S22" s="775"/>
      <c r="T22" s="774"/>
      <c r="U22" s="775"/>
      <c r="V22" s="774"/>
      <c r="W22" s="775"/>
      <c r="X22" s="1815"/>
      <c r="Y22" s="3216"/>
      <c r="Z22" s="1816"/>
      <c r="AA22" s="1813">
        <v>1</v>
      </c>
      <c r="AB22" s="1813">
        <v>1</v>
      </c>
      <c r="AC22" s="1813">
        <v>1</v>
      </c>
    </row>
    <row r="23" spans="1:29" s="117" customFormat="1" ht="15">
      <c r="A23" s="649"/>
      <c r="B23" s="633" t="s">
        <v>2608</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6"/>
      <c r="Q23" s="1797" t="str">
        <f t="shared" si="8"/>
        <v>公共配套设施</v>
      </c>
      <c r="R23" s="770" t="s">
        <v>17</v>
      </c>
      <c r="S23" s="771">
        <f>F23</f>
        <v>100</v>
      </c>
      <c r="T23" s="770" t="s">
        <v>17</v>
      </c>
      <c r="U23" s="771">
        <f>H23</f>
        <v>100</v>
      </c>
      <c r="V23" s="770" t="s">
        <v>17</v>
      </c>
      <c r="W23" s="771">
        <f>J23</f>
        <v>100</v>
      </c>
      <c r="X23" s="772"/>
      <c r="Y23" s="3216"/>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216"/>
      <c r="Q24" s="1797"/>
      <c r="R24" s="770"/>
      <c r="S24" s="771"/>
      <c r="T24" s="770"/>
      <c r="U24" s="771"/>
      <c r="V24" s="770"/>
      <c r="W24" s="771"/>
      <c r="X24" s="772"/>
      <c r="Y24" s="3216"/>
      <c r="Z24" s="55"/>
      <c r="AA24" s="773">
        <v>1</v>
      </c>
      <c r="AB24" s="773">
        <v>1</v>
      </c>
      <c r="AC24" s="773">
        <v>1</v>
      </c>
    </row>
    <row r="25" spans="1:29" s="117" customFormat="1" ht="15">
      <c r="A25" s="649"/>
      <c r="B25" s="633" t="s">
        <v>2609</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6"/>
      <c r="Q25" s="1797"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216"/>
      <c r="Q26" s="1797"/>
      <c r="R26" s="770"/>
      <c r="S26" s="771"/>
      <c r="T26" s="770"/>
      <c r="U26" s="771"/>
      <c r="V26" s="770"/>
      <c r="W26" s="771"/>
      <c r="X26" s="772"/>
      <c r="Y26" s="3216"/>
      <c r="Z26" s="55"/>
      <c r="AA26" s="773">
        <v>1</v>
      </c>
      <c r="AB26" s="773">
        <v>1</v>
      </c>
      <c r="AC26" s="773">
        <v>1</v>
      </c>
    </row>
    <row r="27" spans="1:29" ht="15">
      <c r="A27" s="428"/>
      <c r="B27" s="632" t="s">
        <v>2610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16"/>
      <c r="Z27" s="1816" t="str">
        <f t="shared" ref="Z27:Z40" si="13">Q27</f>
        <v>临街状况</v>
      </c>
      <c r="AA27" s="1813">
        <f t="shared" si="3"/>
        <v>1</v>
      </c>
      <c r="AB27" s="1813">
        <f t="shared" si="4"/>
        <v>1</v>
      </c>
      <c r="AC27" s="1813">
        <f t="shared" si="5"/>
        <v>1</v>
      </c>
    </row>
    <row r="28" spans="1:29" ht="27">
      <c r="A28" s="428"/>
      <c r="B28" s="633" t="s">
        <v>2645</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6"/>
      <c r="Q28" s="1812" t="str">
        <f t="shared" si="8"/>
        <v>毗邻道路的类型与等级</v>
      </c>
      <c r="R28" s="774" t="s">
        <v>17</v>
      </c>
      <c r="S28" s="775">
        <f t="shared" si="10"/>
        <v>100</v>
      </c>
      <c r="T28" s="774" t="s">
        <v>17</v>
      </c>
      <c r="U28" s="775">
        <f t="shared" si="11"/>
        <v>100</v>
      </c>
      <c r="V28" s="774" t="s">
        <v>17</v>
      </c>
      <c r="W28" s="775">
        <f t="shared" si="12"/>
        <v>100</v>
      </c>
      <c r="X28" s="1815"/>
      <c r="Y28" s="3216"/>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216"/>
      <c r="Q29" s="1812"/>
      <c r="R29" s="774"/>
      <c r="S29" s="775"/>
      <c r="T29" s="774"/>
      <c r="U29" s="775"/>
      <c r="V29" s="774"/>
      <c r="W29" s="775"/>
      <c r="X29" s="1815"/>
      <c r="Y29" s="3216"/>
      <c r="Z29" s="1816"/>
      <c r="AA29" s="1813">
        <v>1</v>
      </c>
      <c r="AB29" s="1813">
        <v>1</v>
      </c>
      <c r="AC29" s="1813">
        <v>1</v>
      </c>
    </row>
    <row r="30" spans="1:29" ht="15">
      <c r="A30" s="428"/>
      <c r="B30" s="654" t="s">
        <v>2703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6"/>
      <c r="Q30" s="1812" t="str">
        <f t="shared" si="8"/>
        <v>土地级别</v>
      </c>
      <c r="R30" s="774" t="s">
        <v>17</v>
      </c>
      <c r="S30" s="775">
        <f t="shared" si="10"/>
        <v>100</v>
      </c>
      <c r="T30" s="774" t="s">
        <v>17</v>
      </c>
      <c r="U30" s="775">
        <f t="shared" si="11"/>
        <v>100</v>
      </c>
      <c r="V30" s="774" t="s">
        <v>17</v>
      </c>
      <c r="W30" s="775">
        <f t="shared" si="12"/>
        <v>100</v>
      </c>
      <c r="X30" s="1815"/>
      <c r="Y30" s="3216"/>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6"/>
      <c r="Q31" s="1812">
        <f t="shared" si="8"/>
        <v>111</v>
      </c>
      <c r="R31" s="774" t="s">
        <v>17</v>
      </c>
      <c r="S31" s="775">
        <f t="shared" si="10"/>
        <v>100</v>
      </c>
      <c r="T31" s="774" t="s">
        <v>17</v>
      </c>
      <c r="U31" s="775">
        <f t="shared" si="11"/>
        <v>100</v>
      </c>
      <c r="V31" s="774" t="s">
        <v>17</v>
      </c>
      <c r="W31" s="775">
        <f t="shared" si="12"/>
        <v>100</v>
      </c>
      <c r="X31" s="1815"/>
      <c r="Y31" s="3216"/>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7" t="s">
        <v>2520</v>
      </c>
      <c r="Q32" s="1812">
        <f t="shared" si="8"/>
        <v>111</v>
      </c>
      <c r="R32" s="774" t="s">
        <v>17</v>
      </c>
      <c r="S32" s="775">
        <f t="shared" si="10"/>
        <v>100</v>
      </c>
      <c r="T32" s="774" t="s">
        <v>17</v>
      </c>
      <c r="U32" s="775">
        <f t="shared" si="11"/>
        <v>100</v>
      </c>
      <c r="V32" s="774" t="s">
        <v>17</v>
      </c>
      <c r="W32" s="775">
        <f t="shared" si="12"/>
        <v>100</v>
      </c>
      <c r="X32" s="1815"/>
      <c r="Y32" s="3218" t="s">
        <v>2520</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8"/>
      <c r="Q33" s="1812">
        <f t="shared" si="8"/>
        <v>111</v>
      </c>
      <c r="R33" s="777" t="s">
        <v>17</v>
      </c>
      <c r="S33" s="778">
        <f t="shared" si="10"/>
        <v>100</v>
      </c>
      <c r="T33" s="777" t="s">
        <v>17</v>
      </c>
      <c r="U33" s="778">
        <f t="shared" si="11"/>
        <v>100</v>
      </c>
      <c r="V33" s="777" t="s">
        <v>17</v>
      </c>
      <c r="W33" s="778">
        <f t="shared" si="12"/>
        <v>100</v>
      </c>
      <c r="X33" s="779"/>
      <c r="Y33" s="3218"/>
      <c r="Z33" s="780">
        <f t="shared" si="13"/>
        <v>111</v>
      </c>
      <c r="AA33" s="1813">
        <f t="shared" si="3"/>
        <v>1</v>
      </c>
      <c r="AB33" s="1813">
        <f t="shared" si="4"/>
        <v>1</v>
      </c>
      <c r="AC33" s="1813">
        <f t="shared" si="5"/>
        <v>1</v>
      </c>
    </row>
    <row r="34" spans="1:29" ht="15">
      <c r="A34" s="440" t="s">
        <v>2518</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8"/>
      <c r="Q34" s="1812" t="str">
        <f>B34</f>
        <v>宗地面积</v>
      </c>
      <c r="R34" s="774" t="s">
        <v>17</v>
      </c>
      <c r="S34" s="775" t="e">
        <f t="shared" si="10"/>
        <v>#N/A</v>
      </c>
      <c r="T34" s="774" t="s">
        <v>17</v>
      </c>
      <c r="U34" s="775" t="e">
        <f t="shared" si="11"/>
        <v>#N/A</v>
      </c>
      <c r="V34" s="774" t="s">
        <v>17</v>
      </c>
      <c r="W34" s="775" t="e">
        <f t="shared" si="12"/>
        <v>#N/A</v>
      </c>
      <c r="X34" s="1815"/>
      <c r="Y34" s="3218"/>
      <c r="Z34" s="1816" t="str">
        <f t="shared" si="13"/>
        <v>宗地面积</v>
      </c>
      <c r="AA34" s="1813" t="e">
        <f t="shared" si="3"/>
        <v>#N/A</v>
      </c>
      <c r="AB34" s="1813" t="e">
        <f t="shared" si="4"/>
        <v>#N/A</v>
      </c>
      <c r="AC34" s="1813" t="e">
        <f t="shared" si="5"/>
        <v>#N/A</v>
      </c>
    </row>
    <row r="35" spans="1:29" ht="15">
      <c r="A35" s="472"/>
      <c r="B35" s="422" t="s">
        <v>2705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18"/>
      <c r="Q35" s="1812" t="str">
        <f t="shared" ref="Q35:Q40" si="14">B35</f>
        <v>宗地形状</v>
      </c>
      <c r="R35" s="774" t="s">
        <v>17</v>
      </c>
      <c r="S35" s="775">
        <f t="shared" si="10"/>
        <v>100</v>
      </c>
      <c r="T35" s="774" t="s">
        <v>17</v>
      </c>
      <c r="U35" s="775">
        <f t="shared" si="11"/>
        <v>100</v>
      </c>
      <c r="V35" s="774" t="s">
        <v>17</v>
      </c>
      <c r="W35" s="775">
        <f t="shared" si="12"/>
        <v>100</v>
      </c>
      <c r="X35" s="1815"/>
      <c r="Y35" s="3218"/>
      <c r="Z35" s="1816" t="str">
        <f t="shared" si="13"/>
        <v>宗地形状</v>
      </c>
      <c r="AA35" s="1813">
        <f t="shared" si="3"/>
        <v>1</v>
      </c>
      <c r="AB35" s="1813">
        <f t="shared" si="4"/>
        <v>1</v>
      </c>
      <c r="AC35" s="1813">
        <f t="shared" si="5"/>
        <v>1</v>
      </c>
    </row>
    <row r="36" spans="1:29" s="117" customFormat="1" ht="15">
      <c r="A36" s="473"/>
      <c r="B36" s="422" t="s">
        <v>2707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18"/>
      <c r="Q36" s="1812"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2708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18" t="s">
        <v>2520</v>
      </c>
      <c r="Q37" s="1812" t="str">
        <f t="shared" si="14"/>
        <v>工程地质条件</v>
      </c>
      <c r="R37" s="774" t="s">
        <v>17</v>
      </c>
      <c r="S37" s="775">
        <f t="shared" si="10"/>
        <v>100</v>
      </c>
      <c r="T37" s="774" t="s">
        <v>17</v>
      </c>
      <c r="U37" s="775">
        <f t="shared" si="11"/>
        <v>100</v>
      </c>
      <c r="V37" s="774" t="s">
        <v>17</v>
      </c>
      <c r="W37" s="775">
        <f t="shared" si="12"/>
        <v>100</v>
      </c>
      <c r="X37" s="1815"/>
      <c r="Y37" s="3218" t="s">
        <v>2520</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8"/>
      <c r="Q38" s="1812">
        <f t="shared" si="14"/>
        <v>111</v>
      </c>
      <c r="R38" s="774" t="s">
        <v>17</v>
      </c>
      <c r="S38" s="775">
        <f t="shared" si="10"/>
        <v>100</v>
      </c>
      <c r="T38" s="774" t="s">
        <v>17</v>
      </c>
      <c r="U38" s="775">
        <f t="shared" si="11"/>
        <v>100</v>
      </c>
      <c r="V38" s="774" t="s">
        <v>17</v>
      </c>
      <c r="W38" s="775">
        <f t="shared" si="12"/>
        <v>100</v>
      </c>
      <c r="X38" s="1815"/>
      <c r="Y38" s="321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8"/>
      <c r="Q39" s="1812">
        <f t="shared" si="14"/>
        <v>111</v>
      </c>
      <c r="R39" s="774" t="s">
        <v>17</v>
      </c>
      <c r="S39" s="775">
        <f t="shared" si="10"/>
        <v>100</v>
      </c>
      <c r="T39" s="774" t="s">
        <v>17</v>
      </c>
      <c r="U39" s="775">
        <f t="shared" si="11"/>
        <v>100</v>
      </c>
      <c r="V39" s="774" t="s">
        <v>17</v>
      </c>
      <c r="W39" s="775">
        <f t="shared" si="12"/>
        <v>100</v>
      </c>
      <c r="X39" s="1815"/>
      <c r="Y39" s="3218"/>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8"/>
      <c r="Q40" s="1812">
        <f t="shared" si="14"/>
        <v>111</v>
      </c>
      <c r="R40" s="777" t="s">
        <v>17</v>
      </c>
      <c r="S40" s="778">
        <f t="shared" si="10"/>
        <v>100</v>
      </c>
      <c r="T40" s="777" t="s">
        <v>17</v>
      </c>
      <c r="U40" s="778">
        <f t="shared" si="11"/>
        <v>100</v>
      </c>
      <c r="V40" s="777" t="s">
        <v>17</v>
      </c>
      <c r="W40" s="778">
        <f t="shared" si="12"/>
        <v>100</v>
      </c>
      <c r="X40" s="779"/>
      <c r="Y40" s="3218"/>
      <c r="Z40" s="780">
        <f t="shared" si="13"/>
        <v>111</v>
      </c>
      <c r="AA40" s="1813">
        <f t="shared" si="3"/>
        <v>1</v>
      </c>
      <c r="AB40" s="1813">
        <f t="shared" si="4"/>
        <v>1</v>
      </c>
      <c r="AC40" s="1813">
        <f t="shared" si="5"/>
        <v>1</v>
      </c>
    </row>
    <row r="41" spans="1:29" ht="15">
      <c r="A41" s="479" t="s">
        <v>2674</v>
      </c>
      <c r="B41" s="2710" t="s">
        <v>2753</v>
      </c>
      <c r="C41" s="682" t="s">
        <v>1</v>
      </c>
      <c r="D41" s="481"/>
      <c r="E41" s="482"/>
      <c r="F41" s="483"/>
      <c r="G41" s="484"/>
      <c r="H41" s="485"/>
      <c r="I41" s="482"/>
      <c r="J41" s="485"/>
      <c r="K41" s="783"/>
      <c r="L41" s="1146"/>
      <c r="M41" s="1134"/>
      <c r="N41" s="1134"/>
      <c r="O41" s="1147"/>
      <c r="P41" s="3213" t="str">
        <f>A41</f>
        <v>成交单价</v>
      </c>
      <c r="Q41" s="3213"/>
      <c r="R41" s="3219">
        <f>E41</f>
        <v>0</v>
      </c>
      <c r="S41" s="3219"/>
      <c r="T41" s="3219">
        <f>G41</f>
        <v>0</v>
      </c>
      <c r="U41" s="3219"/>
      <c r="V41" s="3219">
        <f>I41</f>
        <v>0</v>
      </c>
      <c r="W41" s="3219"/>
      <c r="X41" s="759"/>
      <c r="Y41" s="781"/>
      <c r="Z41" s="759"/>
      <c r="AA41" s="759"/>
      <c r="AB41" s="759"/>
      <c r="AC41" s="759"/>
    </row>
    <row r="42" spans="1:29" ht="15.75" thickBot="1">
      <c r="A42" s="486" t="s">
        <v>2623</v>
      </c>
      <c r="B42" s="683"/>
      <c r="C42" s="490" t="e">
        <f>R43</f>
        <v>#DIV/0!</v>
      </c>
      <c r="D42" s="489"/>
      <c r="E42" s="490" t="e">
        <f>R42</f>
        <v>#DIV/0!</v>
      </c>
      <c r="F42" s="491"/>
      <c r="G42" s="488" t="e">
        <f>T42</f>
        <v>#DIV/0!</v>
      </c>
      <c r="H42" s="489"/>
      <c r="I42" s="490" t="e">
        <f>V42</f>
        <v>#DIV/0!</v>
      </c>
      <c r="J42" s="489"/>
      <c r="K42" s="784"/>
      <c r="L42" s="1146"/>
      <c r="M42" s="1134"/>
      <c r="N42" s="1134"/>
      <c r="O42" s="1147"/>
      <c r="P42" s="3213" t="str">
        <f>A42</f>
        <v>比较价值（元/平方米）</v>
      </c>
      <c r="Q42" s="3213"/>
      <c r="R42" s="3206" t="e">
        <f>ROUND(PRODUCT(R41,AA7:AA40),0)</f>
        <v>#DIV/0!</v>
      </c>
      <c r="S42" s="3206"/>
      <c r="T42" s="3206" t="e">
        <f>ROUND(PRODUCT(T41,AB7:AB40),0)</f>
        <v>#DIV/0!</v>
      </c>
      <c r="U42" s="3206"/>
      <c r="V42" s="3206" t="e">
        <f>ROUND(PRODUCT(V41,AC7:AC40),0)</f>
        <v>#DIV/0!</v>
      </c>
      <c r="W42" s="3206"/>
      <c r="X42" s="759"/>
      <c r="Y42" s="759"/>
      <c r="Z42" s="759"/>
      <c r="AA42" s="759"/>
      <c r="AB42" s="759"/>
      <c r="AC42" s="759"/>
    </row>
    <row r="43" spans="1:29" ht="15.75" thickBot="1">
      <c r="A43" s="492" t="s">
        <v>2624</v>
      </c>
      <c r="B43" s="493"/>
      <c r="C43" s="494" t="e">
        <f>R43</f>
        <v>#DIV/0!</v>
      </c>
      <c r="D43" s="494"/>
      <c r="E43" s="494"/>
      <c r="F43" s="494"/>
      <c r="G43" s="494"/>
      <c r="H43" s="494"/>
      <c r="I43" s="494"/>
      <c r="J43" s="494"/>
      <c r="K43" s="785"/>
      <c r="L43" s="1146"/>
      <c r="M43" s="1134"/>
      <c r="N43" s="1134"/>
      <c r="O43" s="1147"/>
      <c r="P43" s="3207" t="str">
        <f>A43</f>
        <v>估价对象XX用房的比较价值（楼面单价，元/平方米）</v>
      </c>
      <c r="Q43" s="3208"/>
      <c r="R43" s="3209" t="e">
        <f>ROUND(AVERAGE(R42:V42),0)</f>
        <v>#DIV/0!</v>
      </c>
      <c r="S43" s="3209"/>
      <c r="T43" s="3209"/>
      <c r="U43" s="3209"/>
      <c r="V43" s="3209"/>
      <c r="W43" s="320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2711</v>
      </c>
      <c r="B50" s="685" t="s">
        <v>2712</v>
      </c>
      <c r="C50" s="2711" t="s">
        <v>2713</v>
      </c>
      <c r="D50" s="2712" t="s">
        <v>2714</v>
      </c>
      <c r="E50" s="686" t="s">
        <v>2715</v>
      </c>
      <c r="F50" s="687" t="s">
        <v>2716</v>
      </c>
      <c r="G50" s="3210" t="s">
        <v>2717</v>
      </c>
      <c r="H50" s="3211"/>
      <c r="I50" s="1816" t="s">
        <v>2754</v>
      </c>
      <c r="J50" s="1816" t="str">
        <f>项目基本情况!F35</f>
        <v>湖南省长沙市</v>
      </c>
      <c r="K50" s="2714" t="s">
        <v>2719</v>
      </c>
      <c r="L50" s="1109"/>
      <c r="M50" s="1147"/>
      <c r="N50" s="1147"/>
      <c r="O50" s="1147"/>
    </row>
    <row r="51" spans="1:17" s="692" customFormat="1">
      <c r="A51" s="688" t="s">
        <v>2720</v>
      </c>
      <c r="B51" s="689" t="e">
        <f>C43</f>
        <v>#DIV/0!</v>
      </c>
      <c r="C51" s="690">
        <v>1</v>
      </c>
      <c r="D51" s="1166">
        <v>1</v>
      </c>
      <c r="E51" s="690">
        <f>'数据-汇总表'!E8+'数据-汇总表'!E9</f>
        <v>43156.770000000026</v>
      </c>
      <c r="F51" s="691" t="e">
        <f t="shared" ref="F51:F60" si="15">ROUND(B51*E51/10000,0)</f>
        <v>#DIV/0!</v>
      </c>
      <c r="G51" s="3212"/>
      <c r="H51" s="3213"/>
      <c r="I51" s="945">
        <v>1</v>
      </c>
      <c r="J51" s="945">
        <v>1</v>
      </c>
      <c r="K51" s="1148"/>
      <c r="L51" s="944"/>
      <c r="M51" s="944"/>
      <c r="N51" s="944"/>
      <c r="O51" s="944"/>
    </row>
    <row r="52" spans="1:17" s="692" customFormat="1">
      <c r="A52" s="693" t="s">
        <v>2721</v>
      </c>
      <c r="B52" s="262" t="e">
        <f>ROUND($C$43*C52*D52,0)</f>
        <v>#DIV/0!</v>
      </c>
      <c r="C52" s="200">
        <f t="shared" ref="C52:C60" si="16">IF($C$50="北京市系数",I52,J52)</f>
        <v>0</v>
      </c>
      <c r="D52" s="1167">
        <v>0.25</v>
      </c>
      <c r="E52" s="694"/>
      <c r="F52" s="691" t="e">
        <f t="shared" si="15"/>
        <v>#DIV/0!</v>
      </c>
      <c r="G52" s="3214" t="s">
        <v>2722</v>
      </c>
      <c r="H52" s="1107">
        <f>项目基本情况!B37</f>
        <v>0</v>
      </c>
      <c r="I52" s="945">
        <f>SUMIF(修正!A45:A56,H52,修正!B45:B56)</f>
        <v>0</v>
      </c>
      <c r="J52" s="946"/>
      <c r="K52" s="1147"/>
      <c r="L52" s="944"/>
      <c r="M52" s="944"/>
      <c r="N52" s="944"/>
      <c r="O52" s="944"/>
    </row>
    <row r="53" spans="1:17" s="692" customFormat="1">
      <c r="A53" s="693" t="s">
        <v>2723</v>
      </c>
      <c r="B53" s="262" t="e">
        <f t="shared" ref="B53:B60" si="17">ROUND($C$43*C53*D53,0)</f>
        <v>#DIV/0!</v>
      </c>
      <c r="C53" s="200">
        <f t="shared" si="16"/>
        <v>0</v>
      </c>
      <c r="D53" s="1167">
        <v>0.25</v>
      </c>
      <c r="E53" s="694"/>
      <c r="F53" s="691" t="e">
        <f t="shared" si="15"/>
        <v>#DIV/0!</v>
      </c>
      <c r="G53" s="3214"/>
      <c r="H53" s="1107">
        <f>项目基本情况!B37</f>
        <v>0</v>
      </c>
      <c r="I53" s="945">
        <f>SUMIF(修正!A45:A56,H53,修正!C45:C56)</f>
        <v>0</v>
      </c>
      <c r="J53" s="946"/>
      <c r="K53" s="1148"/>
      <c r="L53" s="944"/>
      <c r="M53" s="944"/>
      <c r="N53" s="944"/>
      <c r="O53" s="944"/>
    </row>
    <row r="54" spans="1:17" s="692" customFormat="1">
      <c r="A54" s="693" t="s">
        <v>2724</v>
      </c>
      <c r="B54" s="262" t="e">
        <f t="shared" si="17"/>
        <v>#DIV/0!</v>
      </c>
      <c r="C54" s="200">
        <f t="shared" si="16"/>
        <v>0</v>
      </c>
      <c r="D54" s="1167">
        <v>0.25</v>
      </c>
      <c r="E54" s="694"/>
      <c r="F54" s="691" t="e">
        <f t="shared" si="15"/>
        <v>#DIV/0!</v>
      </c>
      <c r="G54" s="3214"/>
      <c r="H54" s="1107">
        <f>项目基本情况!B37</f>
        <v>0</v>
      </c>
      <c r="I54" s="945">
        <f>SUMIF(修正!A45:A56,H54,修正!D45:D56)</f>
        <v>0</v>
      </c>
      <c r="J54" s="946"/>
      <c r="K54" s="1147"/>
      <c r="L54" s="944"/>
      <c r="M54" s="944"/>
      <c r="N54" s="944"/>
      <c r="O54" s="944"/>
    </row>
    <row r="55" spans="1:17" s="692" customFormat="1">
      <c r="A55" s="693" t="s">
        <v>2725</v>
      </c>
      <c r="B55" s="262" t="e">
        <f t="shared" si="17"/>
        <v>#DIV/0!</v>
      </c>
      <c r="C55" s="200">
        <f t="shared" si="16"/>
        <v>0</v>
      </c>
      <c r="D55" s="1167">
        <v>0.25</v>
      </c>
      <c r="E55" s="694"/>
      <c r="F55" s="691" t="e">
        <f t="shared" si="15"/>
        <v>#DIV/0!</v>
      </c>
      <c r="G55" s="3214"/>
      <c r="H55" s="1107">
        <f>项目基本情况!B37</f>
        <v>0</v>
      </c>
      <c r="I55" s="945">
        <f>SUMIF(修正!A45:A56,H55,修正!E45:E56)</f>
        <v>0</v>
      </c>
      <c r="J55" s="946"/>
      <c r="K55" s="1148"/>
      <c r="L55" s="944"/>
      <c r="M55" s="944"/>
      <c r="N55" s="944"/>
      <c r="O55" s="944"/>
    </row>
    <row r="56" spans="1:17" s="692" customFormat="1">
      <c r="A56" s="693" t="s">
        <v>2726</v>
      </c>
      <c r="B56" s="262" t="e">
        <f t="shared" si="17"/>
        <v>#DIV/0!</v>
      </c>
      <c r="C56" s="200">
        <f t="shared" si="16"/>
        <v>0</v>
      </c>
      <c r="D56" s="1167">
        <v>0.25</v>
      </c>
      <c r="E56" s="261">
        <f>'数据-汇总表'!E11</f>
        <v>0</v>
      </c>
      <c r="F56" s="691" t="e">
        <f t="shared" si="15"/>
        <v>#DIV/0!</v>
      </c>
      <c r="G56" s="2715" t="s">
        <v>2727</v>
      </c>
      <c r="H56" s="1107">
        <f>项目基本情况!C37</f>
        <v>0</v>
      </c>
      <c r="I56" s="945">
        <f>SUMIF(修正!A45:A56,H56,修正!F45:F56)</f>
        <v>0</v>
      </c>
      <c r="J56" s="946"/>
      <c r="K56" s="1147"/>
      <c r="L56" s="944"/>
      <c r="M56" s="944"/>
      <c r="N56" s="944"/>
      <c r="O56" s="944"/>
    </row>
    <row r="57" spans="1:17" s="692" customFormat="1">
      <c r="A57" s="693" t="s">
        <v>2728</v>
      </c>
      <c r="B57" s="262" t="e">
        <f t="shared" si="17"/>
        <v>#DIV/0!</v>
      </c>
      <c r="C57" s="200">
        <f t="shared" si="16"/>
        <v>0</v>
      </c>
      <c r="D57" s="1167">
        <v>0.25</v>
      </c>
      <c r="E57" s="261">
        <f>'数据-汇总表'!E12</f>
        <v>0</v>
      </c>
      <c r="F57" s="691" t="e">
        <f t="shared" si="15"/>
        <v>#DIV/0!</v>
      </c>
      <c r="G57" s="1112" t="s">
        <v>2729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2730</v>
      </c>
      <c r="B58" s="262" t="e">
        <f t="shared" si="17"/>
        <v>#DIV/0!</v>
      </c>
      <c r="C58" s="200">
        <f t="shared" si="16"/>
        <v>0</v>
      </c>
      <c r="D58" s="1167">
        <v>0.25</v>
      </c>
      <c r="E58" s="261">
        <f>'数据-汇总表'!E13</f>
        <v>0</v>
      </c>
      <c r="F58" s="691" t="e">
        <f t="shared" si="15"/>
        <v>#DIV/0!</v>
      </c>
      <c r="G58" s="1112" t="s">
        <v>2731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2732</v>
      </c>
      <c r="B59" s="262" t="e">
        <f t="shared" si="17"/>
        <v>#DIV/0!</v>
      </c>
      <c r="C59" s="200">
        <f t="shared" si="16"/>
        <v>0</v>
      </c>
      <c r="D59" s="1167">
        <v>0.25</v>
      </c>
      <c r="E59" s="261">
        <f>'数据-汇总表'!E14</f>
        <v>0</v>
      </c>
      <c r="F59" s="691" t="e">
        <f t="shared" si="15"/>
        <v>#DIV/0!</v>
      </c>
      <c r="G59" s="2715" t="s">
        <v>2722</v>
      </c>
      <c r="H59" s="1107">
        <f>项目基本情况!B37</f>
        <v>0</v>
      </c>
      <c r="I59" s="945">
        <f>SUMIF(修正!A45:A56,H59,修正!H45:H56)</f>
        <v>0</v>
      </c>
      <c r="J59" s="946"/>
      <c r="K59" s="1148"/>
      <c r="L59" s="944"/>
      <c r="M59" s="944"/>
      <c r="N59" s="944"/>
      <c r="O59" s="944"/>
    </row>
    <row r="60" spans="1:17" s="692" customFormat="1" ht="15" thickBot="1">
      <c r="A60" s="693" t="s">
        <v>2733</v>
      </c>
      <c r="B60" s="262" t="e">
        <f t="shared" si="17"/>
        <v>#DIV/0!</v>
      </c>
      <c r="C60" s="200">
        <f t="shared" si="16"/>
        <v>0</v>
      </c>
      <c r="D60" s="1167">
        <v>0.25</v>
      </c>
      <c r="E60" s="261">
        <f>'数据-汇总表'!E15</f>
        <v>0</v>
      </c>
      <c r="F60" s="691" t="e">
        <f t="shared" si="15"/>
        <v>#DIV/0!</v>
      </c>
      <c r="G60" s="2716" t="s">
        <v>2727</v>
      </c>
      <c r="H60" s="1117">
        <f>项目基本情况!C37</f>
        <v>0</v>
      </c>
      <c r="I60" s="945">
        <f>SUMIF(修正!A45:A56,H60,修正!H45:H56)</f>
        <v>0</v>
      </c>
      <c r="J60" s="946"/>
      <c r="K60" s="1147"/>
      <c r="L60" s="944"/>
      <c r="M60" s="944"/>
      <c r="N60" s="944"/>
      <c r="O60" s="944"/>
    </row>
    <row r="61" spans="1:17" s="692" customFormat="1" ht="15" thickBot="1">
      <c r="A61" s="695" t="s">
        <v>2734</v>
      </c>
      <c r="B61" s="696" t="s">
        <v>28</v>
      </c>
      <c r="C61" s="696" t="s">
        <v>29</v>
      </c>
      <c r="D61" s="696" t="s">
        <v>1028</v>
      </c>
      <c r="E61" s="696">
        <f>IF(B41="楼面地价",SUM(E51:E60),'数据-汇总表'!D3)</f>
        <v>6969.29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2628</v>
      </c>
      <c r="B64" s="759"/>
      <c r="C64" s="764"/>
      <c r="D64" s="764"/>
      <c r="E64" s="764"/>
      <c r="F64" s="765"/>
      <c r="G64" s="765"/>
      <c r="H64" s="764"/>
      <c r="I64" s="764"/>
      <c r="J64" s="764"/>
      <c r="K64" s="766"/>
      <c r="L64" s="767"/>
      <c r="M64" s="764"/>
      <c r="N64" s="764"/>
      <c r="O64" s="1162"/>
      <c r="P64" s="503"/>
      <c r="Q64" s="504"/>
    </row>
    <row r="65" spans="1:17" s="508" customFormat="1" ht="15">
      <c r="A65" s="2717" t="s">
        <v>2735</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22" t="s">
        <v>2755</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2539</v>
      </c>
      <c r="B67" s="516"/>
      <c r="C67" s="517"/>
      <c r="D67" s="518"/>
      <c r="E67" s="518"/>
      <c r="F67" s="518"/>
      <c r="G67" s="518"/>
      <c r="H67" s="518"/>
      <c r="I67" s="518"/>
      <c r="J67" s="518"/>
      <c r="K67" s="518"/>
      <c r="L67" s="518"/>
      <c r="M67" s="519"/>
      <c r="N67" s="519"/>
      <c r="O67" s="520"/>
      <c r="P67" s="504"/>
      <c r="Q67" s="504"/>
    </row>
    <row r="68" spans="1:17" s="117" customFormat="1" ht="15">
      <c r="A68" s="521" t="s">
        <v>2505</v>
      </c>
      <c r="B68" s="510"/>
      <c r="C68" s="522" t="s">
        <v>2606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2542</v>
      </c>
      <c r="B70" s="528" t="s">
        <v>2509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2514</v>
      </c>
      <c r="B83" s="528" t="s">
        <v>2659</v>
      </c>
      <c r="C83" s="573" t="s">
        <v>2551</v>
      </c>
      <c r="D83" s="573" t="s">
        <v>2552</v>
      </c>
      <c r="E83" s="573" t="s">
        <v>2553</v>
      </c>
      <c r="F83" s="573" t="s">
        <v>2554</v>
      </c>
      <c r="G83" s="573" t="s">
        <v>2555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2556</v>
      </c>
      <c r="C85" s="578" t="s">
        <v>2551</v>
      </c>
      <c r="D85" s="578" t="s">
        <v>2552</v>
      </c>
      <c r="E85" s="578" t="s">
        <v>2553</v>
      </c>
      <c r="F85" s="578" t="s">
        <v>2554</v>
      </c>
      <c r="G85" s="578" t="s">
        <v>2555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2738</v>
      </c>
      <c r="C87" s="573" t="s">
        <v>2551</v>
      </c>
      <c r="D87" s="573" t="s">
        <v>2552</v>
      </c>
      <c r="E87" s="573" t="s">
        <v>2553</v>
      </c>
      <c r="F87" s="573" t="s">
        <v>2554</v>
      </c>
      <c r="G87" s="573" t="s">
        <v>2555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2739</v>
      </c>
      <c r="C89" s="573" t="s">
        <v>2551</v>
      </c>
      <c r="D89" s="573" t="s">
        <v>2552</v>
      </c>
      <c r="E89" s="573" t="s">
        <v>2553</v>
      </c>
      <c r="F89" s="573" t="s">
        <v>2554</v>
      </c>
      <c r="G89" s="573" t="s">
        <v>2555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2608</v>
      </c>
      <c r="C91" s="573" t="s">
        <v>2551</v>
      </c>
      <c r="D91" s="573" t="s">
        <v>2552</v>
      </c>
      <c r="E91" s="573" t="s">
        <v>2553</v>
      </c>
      <c r="F91" s="573" t="s">
        <v>2554</v>
      </c>
      <c r="G91" s="573" t="s">
        <v>2555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2756</v>
      </c>
      <c r="C93" s="660" t="s">
        <v>2629</v>
      </c>
      <c r="D93" s="660" t="s">
        <v>2630</v>
      </c>
      <c r="E93" s="660" t="s">
        <v>2631</v>
      </c>
      <c r="F93" s="660" t="s">
        <v>2632</v>
      </c>
      <c r="G93" s="660" t="s">
        <v>2633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2518</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2757</v>
      </c>
      <c r="B1" s="241"/>
      <c r="C1" s="245" t="s">
        <v>2758</v>
      </c>
      <c r="D1" s="388">
        <f>SUM(D29:D30,D33:D39)</f>
        <v>0</v>
      </c>
      <c r="E1" s="2723"/>
      <c r="F1" s="2723"/>
      <c r="G1" s="2723"/>
      <c r="H1" s="2723"/>
      <c r="I1" s="2723"/>
      <c r="J1" s="2723"/>
      <c r="K1" s="1373"/>
      <c r="L1" s="2724" t="s">
        <v>2759</v>
      </c>
      <c r="M1" s="1083">
        <f>SUMPRODUCT((区片价!B5:B9=I2)*(区片价!C3:F3=E2)*(区片价!C5:F9))</f>
        <v>0</v>
      </c>
      <c r="N1" s="1086">
        <f>SUMPRODUCT((因素修正幅度!B5:B9=I2)*(因素修正幅度!C3:F3=E2)*(因素修正幅度!C5:F9))</f>
        <v>0</v>
      </c>
      <c r="O1" s="2725"/>
      <c r="P1" s="2725"/>
      <c r="Q1" s="1373"/>
      <c r="R1" s="1604" t="s">
        <v>2760</v>
      </c>
      <c r="S1" s="1604" t="s">
        <v>2761</v>
      </c>
      <c r="T1" s="1604" t="s">
        <v>2762</v>
      </c>
      <c r="U1" s="1604" t="s">
        <v>2763</v>
      </c>
      <c r="V1" s="1604" t="s">
        <v>2764</v>
      </c>
      <c r="W1" s="1608"/>
      <c r="X1" s="1608"/>
      <c r="Y1" s="1608"/>
      <c r="Z1" s="1608"/>
      <c r="AA1" s="1608"/>
      <c r="AB1" s="1608"/>
      <c r="AC1" s="1609"/>
      <c r="AD1" s="1610"/>
      <c r="AE1" s="1610"/>
      <c r="AF1" s="1610"/>
      <c r="AG1" s="1610"/>
      <c r="AH1" s="1610"/>
      <c r="AI1" s="1610"/>
      <c r="AJ1" s="1611"/>
    </row>
    <row r="2" spans="1:36" ht="15.75">
      <c r="A2" s="245" t="s">
        <v>2765</v>
      </c>
      <c r="B2" s="248" t="e">
        <f>C26</f>
        <v>#DIV/0!</v>
      </c>
      <c r="C2" s="2727" t="s">
        <v>2766</v>
      </c>
      <c r="D2" s="2728" t="s">
        <v>2767</v>
      </c>
      <c r="E2" s="2729"/>
      <c r="F2" s="2728" t="s">
        <v>2768</v>
      </c>
      <c r="G2" s="2730">
        <f>IF(E2="商业",项目基本情况!B37,IF(E2="办公",项目基本情况!C37,IF(E2="住宅",项目基本情况!D37,项目基本情况!E37)))</f>
        <v>0</v>
      </c>
      <c r="H2" s="2728" t="s">
        <v>2769</v>
      </c>
      <c r="I2" s="2730">
        <f>IF(E2="商业",项目基本情况!B38,IF(E2="办公",项目基本情况!C38,IF(E2="住宅",项目基本情况!D38,项目基本情况!E38)))</f>
        <v>0</v>
      </c>
      <c r="J2" s="2731"/>
      <c r="K2" s="1373"/>
      <c r="L2" s="2732" t="s">
        <v>2770</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2771</v>
      </c>
      <c r="B3" s="248" t="e">
        <f>ROUND(B2*10000/D1,0)</f>
        <v>#DIV/0!</v>
      </c>
      <c r="C3" s="2727" t="s">
        <v>2772</v>
      </c>
      <c r="D3" s="2728" t="s">
        <v>2773</v>
      </c>
      <c r="E3" s="2733"/>
      <c r="F3" s="2734" t="s">
        <v>2774</v>
      </c>
      <c r="G3" s="916">
        <f>IF(F3="宗地容积率",'数据-汇总表'!I4,IF(F3="估价对象容积率",'数据-汇总表'!I6,'数据-汇总表'!I7))</f>
        <v>6.25</v>
      </c>
      <c r="H3" s="198" t="s">
        <v>2775</v>
      </c>
      <c r="I3" s="947"/>
      <c r="J3" s="2731" t="s">
        <v>2776</v>
      </c>
      <c r="K3" s="1373"/>
      <c r="L3" s="2732" t="s">
        <v>2777</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10"/>
      <c r="B4" s="3311"/>
      <c r="C4" s="3311"/>
      <c r="D4" s="3312"/>
      <c r="E4" s="3312"/>
      <c r="F4" s="3312"/>
      <c r="G4" s="3312"/>
      <c r="H4" s="3312"/>
      <c r="I4" s="3312"/>
      <c r="J4" s="3313"/>
      <c r="K4" s="1373"/>
      <c r="L4" s="2732" t="s">
        <v>2778</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806</v>
      </c>
      <c r="B5" s="2736" t="s">
        <v>2779</v>
      </c>
      <c r="C5" s="917" t="e">
        <f>ROUND(IF(E2="商业",IF(F16="增加",C6*C7+C16,C6*C7-C16),IF(E2="住宅",IF(F16="增加",C6*C12+C16,C6*C12-C16),IF(F16="增加",C6+C16,C6-C16))),0)</f>
        <v>#DIV/0!</v>
      </c>
      <c r="D5" s="1789">
        <f>ROUND(IF(E2="商业",IF(F16="增加",C6+C16,C6-C16)),0)</f>
        <v>0</v>
      </c>
      <c r="E5" s="2737"/>
      <c r="F5" s="2737"/>
      <c r="G5" s="2738"/>
      <c r="H5" s="2738"/>
      <c r="I5" s="2738"/>
      <c r="J5" s="2739"/>
      <c r="K5" s="2740"/>
      <c r="L5" s="2732" t="s">
        <v>2780</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2781</v>
      </c>
      <c r="B6" s="2746" t="s">
        <v>2782</v>
      </c>
      <c r="C6" s="918">
        <f>SUMIF(L1:L12,G2,M1:M12)</f>
        <v>0</v>
      </c>
      <c r="D6" s="2747" t="s">
        <v>2783</v>
      </c>
      <c r="E6" s="2748"/>
      <c r="F6" s="2748"/>
      <c r="G6" s="2749"/>
      <c r="H6" s="2749"/>
      <c r="I6" s="2749"/>
      <c r="J6" s="2750"/>
      <c r="K6" s="1844"/>
      <c r="L6" s="2732" t="s">
        <v>2784</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314" t="str">
        <f>IF(E2="商业",IF(C8="不临58条商业街","",2),"")</f>
        <v/>
      </c>
      <c r="B7" s="2751" t="s">
        <v>2785</v>
      </c>
      <c r="C7" s="919" t="e">
        <f>IF(C8="不临58条商业街",1,ROUND(1+(1.6*E8+1.2*E9+0.8*E10+0.4*E11)*C9,4))</f>
        <v>#DIV/0!</v>
      </c>
      <c r="D7" s="2752" t="s">
        <v>2786</v>
      </c>
      <c r="E7" s="948"/>
      <c r="F7" s="2753"/>
      <c r="G7" s="2754"/>
      <c r="H7" s="2754"/>
      <c r="I7" s="2754"/>
      <c r="J7" s="2755"/>
      <c r="K7" s="1844"/>
      <c r="L7" s="2732" t="s">
        <v>2787</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2788</v>
      </c>
      <c r="X7" s="1606">
        <f>G2</f>
        <v>0</v>
      </c>
      <c r="Y7" s="1606" t="s">
        <v>2789</v>
      </c>
      <c r="Z7" s="1607">
        <f>G3</f>
        <v>6.25</v>
      </c>
      <c r="AA7" s="1608"/>
      <c r="AB7" s="1608"/>
      <c r="AC7" s="1609"/>
      <c r="AD7" s="1610"/>
      <c r="AE7" s="1610"/>
      <c r="AF7" s="1610"/>
      <c r="AG7" s="1610"/>
      <c r="AH7" s="1610"/>
      <c r="AI7" s="1610"/>
      <c r="AJ7" s="1611"/>
    </row>
    <row r="8" spans="1:36" ht="15">
      <c r="A8" s="3315"/>
      <c r="B8" s="198" t="s">
        <v>2790</v>
      </c>
      <c r="C8" s="2756"/>
      <c r="D8" s="920" t="s">
        <v>139</v>
      </c>
      <c r="E8" s="921" t="e">
        <f>ROUND(C11/E7,4)</f>
        <v>#DIV/0!</v>
      </c>
      <c r="F8" s="2757" t="s">
        <v>2791</v>
      </c>
      <c r="G8" s="2758"/>
      <c r="H8" s="2758"/>
      <c r="I8" s="2758"/>
      <c r="J8" s="2759"/>
      <c r="K8" s="1373"/>
      <c r="L8" s="2732" t="s">
        <v>2792</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307" t="s">
        <v>2793</v>
      </c>
      <c r="X8" s="3308"/>
      <c r="Y8" s="1612" t="s">
        <v>2794</v>
      </c>
      <c r="Z8" s="1612" t="s">
        <v>2795</v>
      </c>
      <c r="AA8" s="1612" t="s">
        <v>2796</v>
      </c>
      <c r="AB8" s="1612" t="s">
        <v>2797</v>
      </c>
      <c r="AC8" s="1612" t="s">
        <v>2798</v>
      </c>
      <c r="AD8" s="1612" t="s">
        <v>2799</v>
      </c>
      <c r="AE8" s="1612" t="s">
        <v>2800</v>
      </c>
      <c r="AF8" s="1612" t="s">
        <v>2801</v>
      </c>
      <c r="AG8" s="1612" t="s">
        <v>2802</v>
      </c>
      <c r="AH8" s="1612" t="s">
        <v>2803</v>
      </c>
      <c r="AI8" s="1612" t="s">
        <v>2804</v>
      </c>
      <c r="AJ8" s="1612" t="s">
        <v>2805</v>
      </c>
    </row>
    <row r="9" spans="1:36" ht="15">
      <c r="A9" s="3315"/>
      <c r="B9" s="198" t="s">
        <v>2806</v>
      </c>
      <c r="C9" s="922">
        <f>SUMIF(修正!C59:C119,C8,修正!E59:E119)</f>
        <v>0</v>
      </c>
      <c r="D9" s="200" t="s">
        <v>140</v>
      </c>
      <c r="E9" s="200" t="e">
        <f>ROUND(C11/E7,4)</f>
        <v>#DIV/0!</v>
      </c>
      <c r="F9" s="2757" t="s">
        <v>2807</v>
      </c>
      <c r="G9" s="2758"/>
      <c r="H9" s="2758"/>
      <c r="I9" s="2758"/>
      <c r="J9" s="2759"/>
      <c r="K9" s="1373"/>
      <c r="L9" s="2732" t="s">
        <v>2808</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309" t="s">
        <v>2809</v>
      </c>
      <c r="X9" s="1613" t="s">
        <v>2810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15"/>
      <c r="B10" s="198" t="s">
        <v>2811</v>
      </c>
      <c r="C10" s="200">
        <f>SUMIF(修正!C59:C119,C8,修正!F59:F119)</f>
        <v>0</v>
      </c>
      <c r="D10" s="200" t="s">
        <v>141</v>
      </c>
      <c r="E10" s="200" t="e">
        <f>ROUND(C11/E7,4)</f>
        <v>#DIV/0!</v>
      </c>
      <c r="F10" s="2757" t="s">
        <v>2812</v>
      </c>
      <c r="G10" s="2758"/>
      <c r="H10" s="2758"/>
      <c r="I10" s="2758"/>
      <c r="J10" s="2759"/>
      <c r="K10" s="1373"/>
      <c r="L10" s="2732" t="s">
        <v>2813</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309"/>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15"/>
      <c r="B11" s="2760" t="s">
        <v>2814</v>
      </c>
      <c r="C11" s="923">
        <f>C10/4</f>
        <v>0</v>
      </c>
      <c r="D11" s="923" t="s">
        <v>142</v>
      </c>
      <c r="E11" s="923" t="e">
        <f>ROUND(C11/E7,4)</f>
        <v>#DIV/0!</v>
      </c>
      <c r="F11" s="2761" t="s">
        <v>2815</v>
      </c>
      <c r="G11" s="2762"/>
      <c r="H11" s="2762"/>
      <c r="I11" s="2762"/>
      <c r="J11" s="2763"/>
      <c r="K11" s="1373"/>
      <c r="L11" s="2732" t="s">
        <v>2816</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309" t="s">
        <v>2817</v>
      </c>
      <c r="X11" s="1616" t="s">
        <v>2818</v>
      </c>
      <c r="Y11" s="1617">
        <f>$G$3</f>
        <v>6.25</v>
      </c>
      <c r="Z11" s="1617">
        <f t="shared" ref="Z11:AJ11" si="3">$G$3</f>
        <v>6.25</v>
      </c>
      <c r="AA11" s="1617">
        <f t="shared" si="3"/>
        <v>6.25</v>
      </c>
      <c r="AB11" s="1617">
        <f t="shared" si="3"/>
        <v>6.25</v>
      </c>
      <c r="AC11" s="1617">
        <f t="shared" si="3"/>
        <v>6.25</v>
      </c>
      <c r="AD11" s="1617">
        <f t="shared" si="3"/>
        <v>6.25</v>
      </c>
      <c r="AE11" s="1617">
        <f t="shared" si="3"/>
        <v>6.25</v>
      </c>
      <c r="AF11" s="1617">
        <f t="shared" si="3"/>
        <v>6.25</v>
      </c>
      <c r="AG11" s="1617">
        <f t="shared" si="3"/>
        <v>6.25</v>
      </c>
      <c r="AH11" s="1617">
        <f t="shared" si="3"/>
        <v>6.25</v>
      </c>
      <c r="AI11" s="1617">
        <f t="shared" si="3"/>
        <v>6.25</v>
      </c>
      <c r="AJ11" s="1617">
        <f t="shared" si="3"/>
        <v>6.25</v>
      </c>
    </row>
    <row r="12" spans="1:36" ht="25.5" thickBot="1">
      <c r="A12" s="3314" t="s">
        <v>2819</v>
      </c>
      <c r="B12" s="2764" t="s">
        <v>2820</v>
      </c>
      <c r="C12" s="919">
        <f>ROUND(C15*D15*E15*F15*G15*H15*I15*J15,4)</f>
        <v>1</v>
      </c>
      <c r="D12" s="2765" t="s">
        <v>2821</v>
      </c>
      <c r="E12" s="2766"/>
      <c r="F12" s="2766"/>
      <c r="G12" s="2767"/>
      <c r="H12" s="2767"/>
      <c r="I12" s="2767"/>
      <c r="J12" s="2768"/>
      <c r="K12" s="1373"/>
      <c r="L12" s="2769" t="s">
        <v>2822</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309"/>
      <c r="X12" s="1618" t="s">
        <v>2823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16"/>
      <c r="B13" s="2770" t="s">
        <v>2824</v>
      </c>
      <c r="C13" s="2771" t="s">
        <v>2825</v>
      </c>
      <c r="D13" s="1810" t="s">
        <v>2826</v>
      </c>
      <c r="E13" s="1810" t="s">
        <v>2827</v>
      </c>
      <c r="F13" s="30" t="s">
        <v>2828</v>
      </c>
      <c r="G13" s="2772" t="s">
        <v>2829</v>
      </c>
      <c r="H13" s="2772" t="s">
        <v>2829</v>
      </c>
      <c r="I13" s="2772" t="s">
        <v>2829</v>
      </c>
      <c r="J13" s="2773" t="s">
        <v>2829</v>
      </c>
      <c r="K13" s="1373"/>
      <c r="L13" s="1373"/>
      <c r="M13" s="1373"/>
      <c r="N13" s="1373"/>
      <c r="O13" s="1373"/>
      <c r="P13" s="1373"/>
      <c r="Q13" s="1373"/>
      <c r="R13" s="1604">
        <v>12</v>
      </c>
      <c r="S13" s="1605"/>
      <c r="T13" s="1604" t="e">
        <f t="shared" si="0"/>
        <v>#DIV/0!</v>
      </c>
      <c r="U13" s="1605"/>
      <c r="V13" s="1604" t="e">
        <f t="shared" si="1"/>
        <v>#DIV/0!</v>
      </c>
      <c r="W13" s="3309"/>
      <c r="X13" s="1618"/>
      <c r="Y13" s="1615">
        <f>(-0.163*(Y12^2)-0.59*Y12+7617)*(10^(-4))/Y11</f>
        <v>0.12187200000000001</v>
      </c>
      <c r="Z13" s="1615">
        <f t="shared" ref="Z13:AJ13" si="5">(-0.163*(Z12^2)-0.59*Z12+7617)*(10^(-4))/Z11</f>
        <v>0.12187200000000001</v>
      </c>
      <c r="AA13" s="1615">
        <f t="shared" si="5"/>
        <v>0.12187200000000001</v>
      </c>
      <c r="AB13" s="1615">
        <f t="shared" si="5"/>
        <v>0.12187200000000001</v>
      </c>
      <c r="AC13" s="1615">
        <f t="shared" si="5"/>
        <v>0.12187200000000001</v>
      </c>
      <c r="AD13" s="1615">
        <f t="shared" si="5"/>
        <v>0.12187200000000001</v>
      </c>
      <c r="AE13" s="1615">
        <f t="shared" si="5"/>
        <v>0.12187200000000001</v>
      </c>
      <c r="AF13" s="1615">
        <f t="shared" si="5"/>
        <v>0.12187200000000001</v>
      </c>
      <c r="AG13" s="1615">
        <f t="shared" si="5"/>
        <v>0.12187200000000001</v>
      </c>
      <c r="AH13" s="1615">
        <f t="shared" si="5"/>
        <v>0.12187200000000001</v>
      </c>
      <c r="AI13" s="1615">
        <f t="shared" si="5"/>
        <v>0.12187200000000001</v>
      </c>
      <c r="AJ13" s="1615">
        <f t="shared" si="5"/>
        <v>0.12187200000000001</v>
      </c>
    </row>
    <row r="14" spans="1:36" ht="15">
      <c r="A14" s="3316"/>
      <c r="B14" s="2774"/>
      <c r="C14" s="2775"/>
      <c r="D14" s="2776"/>
      <c r="E14" s="2776"/>
      <c r="F14" s="2777"/>
      <c r="G14" s="2778" t="s">
        <v>2830</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17"/>
      <c r="B15" s="2782" t="s">
        <v>2831</v>
      </c>
      <c r="C15" s="229">
        <f>IF(C14="有",1.1,1)</f>
        <v>1</v>
      </c>
      <c r="D15" s="229">
        <f>IF(D14="有",1.1,1)</f>
        <v>1</v>
      </c>
      <c r="E15" s="229">
        <f>IF(E14="有",1.1,1)</f>
        <v>1</v>
      </c>
      <c r="F15" s="229">
        <f>IF(F14="500米范围内",1.2,IF(F14="500-1000米",1.1,1))</f>
        <v>1</v>
      </c>
      <c r="G15" s="949">
        <v>1</v>
      </c>
      <c r="H15" s="949">
        <v>1</v>
      </c>
      <c r="I15" s="949">
        <v>1</v>
      </c>
      <c r="J15" s="950">
        <v>1</v>
      </c>
      <c r="K15" s="1373"/>
      <c r="L15" s="2783" t="s">
        <v>2767</v>
      </c>
      <c r="M15" s="920" t="s">
        <v>2832</v>
      </c>
      <c r="N15" s="920" t="s">
        <v>2833</v>
      </c>
      <c r="O15" s="920" t="s">
        <v>2834</v>
      </c>
      <c r="P15" s="2784" t="s">
        <v>2835</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14" t="s">
        <v>2836</v>
      </c>
      <c r="B16" s="2751" t="s">
        <v>2837</v>
      </c>
      <c r="C16" s="1803" t="e">
        <f>ROUND(SUM(G17:J17)/C17,0)</f>
        <v>#DIV/0!</v>
      </c>
      <c r="D16" s="2785" t="s">
        <v>2838</v>
      </c>
      <c r="E16" s="2786"/>
      <c r="F16" s="2787"/>
      <c r="G16" s="2788"/>
      <c r="H16" s="2788"/>
      <c r="I16" s="2788"/>
      <c r="J16" s="2789"/>
      <c r="K16" s="1373"/>
      <c r="L16" s="2790" t="s">
        <v>2839</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15"/>
      <c r="B17" s="2791" t="s">
        <v>2840</v>
      </c>
      <c r="C17" s="924">
        <f>SUMPRODUCT((修正!A2:A5=E2)*(修正!B1:M1=G2)*(修正!B2:M5))</f>
        <v>0</v>
      </c>
      <c r="D17" s="2792" t="s">
        <v>2841</v>
      </c>
      <c r="E17" s="923" t="str">
        <f>IF(OR(G2="八级",G2="九级",G2="十级",G2="十一级",G2="十二级"),"五通一平","七通一平")</f>
        <v>七通一平</v>
      </c>
      <c r="F17" s="924" t="s">
        <v>2842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2843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807</v>
      </c>
      <c r="B18" s="2796" t="s">
        <v>2844</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808</v>
      </c>
      <c r="B19" s="2796" t="s">
        <v>2845</v>
      </c>
      <c r="C19" s="927" t="e">
        <f>ROUND(IF(H19="按公示增长率计算",SUMPRODUCT((地价!A3:A23=YEAR(G19)&amp;"-"&amp;ROUNDUP(MONTH(G19)/3,0))*(地价!X2:AB2=E2)*(地价!X3:AB23)),IF(H19="地价指数",M20/M19,(1+I19)^O19)),4)</f>
        <v>#DIV/0!</v>
      </c>
      <c r="D19" s="2803" t="s">
        <v>2846</v>
      </c>
      <c r="E19" s="928">
        <v>41640</v>
      </c>
      <c r="F19" s="2803" t="s">
        <v>2847</v>
      </c>
      <c r="G19" s="929">
        <f>'数据-取费表'!B2</f>
        <v>43321</v>
      </c>
      <c r="H19" s="2804" t="s">
        <v>2848</v>
      </c>
      <c r="I19" s="930" t="str">
        <f>IF(H19="季度增幅（自定义）",SUMIF(N21:N24,E2,O21:O24),"")</f>
        <v/>
      </c>
      <c r="J19" s="2801"/>
      <c r="K19" s="1380"/>
      <c r="L19" s="2805" t="s">
        <v>2849</v>
      </c>
      <c r="M19" s="1736">
        <f>ROUND(SUMIF(地价!B2:F2,E2,地价!B23:F23),0)</f>
        <v>0</v>
      </c>
      <c r="N19" s="2806" t="s">
        <v>2850</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809</v>
      </c>
      <c r="B20" s="2811" t="s">
        <v>2851</v>
      </c>
      <c r="C20" s="932" t="e">
        <f>ROUND(POWER(1+G20,J20-I20)*(POWER(1+G20,I20)-1)/(POWER(1+G20,J20)-1),4)</f>
        <v>#DIV/0!</v>
      </c>
      <c r="D20" s="2812" t="s">
        <v>2852</v>
      </c>
      <c r="E20" s="1770">
        <f ca="1">存贷款利率!D4/100</f>
        <v>4.3499999999999997E-2</v>
      </c>
      <c r="F20" s="2812" t="s">
        <v>2843</v>
      </c>
      <c r="G20" s="937">
        <f>SUMIF(M15:P15,E2,M17:P17)</f>
        <v>0</v>
      </c>
      <c r="H20" s="2812" t="s">
        <v>2853</v>
      </c>
      <c r="I20" s="938" t="e">
        <f>SUMIF('数据-取费表'!C6:C15,E2,'数据-取费表'!F6:F15)/COUNTIF('数据-取费表'!C6:C15,E2)</f>
        <v>#DIV/0!</v>
      </c>
      <c r="J20" s="939">
        <f>IF(E2="住宅",70,IF(E2="商业",40,50))</f>
        <v>50</v>
      </c>
      <c r="K20" s="1380"/>
      <c r="L20" s="2813" t="s">
        <v>2854</v>
      </c>
      <c r="M20" s="1737">
        <f>ROUND(SUMPRODUCT((地价!A4:A23=YEAR(G19)&amp;"-"&amp;ROUNDUP(MONTH(G19)/3,0))*(地价!B2:F2=E2)*(地价!B4:F23)),0)</f>
        <v>0</v>
      </c>
      <c r="N20" s="2814" t="s">
        <v>2855</v>
      </c>
      <c r="O20" s="2815" t="s">
        <v>2856</v>
      </c>
      <c r="P20" s="2816" t="s">
        <v>2857</v>
      </c>
      <c r="R20" s="1379"/>
      <c r="S20" s="1379"/>
      <c r="T20" s="1374"/>
      <c r="U20" s="1374"/>
      <c r="V20" s="1374"/>
      <c r="W20" s="1373"/>
      <c r="X20" s="1373"/>
      <c r="Y20" s="1373"/>
      <c r="Z20" s="1380"/>
      <c r="AA20" s="1381"/>
      <c r="AB20" s="1381"/>
      <c r="AC20" s="1381"/>
      <c r="AD20" s="1381"/>
      <c r="AE20" s="1381"/>
      <c r="AF20" s="1381"/>
    </row>
    <row r="21" spans="1:37" s="2744" customFormat="1" ht="15">
      <c r="A21" s="2817" t="s">
        <v>810</v>
      </c>
      <c r="B21" s="2818" t="s">
        <v>2858</v>
      </c>
      <c r="C21" s="940">
        <f>IF(B21="容积率修正",IF(G3&lt;=10,D22,J22),C23)</f>
        <v>0</v>
      </c>
      <c r="D21" s="2819"/>
      <c r="E21" s="2819"/>
      <c r="F21" s="2819"/>
      <c r="G21" s="2819"/>
      <c r="H21" s="2819"/>
      <c r="I21" s="2819"/>
      <c r="J21" s="2820"/>
      <c r="K21" s="1380"/>
      <c r="N21" s="2821" t="s">
        <v>2859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2860</v>
      </c>
      <c r="B22" s="2822" t="s">
        <v>2861</v>
      </c>
      <c r="C22" s="1812" t="s">
        <v>2862</v>
      </c>
      <c r="D22" s="1812">
        <f>IF(E22=G22,F22,IF(G3&lt;=10,ROUND(F22+(H22-F22)*(G3-E22)/(G22-E22),4),"——"))</f>
        <v>0</v>
      </c>
      <c r="E22" s="916">
        <f>ROUNDDOWN(G3,1)</f>
        <v>6.2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2863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2864</v>
      </c>
      <c r="B23" s="2823" t="s">
        <v>2865</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2866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811</v>
      </c>
      <c r="B24" s="2796" t="s">
        <v>2867</v>
      </c>
      <c r="C24" s="927">
        <f>SUMIF(A45:A88,E2,B45:B88)</f>
        <v>0</v>
      </c>
      <c r="D24" s="2799"/>
      <c r="E24" s="2829"/>
      <c r="F24" s="2829"/>
      <c r="G24" s="2829"/>
      <c r="H24" s="2829"/>
      <c r="I24" s="2829"/>
      <c r="J24" s="2830"/>
      <c r="K24" s="1380"/>
      <c r="N24" s="2831" t="s">
        <v>2868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812</v>
      </c>
      <c r="B25" s="2832" t="s">
        <v>2869</v>
      </c>
      <c r="C25" s="933"/>
      <c r="D25" s="2754"/>
      <c r="E25" s="2754"/>
      <c r="F25" s="2833"/>
      <c r="G25" s="2754"/>
      <c r="H25" s="2754"/>
      <c r="I25" s="2754"/>
      <c r="J25" s="2755"/>
      <c r="K25" s="1373"/>
      <c r="N25" s="2834" t="s">
        <v>2870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2871</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2872</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2873</v>
      </c>
      <c r="C28" s="2846" t="s">
        <v>2874</v>
      </c>
      <c r="D28" s="2846" t="s">
        <v>2875</v>
      </c>
      <c r="E28" s="2847" t="s">
        <v>2876</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2877</v>
      </c>
      <c r="C29" s="206" t="e">
        <f>ROUND(C5*C18*C19*C20*C21*C24,0)</f>
        <v>#DIV/0!</v>
      </c>
      <c r="D29" s="2851"/>
      <c r="E29" s="945" t="e">
        <f>ROUND(C29*D29/10000,0)</f>
        <v>#DIV/0!</v>
      </c>
      <c r="F29" s="2852" t="s">
        <v>2878</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2879</v>
      </c>
      <c r="C30" s="229" t="e">
        <f>ROUND(IF(E2="工业",C29*M39,C29*M38),0)</f>
        <v>#DIV/0!</v>
      </c>
      <c r="D30" s="2857"/>
      <c r="E30" s="945" t="e">
        <f>ROUND(C30*D30/10000,0)</f>
        <v>#DIV/0!</v>
      </c>
      <c r="F30" s="2858" t="s">
        <v>2880</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2881</v>
      </c>
      <c r="C31" s="2863" t="s">
        <v>2882</v>
      </c>
      <c r="D31" s="2767"/>
      <c r="E31" s="2863"/>
      <c r="F31" s="2863"/>
      <c r="G31" s="2765" t="s">
        <v>2883</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2874</v>
      </c>
      <c r="D32" s="498" t="s">
        <v>2875</v>
      </c>
      <c r="E32" s="498" t="s">
        <v>2876</v>
      </c>
      <c r="F32" s="388" t="s">
        <v>2884</v>
      </c>
      <c r="G32" s="2866" t="s">
        <v>2874</v>
      </c>
      <c r="H32" s="2866" t="s">
        <v>2875</v>
      </c>
      <c r="I32" s="2866" t="s">
        <v>2876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324" t="s">
        <v>2885</v>
      </c>
      <c r="B33" s="2867" t="s">
        <v>2886</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5"/>
      <c r="B34" s="2771" t="s">
        <v>2887</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5"/>
      <c r="B35" s="2771" t="s">
        <v>2888</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326"/>
      <c r="B36" s="2771" t="s">
        <v>2889</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2890</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2891</v>
      </c>
      <c r="M37" s="2871"/>
      <c r="N37" s="1373"/>
      <c r="O37" s="1373"/>
      <c r="P37" s="1373"/>
      <c r="Q37" s="1373"/>
      <c r="R37" s="1373"/>
      <c r="S37" s="1373"/>
      <c r="T37" s="1373"/>
      <c r="U37" s="1373"/>
      <c r="V37" s="1373"/>
      <c r="W37" s="1373"/>
      <c r="X37" s="1373"/>
      <c r="Y37" s="1373"/>
      <c r="Z37" s="1374"/>
    </row>
    <row r="38" spans="1:37">
      <c r="A38" s="2869"/>
      <c r="B38" s="2771" t="s">
        <v>2892</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2893</v>
      </c>
      <c r="M38" s="2872">
        <v>0.25</v>
      </c>
      <c r="N38" s="1373"/>
      <c r="O38" s="1373"/>
      <c r="P38" s="1373"/>
      <c r="Q38" s="1373"/>
      <c r="R38" s="1373"/>
      <c r="S38" s="1373"/>
      <c r="T38" s="1373"/>
      <c r="U38" s="1373"/>
      <c r="V38" s="1373"/>
      <c r="W38" s="1373"/>
      <c r="X38" s="1373"/>
      <c r="Y38" s="1373"/>
      <c r="Z38" s="1374"/>
    </row>
    <row r="39" spans="1:37" ht="13.5" thickBot="1">
      <c r="A39" s="2855"/>
      <c r="B39" s="2873" t="s">
        <v>2894</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2835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2895</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2896</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2897</v>
      </c>
      <c r="B47" s="1811" t="s">
        <v>2898</v>
      </c>
      <c r="C47" s="1811" t="s">
        <v>2899</v>
      </c>
      <c r="D47" s="1811" t="s">
        <v>2900</v>
      </c>
      <c r="E47" s="819" t="s">
        <v>2901</v>
      </c>
      <c r="F47" s="2885" t="s">
        <v>2902</v>
      </c>
      <c r="G47" s="1811" t="s">
        <v>754</v>
      </c>
      <c r="H47" s="2886" t="s">
        <v>2903</v>
      </c>
      <c r="I47" s="1811" t="s">
        <v>2904</v>
      </c>
      <c r="J47" s="603" t="s">
        <v>2551</v>
      </c>
      <c r="K47" s="603" t="s">
        <v>2552</v>
      </c>
      <c r="L47" s="603" t="s">
        <v>2553</v>
      </c>
      <c r="M47" s="603" t="s">
        <v>2554</v>
      </c>
      <c r="N47" s="603" t="s">
        <v>2555</v>
      </c>
      <c r="AA47" s="1374"/>
      <c r="AB47" s="1374"/>
      <c r="AC47" s="1374"/>
      <c r="AD47" s="1374"/>
      <c r="AE47" s="1374"/>
      <c r="AF47" s="1374"/>
      <c r="AG47" s="1374"/>
      <c r="AH47" s="1374"/>
      <c r="AI47" s="1374"/>
      <c r="AJ47" s="1374"/>
      <c r="AK47" s="1374"/>
    </row>
    <row r="48" spans="1:37" s="1373" customFormat="1" ht="51">
      <c r="A48" s="2884" t="s">
        <v>2905</v>
      </c>
      <c r="B48" s="2887" t="str">
        <f>估价对象房地状况!C4</f>
        <v>估价对象位于新姚南路南侧，周边商业氛围一般，多为社区底商，人流量一般，商业繁华度一般</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4" t="s">
        <v>2906</v>
      </c>
      <c r="B49" s="2888" t="str">
        <f>估价对象房地状况!C18</f>
        <v>估价对象周边道路密集程度高、周边一公里内有20路、206路等、地铁1号线桂花坪站。停车便捷程度好，综合评价交通便捷度好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84" t="s">
        <v>2907</v>
      </c>
      <c r="B50" s="2888" t="str">
        <f>估价对象房地状况!C19</f>
        <v>零星有其他用地，基本不影响本宗地</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2908</v>
      </c>
      <c r="B51" s="2889" t="s">
        <v>2909</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2910</v>
      </c>
      <c r="B52" s="2888" t="str">
        <f>估价对象房地状况!C24</f>
        <v>城市次干道——友谊路</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2911</v>
      </c>
      <c r="B53" s="2890" t="s">
        <v>2912</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2913</v>
      </c>
      <c r="B54" s="1727" t="str">
        <f>估价对象房地状况!C21</f>
        <v>估价对象所在区域公共配套设施齐备度一般</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2914</v>
      </c>
      <c r="B55" s="2888" t="str">
        <f>估价对象房地状况!C22</f>
        <v>估价对象所在区域基础设施水平较好</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2" t="s">
        <v>2915</v>
      </c>
      <c r="B56" s="2893" t="str">
        <f>估价对象房地状况!C20</f>
        <v>区域自然环境：周边有宜春社区公园等；人文环境：周边有盛砚砚博物馆等；综合评价环境状况较好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2916</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2897</v>
      </c>
      <c r="B58" s="1811"/>
      <c r="C58" s="1811" t="s">
        <v>2899</v>
      </c>
      <c r="D58" s="1811" t="s">
        <v>2900</v>
      </c>
      <c r="E58" s="819" t="s">
        <v>2901</v>
      </c>
      <c r="F58" s="2885" t="s">
        <v>2917</v>
      </c>
      <c r="G58" s="1811" t="s">
        <v>754</v>
      </c>
      <c r="H58" s="2886" t="s">
        <v>2903</v>
      </c>
      <c r="I58" s="1811" t="s">
        <v>2904</v>
      </c>
      <c r="J58" s="603" t="s">
        <v>2551</v>
      </c>
      <c r="K58" s="603" t="s">
        <v>2552</v>
      </c>
      <c r="L58" s="603" t="s">
        <v>2553</v>
      </c>
      <c r="M58" s="603" t="s">
        <v>2554</v>
      </c>
      <c r="N58" s="603" t="s">
        <v>2555</v>
      </c>
      <c r="AA58" s="1374"/>
      <c r="AB58" s="1374"/>
      <c r="AC58" s="1374"/>
      <c r="AD58" s="1374"/>
      <c r="AE58" s="1374"/>
      <c r="AF58" s="1374"/>
      <c r="AG58" s="1374"/>
      <c r="AH58" s="1374"/>
      <c r="AI58" s="1374"/>
      <c r="AJ58" s="1374"/>
      <c r="AK58" s="1374"/>
    </row>
    <row r="59" spans="1:37" s="1373" customFormat="1" ht="24">
      <c r="A59" s="2884" t="s">
        <v>2918</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4" t="s">
        <v>2906</v>
      </c>
      <c r="B60" s="2888" t="str">
        <f>估价对象房地状况!C18</f>
        <v>估价对象周边道路密集程度高、周边一公里内有20路、206路等、地铁1号线桂花坪站。停车便捷程度好，综合评价交通便捷度好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84" t="s">
        <v>2907</v>
      </c>
      <c r="B61" s="2888" t="str">
        <f>估价对象房地状况!C19</f>
        <v>零星有其他用地，基本不影响本宗地</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2908</v>
      </c>
      <c r="B62" s="2889" t="s">
        <v>2909</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2910</v>
      </c>
      <c r="B63" s="2888" t="str">
        <f>估价对象房地状况!C24</f>
        <v>城市次干道——友谊路</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2911</v>
      </c>
      <c r="B64" s="2890" t="s">
        <v>2912</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2913</v>
      </c>
      <c r="B65" s="1727" t="str">
        <f>估价对象房地状况!C21</f>
        <v>估价对象所在区域公共配套设施齐备度一般</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2914</v>
      </c>
      <c r="B66" s="1727" t="str">
        <f>估价对象房地状况!C22</f>
        <v>估价对象所在区域基础设施水平较好</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2" t="s">
        <v>2915</v>
      </c>
      <c r="B67" s="2894" t="str">
        <f>估价对象房地状况!C20</f>
        <v>区域自然环境：周边有宜春社区公园等；人文环境：周边有盛砚砚博物馆等；综合评价环境状况较好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2919</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2897</v>
      </c>
      <c r="B69" s="1811"/>
      <c r="C69" s="1811" t="s">
        <v>2899</v>
      </c>
      <c r="D69" s="1811" t="s">
        <v>2900</v>
      </c>
      <c r="E69" s="819" t="s">
        <v>2901</v>
      </c>
      <c r="F69" s="2885" t="s">
        <v>2917</v>
      </c>
      <c r="G69" s="1811" t="s">
        <v>754</v>
      </c>
      <c r="H69" s="2886" t="s">
        <v>2903</v>
      </c>
      <c r="I69" s="1811" t="s">
        <v>2904</v>
      </c>
      <c r="J69" s="603" t="s">
        <v>2551</v>
      </c>
      <c r="K69" s="603" t="s">
        <v>2552</v>
      </c>
      <c r="L69" s="603" t="s">
        <v>2553</v>
      </c>
      <c r="M69" s="603" t="s">
        <v>2554</v>
      </c>
      <c r="N69" s="603" t="s">
        <v>2555</v>
      </c>
      <c r="AA69" s="1374"/>
      <c r="AB69" s="1374"/>
      <c r="AC69" s="1374"/>
      <c r="AD69" s="1374"/>
      <c r="AE69" s="1374"/>
      <c r="AF69" s="1374"/>
      <c r="AG69" s="1374"/>
      <c r="AH69" s="1374"/>
      <c r="AI69" s="1374"/>
      <c r="AJ69" s="1374"/>
      <c r="AK69" s="1374"/>
    </row>
    <row r="70" spans="1:37" s="1373" customFormat="1" ht="76.5">
      <c r="A70" s="2884" t="s">
        <v>2920</v>
      </c>
      <c r="B70" s="2887" t="str">
        <f>估价对象房地状况!C15</f>
        <v>估价对象周边居住用地比例较高、居住小区规模和社区发展完善程度较好，周边1公里内有水墨林溪等住宅项目，综合评价居住社区成熟度一般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4" t="s">
        <v>2906</v>
      </c>
      <c r="B71" s="2888" t="str">
        <f>估价对象房地状况!C18</f>
        <v>估价对象周边道路密集程度高、周边一公里内有20路、206路等、地铁1号线桂花坪站。停车便捷程度好，综合评价交通便捷度好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84" t="s">
        <v>2907</v>
      </c>
      <c r="B72" s="2888" t="str">
        <f>估价对象房地状况!C19</f>
        <v>零星有其他用地，基本不影响本宗地</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2921</v>
      </c>
      <c r="B73" s="2888" t="str">
        <f>估价对象房地状况!C24</f>
        <v>城市次干道——友谊路</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2913</v>
      </c>
      <c r="B74" s="1727" t="str">
        <f>估价对象房地状况!C21</f>
        <v>估价对象所在区域公共配套设施齐备度一般</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2914</v>
      </c>
      <c r="B75" s="1727" t="str">
        <f>估价对象房地状况!C22</f>
        <v>估价对象所在区域基础设施水平较好</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2911</v>
      </c>
      <c r="B76" s="2890" t="s">
        <v>2912</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63.75">
      <c r="A77" s="2884" t="s">
        <v>2915</v>
      </c>
      <c r="B77" s="2887" t="str">
        <f>估价对象房地状况!C20</f>
        <v>区域自然环境：周边有宜春社区公园等；人文环境：周边有盛砚砚博物馆等；综合评价环境状况较好</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2922</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2923</v>
      </c>
      <c r="B79" s="2881">
        <f>1+E81</f>
        <v>1</v>
      </c>
      <c r="C79" s="814"/>
      <c r="D79" s="814"/>
      <c r="E79" s="815"/>
      <c r="F79" s="2883"/>
      <c r="G79" s="6"/>
      <c r="H79" s="6"/>
      <c r="I79" s="6"/>
      <c r="J79" s="7"/>
      <c r="K79" s="7"/>
      <c r="L79" s="7"/>
      <c r="M79" s="7"/>
      <c r="N79" s="7"/>
      <c r="Z79" s="2726"/>
      <c r="AA79" s="2802"/>
      <c r="AG79" s="1375"/>
      <c r="AK79" s="2802"/>
    </row>
    <row r="80" spans="1:37" ht="24.75">
      <c r="A80" s="2884" t="s">
        <v>2897</v>
      </c>
      <c r="B80" s="1811"/>
      <c r="C80" s="1811" t="s">
        <v>2899</v>
      </c>
      <c r="D80" s="1811" t="s">
        <v>2900</v>
      </c>
      <c r="E80" s="819" t="s">
        <v>2901</v>
      </c>
      <c r="F80" s="2885" t="s">
        <v>2917</v>
      </c>
      <c r="G80" s="1811" t="s">
        <v>754</v>
      </c>
      <c r="H80" s="2886" t="s">
        <v>2903</v>
      </c>
      <c r="I80" s="1811" t="s">
        <v>2904</v>
      </c>
      <c r="J80" s="603" t="s">
        <v>2551</v>
      </c>
      <c r="K80" s="603" t="s">
        <v>2552</v>
      </c>
      <c r="L80" s="603" t="s">
        <v>2553</v>
      </c>
      <c r="M80" s="603" t="s">
        <v>2554</v>
      </c>
      <c r="N80" s="603" t="s">
        <v>2555</v>
      </c>
      <c r="Z80" s="2726"/>
      <c r="AA80" s="2802"/>
      <c r="AG80" s="1375"/>
      <c r="AK80" s="2802"/>
    </row>
    <row r="81" spans="1:37" ht="24">
      <c r="A81" s="2884" t="s">
        <v>2924</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2906</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2907</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2921</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2913</v>
      </c>
      <c r="B85" s="1727">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2914</v>
      </c>
      <c r="B86" s="1727">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2911</v>
      </c>
      <c r="B87" s="2890" t="s">
        <v>2925</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2926</v>
      </c>
      <c r="B88" s="2897">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318" t="s">
        <v>2927</v>
      </c>
      <c r="B90" s="3318"/>
      <c r="C90" s="3318"/>
      <c r="D90" s="3318"/>
      <c r="E90" s="3318"/>
      <c r="F90" s="3318"/>
      <c r="G90" s="3318"/>
      <c r="H90" s="3318"/>
      <c r="I90" s="3318"/>
      <c r="J90" s="3318"/>
      <c r="K90" s="2898"/>
      <c r="L90" s="2898"/>
      <c r="M90" s="2898"/>
      <c r="N90" s="2898"/>
    </row>
    <row r="91" spans="1:37">
      <c r="A91" s="3320" t="s">
        <v>2928</v>
      </c>
      <c r="B91" s="3320" t="s">
        <v>2929</v>
      </c>
      <c r="C91" s="2852" t="s">
        <v>2930</v>
      </c>
      <c r="D91" s="2853"/>
      <c r="E91" s="2853"/>
      <c r="F91" s="2853"/>
      <c r="G91" s="2853"/>
      <c r="H91" s="2853"/>
      <c r="I91" s="2853"/>
      <c r="J91" s="2899"/>
      <c r="K91" s="2900"/>
      <c r="L91" s="2900"/>
      <c r="M91" s="2900"/>
      <c r="N91" s="2900"/>
    </row>
    <row r="92" spans="1:37">
      <c r="A92" s="3320"/>
      <c r="B92" s="3320"/>
      <c r="C92" s="945" t="s">
        <v>2794</v>
      </c>
      <c r="D92" s="945" t="s">
        <v>2795</v>
      </c>
      <c r="E92" s="945" t="s">
        <v>2796</v>
      </c>
      <c r="F92" s="945" t="s">
        <v>2797</v>
      </c>
      <c r="G92" s="945" t="s">
        <v>2798</v>
      </c>
      <c r="H92" s="945" t="s">
        <v>2799</v>
      </c>
      <c r="I92" s="945" t="s">
        <v>2800</v>
      </c>
      <c r="J92" s="945" t="s">
        <v>2801</v>
      </c>
      <c r="K92" s="945" t="s">
        <v>2802</v>
      </c>
      <c r="L92" s="945" t="s">
        <v>2803</v>
      </c>
      <c r="M92" s="945" t="s">
        <v>2804</v>
      </c>
      <c r="N92" s="945" t="s">
        <v>2805</v>
      </c>
    </row>
    <row r="93" spans="1:37">
      <c r="A93" s="3321" t="s">
        <v>2931</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322"/>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322"/>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322"/>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322"/>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322"/>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322"/>
      <c r="B99" s="2901" t="s">
        <v>2810</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323"/>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321" t="s">
        <v>2932</v>
      </c>
      <c r="B101" s="2905" t="s">
        <v>2933</v>
      </c>
      <c r="C101" s="2906">
        <f>$G$3</f>
        <v>6.25</v>
      </c>
      <c r="D101" s="2906">
        <f t="shared" ref="D101:N101" si="31">$G$3</f>
        <v>6.25</v>
      </c>
      <c r="E101" s="2906">
        <f t="shared" si="31"/>
        <v>6.25</v>
      </c>
      <c r="F101" s="2906">
        <f t="shared" si="31"/>
        <v>6.25</v>
      </c>
      <c r="G101" s="2906">
        <f t="shared" si="31"/>
        <v>6.25</v>
      </c>
      <c r="H101" s="2906">
        <f t="shared" si="31"/>
        <v>6.25</v>
      </c>
      <c r="I101" s="2906">
        <f t="shared" si="31"/>
        <v>6.25</v>
      </c>
      <c r="J101" s="2906">
        <f t="shared" si="31"/>
        <v>6.25</v>
      </c>
      <c r="K101" s="2906">
        <f t="shared" si="31"/>
        <v>6.25</v>
      </c>
      <c r="L101" s="2906">
        <f t="shared" si="31"/>
        <v>6.25</v>
      </c>
      <c r="M101" s="2906">
        <f t="shared" si="31"/>
        <v>6.25</v>
      </c>
      <c r="N101" s="2906">
        <f t="shared" si="31"/>
        <v>6.25</v>
      </c>
    </row>
    <row r="102" spans="1:14">
      <c r="A102" s="3322"/>
      <c r="B102" s="2901">
        <v>1</v>
      </c>
      <c r="C102" s="2902">
        <f>1.9362/C101</f>
        <v>0.30979200000000001</v>
      </c>
      <c r="D102" s="2902">
        <f>1.9362/D101</f>
        <v>0.30979200000000001</v>
      </c>
      <c r="E102" s="2902">
        <f>1.8629/E101</f>
        <v>0.298064</v>
      </c>
      <c r="F102" s="2902">
        <f>1.8629/F101</f>
        <v>0.298064</v>
      </c>
      <c r="G102" s="2902">
        <f>1.8629/G101</f>
        <v>0.298064</v>
      </c>
      <c r="H102" s="2902">
        <f>1.8629/H101</f>
        <v>0.298064</v>
      </c>
      <c r="I102" s="2902">
        <f>1.8629/I101</f>
        <v>0.298064</v>
      </c>
      <c r="J102" s="2902">
        <f>1.942/J101</f>
        <v>0.31072</v>
      </c>
      <c r="K102" s="2902">
        <f>1.942/K101</f>
        <v>0.31072</v>
      </c>
      <c r="L102" s="2902">
        <f>1.942/L101</f>
        <v>0.31072</v>
      </c>
      <c r="M102" s="2902">
        <f>1.942/M101</f>
        <v>0.31072</v>
      </c>
      <c r="N102" s="2902">
        <f>1.942/N101</f>
        <v>0.31072</v>
      </c>
    </row>
    <row r="103" spans="1:14">
      <c r="A103" s="3322"/>
      <c r="B103" s="2901">
        <v>2</v>
      </c>
      <c r="C103" s="2902">
        <f>1.4198/C101</f>
        <v>0.22716799999999998</v>
      </c>
      <c r="D103" s="2902">
        <f>1.4198/D101</f>
        <v>0.22716799999999998</v>
      </c>
      <c r="E103" s="2902">
        <f>1.3372/E101</f>
        <v>0.213952</v>
      </c>
      <c r="F103" s="2902">
        <f>1.3372/F101</f>
        <v>0.213952</v>
      </c>
      <c r="G103" s="2902">
        <f>1.3372/G101</f>
        <v>0.213952</v>
      </c>
      <c r="H103" s="2902">
        <f>1.3372/H101</f>
        <v>0.213952</v>
      </c>
      <c r="I103" s="2902">
        <f>1.3372/I101</f>
        <v>0.213952</v>
      </c>
      <c r="J103" s="2902">
        <f>1.2799/J101</f>
        <v>0.20478399999999999</v>
      </c>
      <c r="K103" s="2902">
        <f>1.2799/K101</f>
        <v>0.20478399999999999</v>
      </c>
      <c r="L103" s="2902">
        <f>1.2799/L101</f>
        <v>0.20478399999999999</v>
      </c>
      <c r="M103" s="2902">
        <f>1.2799/M101</f>
        <v>0.20478399999999999</v>
      </c>
      <c r="N103" s="2902">
        <f>1.2799/N101</f>
        <v>0.20478399999999999</v>
      </c>
    </row>
    <row r="104" spans="1:14">
      <c r="A104" s="3322"/>
      <c r="B104" s="2901">
        <v>3</v>
      </c>
      <c r="C104" s="2902">
        <f>1.1594/C101</f>
        <v>0.185504</v>
      </c>
      <c r="D104" s="2902">
        <f>1.1594/D101</f>
        <v>0.185504</v>
      </c>
      <c r="E104" s="2902">
        <f>1.0788/E101</f>
        <v>0.17260799999999998</v>
      </c>
      <c r="F104" s="2902">
        <f>1.0788/F101</f>
        <v>0.17260799999999998</v>
      </c>
      <c r="G104" s="2902">
        <f>1.0788/G101</f>
        <v>0.17260799999999998</v>
      </c>
      <c r="H104" s="2902">
        <f>1.0788/H101</f>
        <v>0.17260799999999998</v>
      </c>
      <c r="I104" s="2902">
        <f>1.0788/I101</f>
        <v>0.17260799999999998</v>
      </c>
      <c r="J104" s="2902">
        <f>1.0072/J101</f>
        <v>0.16115200000000002</v>
      </c>
      <c r="K104" s="2902">
        <f>1.0072/K101</f>
        <v>0.16115200000000002</v>
      </c>
      <c r="L104" s="2902">
        <f>1.0072/L101</f>
        <v>0.16115200000000002</v>
      </c>
      <c r="M104" s="2902">
        <f>1.0072/M101</f>
        <v>0.16115200000000002</v>
      </c>
      <c r="N104" s="2902">
        <f>1.0072/N101</f>
        <v>0.16115200000000002</v>
      </c>
    </row>
    <row r="105" spans="1:14">
      <c r="A105" s="3322"/>
      <c r="B105" s="2901">
        <v>4</v>
      </c>
      <c r="C105" s="2902">
        <f>0.9622/C101</f>
        <v>0.15395200000000001</v>
      </c>
      <c r="D105" s="2902">
        <f>0.9622/D101</f>
        <v>0.15395200000000001</v>
      </c>
      <c r="E105" s="2902">
        <f>0.8656/E101</f>
        <v>0.13849600000000001</v>
      </c>
      <c r="F105" s="2902">
        <f>0.8656/F101</f>
        <v>0.13849600000000001</v>
      </c>
      <c r="G105" s="2902">
        <f>0.8656/G101</f>
        <v>0.13849600000000001</v>
      </c>
      <c r="H105" s="2902">
        <f>0.8656/H101</f>
        <v>0.13849600000000001</v>
      </c>
      <c r="I105" s="2902">
        <f>0.8656/I101</f>
        <v>0.13849600000000001</v>
      </c>
      <c r="J105" s="2902">
        <f>0.7525/J101</f>
        <v>0.12039999999999999</v>
      </c>
      <c r="K105" s="2902">
        <f>0.7525/K101</f>
        <v>0.12039999999999999</v>
      </c>
      <c r="L105" s="2902">
        <f>0.7525/L101</f>
        <v>0.12039999999999999</v>
      </c>
      <c r="M105" s="2902">
        <f>0.7525/M101</f>
        <v>0.12039999999999999</v>
      </c>
      <c r="N105" s="2902">
        <f>0.7525/N101</f>
        <v>0.12039999999999999</v>
      </c>
    </row>
    <row r="106" spans="1:14">
      <c r="A106" s="3322"/>
      <c r="B106" s="2901">
        <v>5</v>
      </c>
      <c r="C106" s="2902">
        <f>0.8417/C101</f>
        <v>0.13467200000000001</v>
      </c>
      <c r="D106" s="2902">
        <f>0.8417/D101</f>
        <v>0.13467200000000001</v>
      </c>
      <c r="E106" s="2902">
        <f>0.7371/E101</f>
        <v>0.117936</v>
      </c>
      <c r="F106" s="2902">
        <f>0.7371/F101</f>
        <v>0.117936</v>
      </c>
      <c r="G106" s="2902">
        <f>0.7371/G101</f>
        <v>0.117936</v>
      </c>
      <c r="H106" s="2902">
        <f>0.7371/H101</f>
        <v>0.117936</v>
      </c>
      <c r="I106" s="2902">
        <f>0.7371/I101</f>
        <v>0.117936</v>
      </c>
      <c r="J106" s="2902">
        <f>0.5659/J101</f>
        <v>9.0543999999999999E-2</v>
      </c>
      <c r="K106" s="2902">
        <f>0.5659/K101</f>
        <v>9.0543999999999999E-2</v>
      </c>
      <c r="L106" s="2902">
        <f>0.5659/L101</f>
        <v>9.0543999999999999E-2</v>
      </c>
      <c r="M106" s="2902">
        <f>0.5659/M101</f>
        <v>9.0543999999999999E-2</v>
      </c>
      <c r="N106" s="2902">
        <f>0.5659/N101</f>
        <v>9.0543999999999999E-2</v>
      </c>
    </row>
    <row r="107" spans="1:14">
      <c r="A107" s="3322"/>
      <c r="B107" s="2901">
        <v>6</v>
      </c>
      <c r="C107" s="2902">
        <f>0.7608/C101</f>
        <v>0.121728</v>
      </c>
      <c r="D107" s="2902">
        <f>0.7608/D101</f>
        <v>0.121728</v>
      </c>
      <c r="E107" s="2902">
        <f>0.6482/E101</f>
        <v>0.103712</v>
      </c>
      <c r="F107" s="2902">
        <f>0.6482/F101</f>
        <v>0.103712</v>
      </c>
      <c r="G107" s="2902">
        <f>0.6482/G101</f>
        <v>0.103712</v>
      </c>
      <c r="H107" s="2902">
        <f>0.6482/H101</f>
        <v>0.103712</v>
      </c>
      <c r="I107" s="2902">
        <f>0.6482/I101</f>
        <v>0.103712</v>
      </c>
      <c r="J107" s="2902">
        <f>0.4525/J101</f>
        <v>7.2400000000000006E-2</v>
      </c>
      <c r="K107" s="2902">
        <f>0.4525/K101</f>
        <v>7.2400000000000006E-2</v>
      </c>
      <c r="L107" s="2902">
        <f>0.4525/L101</f>
        <v>7.2400000000000006E-2</v>
      </c>
      <c r="M107" s="2902">
        <f>0.4525/M101</f>
        <v>7.2400000000000006E-2</v>
      </c>
      <c r="N107" s="2902">
        <f>0.4525/N101</f>
        <v>7.2400000000000006E-2</v>
      </c>
    </row>
    <row r="108" spans="1:14">
      <c r="A108" s="3322"/>
      <c r="B108" s="3179" t="s">
        <v>2934</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323"/>
      <c r="B109" s="3180"/>
      <c r="C109" s="2904">
        <f>(-0.163*(C108^2)-0.59*C108+7617)*(10^(-4))/C101</f>
        <v>0.12187200000000001</v>
      </c>
      <c r="D109" s="2904">
        <f>(-0.163*(D108^2)-0.59*D108+7617)*(10^(-4))/D101</f>
        <v>0.12187200000000001</v>
      </c>
      <c r="E109" s="2904">
        <f>(-0.161*(E108^2)-7.509*E108+6533)*(10^(-4))/E101</f>
        <v>0.104528</v>
      </c>
      <c r="F109" s="2904">
        <f>(-0.161*(F108^2)-7.509*F108+6533)*(10^(-4))/F101</f>
        <v>0.104528</v>
      </c>
      <c r="G109" s="2904">
        <f>(-0.161*(G108^2)-7.509*G108+6533)*(10^(-4))/G101</f>
        <v>0.104528</v>
      </c>
      <c r="H109" s="2904">
        <f>(-0.161*(H108^2)-7.509*H108+6533)*(10^(-4))/H101</f>
        <v>0.104528</v>
      </c>
      <c r="I109" s="2904">
        <f>(-0.161*(I108^2)-7.509*I108+6533)*(10^(-4))/I101</f>
        <v>0.104528</v>
      </c>
      <c r="J109" s="2904">
        <f>(-0.214*(J108^2)-21.991*J108+4665)*(10^(-4))/J101</f>
        <v>7.4639999999999998E-2</v>
      </c>
      <c r="K109" s="2904">
        <f>(-0.214*(K108^2)-21.991*K108+4665)*(10^(-4))/K101</f>
        <v>7.4639999999999998E-2</v>
      </c>
      <c r="L109" s="2904">
        <f>(-0.214*(L108^2)-21.991*L108+4665)*(10^(-4))/L101</f>
        <v>7.4639999999999998E-2</v>
      </c>
      <c r="M109" s="2904">
        <f>(-0.214*(M108^2)-21.991*M108+4665)*(10^(-4))/M101</f>
        <v>7.4639999999999998E-2</v>
      </c>
      <c r="N109" s="2904">
        <f>(-0.214*(N108^2)-21.991*N108+4665)*(10^(-4))/N101</f>
        <v>7.4639999999999998E-2</v>
      </c>
    </row>
    <row r="110" spans="1:14">
      <c r="A110" s="3319" t="s">
        <v>2935</v>
      </c>
      <c r="B110" s="3319"/>
      <c r="C110" s="3319"/>
      <c r="D110" s="3319"/>
      <c r="E110" s="3319"/>
      <c r="F110" s="3319"/>
      <c r="G110" s="3319"/>
      <c r="H110" s="3319"/>
      <c r="I110" s="3319"/>
      <c r="J110" s="3319"/>
      <c r="K110" s="2907"/>
      <c r="L110" s="2907"/>
      <c r="M110" s="2907"/>
      <c r="N110" s="2907"/>
    </row>
    <row r="112" spans="1:14" ht="13.5" thickBot="1"/>
    <row r="113" spans="1:13" ht="25.5" thickBot="1">
      <c r="A113" s="903" t="s">
        <v>2936</v>
      </c>
      <c r="B113" s="1290">
        <f>G3</f>
        <v>6.25</v>
      </c>
      <c r="C113" s="904" t="s">
        <v>2937</v>
      </c>
      <c r="D113" s="905">
        <f>SUMPRODUCT((A115:A118=F113)*(B114:M114=H113)*B115:M118)</f>
        <v>0</v>
      </c>
      <c r="E113" s="2730" t="s">
        <v>2767</v>
      </c>
      <c r="F113" s="2909">
        <f>E2</f>
        <v>0</v>
      </c>
      <c r="G113" s="2730" t="s">
        <v>2768</v>
      </c>
      <c r="H113" s="2909">
        <f>G2</f>
        <v>0</v>
      </c>
      <c r="I113" s="2730"/>
      <c r="J113" s="2910"/>
      <c r="K113" s="2910"/>
      <c r="L113" s="2910"/>
      <c r="M113" s="2910"/>
    </row>
    <row r="114" spans="1:13">
      <c r="A114" s="908"/>
      <c r="B114" s="2911" t="s">
        <v>2938</v>
      </c>
      <c r="C114" s="2911" t="s">
        <v>2939</v>
      </c>
      <c r="D114" s="2911" t="s">
        <v>2940</v>
      </c>
      <c r="E114" s="2912" t="s">
        <v>2941</v>
      </c>
      <c r="F114" s="2912" t="s">
        <v>2942</v>
      </c>
      <c r="G114" s="2912" t="s">
        <v>2943</v>
      </c>
      <c r="H114" s="2913" t="s">
        <v>2944</v>
      </c>
      <c r="I114" s="2913" t="s">
        <v>2945</v>
      </c>
      <c r="J114" s="2914" t="s">
        <v>2946</v>
      </c>
      <c r="K114" s="2914" t="s">
        <v>2947</v>
      </c>
      <c r="L114" s="2914" t="s">
        <v>2948</v>
      </c>
      <c r="M114" s="2915" t="s">
        <v>2949</v>
      </c>
    </row>
    <row r="115" spans="1:13">
      <c r="A115" s="909" t="s">
        <v>2832</v>
      </c>
      <c r="B115" s="910">
        <f>ROUND(0.9335-0.0094*B113,4)</f>
        <v>0.87480000000000002</v>
      </c>
      <c r="C115" s="910">
        <f>B115</f>
        <v>0.87480000000000002</v>
      </c>
      <c r="D115" s="910">
        <f>ROUND(0.8331-0.0109*B113,4)</f>
        <v>0.76500000000000001</v>
      </c>
      <c r="E115" s="910">
        <f>D115</f>
        <v>0.76500000000000001</v>
      </c>
      <c r="F115" s="910">
        <f>E115</f>
        <v>0.76500000000000001</v>
      </c>
      <c r="G115" s="910">
        <f>F115</f>
        <v>0.76500000000000001</v>
      </c>
      <c r="H115" s="910">
        <f>G115</f>
        <v>0.76500000000000001</v>
      </c>
      <c r="I115" s="910">
        <f>ROUND(0.689-0.0155*B113,4)</f>
        <v>0.59209999999999996</v>
      </c>
      <c r="J115" s="910">
        <f t="shared" ref="J115:M118" si="33">I115</f>
        <v>0.59209999999999996</v>
      </c>
      <c r="K115" s="910">
        <f t="shared" si="33"/>
        <v>0.59209999999999996</v>
      </c>
      <c r="L115" s="910">
        <f t="shared" si="33"/>
        <v>0.59209999999999996</v>
      </c>
      <c r="M115" s="911">
        <f t="shared" si="33"/>
        <v>0.59209999999999996</v>
      </c>
    </row>
    <row r="116" spans="1:13">
      <c r="A116" s="909" t="s">
        <v>2833</v>
      </c>
      <c r="B116" s="910">
        <f>ROUND(0.949-0.012*B113,4)</f>
        <v>0.874</v>
      </c>
      <c r="C116" s="910">
        <f>B116</f>
        <v>0.874</v>
      </c>
      <c r="D116" s="910">
        <f>ROUND(0.8567-0.013*B113,4)</f>
        <v>0.77549999999999997</v>
      </c>
      <c r="E116" s="910">
        <f t="shared" ref="E116:H117" si="34">D116</f>
        <v>0.77549999999999997</v>
      </c>
      <c r="F116" s="910">
        <f t="shared" si="34"/>
        <v>0.77549999999999997</v>
      </c>
      <c r="G116" s="910">
        <f t="shared" si="34"/>
        <v>0.77549999999999997</v>
      </c>
      <c r="H116" s="910">
        <f t="shared" si="34"/>
        <v>0.77549999999999997</v>
      </c>
      <c r="I116" s="910">
        <f>ROUND(0.7694-0.014*B113,4)</f>
        <v>0.68189999999999995</v>
      </c>
      <c r="J116" s="910">
        <f t="shared" si="33"/>
        <v>0.68189999999999995</v>
      </c>
      <c r="K116" s="910">
        <f t="shared" si="33"/>
        <v>0.68189999999999995</v>
      </c>
      <c r="L116" s="910">
        <f t="shared" si="33"/>
        <v>0.68189999999999995</v>
      </c>
      <c r="M116" s="911">
        <f t="shared" si="33"/>
        <v>0.68189999999999995</v>
      </c>
    </row>
    <row r="117" spans="1:13">
      <c r="A117" s="909" t="s">
        <v>2834</v>
      </c>
      <c r="B117" s="910">
        <f>ROUND(0.8808-0.006*B113,4)</f>
        <v>0.84330000000000005</v>
      </c>
      <c r="C117" s="910">
        <f>B117</f>
        <v>0.84330000000000005</v>
      </c>
      <c r="D117" s="910">
        <f>ROUND(0.8748-0.008*B113,4)</f>
        <v>0.82479999999999998</v>
      </c>
      <c r="E117" s="910">
        <f t="shared" si="34"/>
        <v>0.82479999999999998</v>
      </c>
      <c r="F117" s="910">
        <f t="shared" si="34"/>
        <v>0.82479999999999998</v>
      </c>
      <c r="G117" s="910">
        <f t="shared" si="34"/>
        <v>0.82479999999999998</v>
      </c>
      <c r="H117" s="910">
        <f t="shared" si="34"/>
        <v>0.82479999999999998</v>
      </c>
      <c r="I117" s="910">
        <f>ROUND(0.7412-0.0095*B113,4)</f>
        <v>0.68179999999999996</v>
      </c>
      <c r="J117" s="910">
        <f t="shared" si="33"/>
        <v>0.68179999999999996</v>
      </c>
      <c r="K117" s="910">
        <f t="shared" si="33"/>
        <v>0.68179999999999996</v>
      </c>
      <c r="L117" s="910">
        <f t="shared" si="33"/>
        <v>0.68179999999999996</v>
      </c>
      <c r="M117" s="911">
        <f t="shared" si="33"/>
        <v>0.68179999999999996</v>
      </c>
    </row>
    <row r="118" spans="1:13" ht="13.5" thickBot="1">
      <c r="A118" s="714" t="s">
        <v>2835</v>
      </c>
      <c r="B118" s="912">
        <f>ROUND(0.7275-0.01*B113,4)</f>
        <v>0.66500000000000004</v>
      </c>
      <c r="C118" s="912">
        <f>B118</f>
        <v>0.66500000000000004</v>
      </c>
      <c r="D118" s="912">
        <f>ROUND(0.7043-0.012*B113,4)</f>
        <v>0.62929999999999997</v>
      </c>
      <c r="E118" s="912">
        <f>D118</f>
        <v>0.62929999999999997</v>
      </c>
      <c r="F118" s="912">
        <f>E118</f>
        <v>0.62929999999999997</v>
      </c>
      <c r="G118" s="912">
        <f>ROUND(0.6299-0.0122*B113,4)</f>
        <v>0.55369999999999997</v>
      </c>
      <c r="H118" s="912">
        <f>G118</f>
        <v>0.55369999999999997</v>
      </c>
      <c r="I118" s="912">
        <f>ROUND(0.5667-0.0136*B113,4)</f>
        <v>0.48170000000000002</v>
      </c>
      <c r="J118" s="912">
        <f t="shared" si="33"/>
        <v>0.48170000000000002</v>
      </c>
      <c r="K118" s="912">
        <f t="shared" si="33"/>
        <v>0.48170000000000002</v>
      </c>
      <c r="L118" s="912">
        <f t="shared" si="33"/>
        <v>0.48170000000000002</v>
      </c>
      <c r="M118" s="913">
        <f t="shared" si="33"/>
        <v>0.48170000000000002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327" t="s">
        <v>183</v>
      </c>
      <c r="B18" s="882" t="s">
        <v>560</v>
      </c>
      <c r="C18" s="883" t="s">
        <v>561</v>
      </c>
      <c r="D18" s="884"/>
      <c r="E18" s="882">
        <v>1</v>
      </c>
      <c r="F18" s="885" t="s">
        <v>562</v>
      </c>
      <c r="G18" s="886"/>
      <c r="H18" s="878"/>
      <c r="I18" s="878"/>
    </row>
    <row r="19" spans="1:9" s="887" customFormat="1" ht="19.5" customHeight="1">
      <c r="A19" s="3327"/>
      <c r="B19" s="3327" t="s">
        <v>563</v>
      </c>
      <c r="C19" s="883" t="s">
        <v>564</v>
      </c>
      <c r="D19" s="884"/>
      <c r="E19" s="882">
        <v>0.9</v>
      </c>
      <c r="F19" s="885" t="s">
        <v>565</v>
      </c>
      <c r="G19" s="886"/>
      <c r="H19" s="878"/>
      <c r="I19" s="878"/>
    </row>
    <row r="20" spans="1:9" s="887" customFormat="1" ht="19.5" customHeight="1">
      <c r="A20" s="3327"/>
      <c r="B20" s="3327"/>
      <c r="C20" s="883" t="s">
        <v>566</v>
      </c>
      <c r="D20" s="884"/>
      <c r="E20" s="882">
        <v>1.1000000000000001</v>
      </c>
      <c r="F20" s="885" t="s">
        <v>567</v>
      </c>
      <c r="G20" s="886"/>
      <c r="H20" s="878"/>
      <c r="I20" s="878"/>
    </row>
    <row r="21" spans="1:9" s="887" customFormat="1" ht="19.5" customHeight="1">
      <c r="A21" s="3327"/>
      <c r="B21" s="3327"/>
      <c r="C21" s="883" t="s">
        <v>568</v>
      </c>
      <c r="D21" s="884"/>
      <c r="E21" s="882">
        <v>0.8</v>
      </c>
      <c r="F21" s="885" t="s">
        <v>569</v>
      </c>
      <c r="G21" s="886"/>
      <c r="H21" s="878"/>
      <c r="I21" s="878"/>
    </row>
    <row r="22" spans="1:9" s="887" customFormat="1" ht="19.5" customHeight="1">
      <c r="A22" s="3327"/>
      <c r="B22" s="3327"/>
      <c r="C22" s="883" t="s">
        <v>570</v>
      </c>
      <c r="D22" s="884"/>
      <c r="E22" s="882">
        <v>0.5</v>
      </c>
      <c r="F22" s="885"/>
      <c r="G22" s="886"/>
      <c r="H22" s="878"/>
      <c r="I22" s="878"/>
    </row>
    <row r="23" spans="1:9" s="887" customFormat="1" ht="19.5" customHeight="1">
      <c r="A23" s="3327" t="s">
        <v>184</v>
      </c>
      <c r="B23" s="882" t="s">
        <v>560</v>
      </c>
      <c r="C23" s="883" t="s">
        <v>571</v>
      </c>
      <c r="D23" s="884"/>
      <c r="E23" s="882">
        <v>1</v>
      </c>
      <c r="F23" s="885" t="s">
        <v>572</v>
      </c>
      <c r="G23" s="886"/>
      <c r="H23" s="878"/>
      <c r="I23" s="878"/>
    </row>
    <row r="24" spans="1:9" s="887" customFormat="1" ht="19.5" customHeight="1">
      <c r="A24" s="3327"/>
      <c r="B24" s="3327" t="s">
        <v>563</v>
      </c>
      <c r="C24" s="883" t="s">
        <v>573</v>
      </c>
      <c r="D24" s="884"/>
      <c r="E24" s="882">
        <v>0.5</v>
      </c>
      <c r="F24" s="885"/>
      <c r="G24" s="886"/>
      <c r="H24" s="878"/>
      <c r="I24" s="878"/>
    </row>
    <row r="25" spans="1:9" s="887" customFormat="1" ht="19.5" customHeight="1">
      <c r="A25" s="3327"/>
      <c r="B25" s="3327"/>
      <c r="C25" s="883" t="s">
        <v>574</v>
      </c>
      <c r="D25" s="884"/>
      <c r="E25" s="882">
        <v>1.1000000000000001</v>
      </c>
      <c r="F25" s="885"/>
      <c r="G25" s="886"/>
      <c r="H25" s="878"/>
      <c r="I25" s="878"/>
    </row>
    <row r="26" spans="1:9" s="887" customFormat="1" ht="19.5" customHeight="1">
      <c r="A26" s="3327"/>
      <c r="B26" s="3327"/>
      <c r="C26" s="883" t="s">
        <v>575</v>
      </c>
      <c r="D26" s="884"/>
      <c r="E26" s="882">
        <v>1.1000000000000001</v>
      </c>
      <c r="F26" s="885"/>
      <c r="G26" s="886"/>
      <c r="H26" s="878"/>
      <c r="I26" s="878"/>
    </row>
    <row r="27" spans="1:9" s="887" customFormat="1" ht="19.5" customHeight="1">
      <c r="A27" s="3327"/>
      <c r="B27" s="3327"/>
      <c r="C27" s="883" t="s">
        <v>576</v>
      </c>
      <c r="D27" s="884"/>
      <c r="E27" s="882">
        <v>0.9</v>
      </c>
      <c r="F27" s="885" t="s">
        <v>577</v>
      </c>
      <c r="G27" s="886"/>
      <c r="H27" s="878"/>
      <c r="I27" s="878"/>
    </row>
    <row r="28" spans="1:9" s="887" customFormat="1" ht="19.5" customHeight="1">
      <c r="A28" s="3327"/>
      <c r="B28" s="3327"/>
      <c r="C28" s="883" t="s">
        <v>578</v>
      </c>
      <c r="D28" s="884"/>
      <c r="E28" s="882">
        <v>0.9</v>
      </c>
      <c r="F28" s="885" t="s">
        <v>579</v>
      </c>
      <c r="G28" s="886"/>
      <c r="H28" s="878"/>
      <c r="I28" s="878"/>
    </row>
    <row r="29" spans="1:9" s="887" customFormat="1" ht="19.5" customHeight="1">
      <c r="A29" s="3327"/>
      <c r="B29" s="3327"/>
      <c r="C29" s="883" t="s">
        <v>580</v>
      </c>
      <c r="D29" s="884"/>
      <c r="E29" s="882">
        <v>0.9</v>
      </c>
      <c r="F29" s="885" t="s">
        <v>581</v>
      </c>
      <c r="G29" s="886"/>
      <c r="H29" s="878"/>
      <c r="I29" s="878"/>
    </row>
    <row r="30" spans="1:9" s="887" customFormat="1" ht="19.5" customHeight="1">
      <c r="A30" s="3327"/>
      <c r="B30" s="3327"/>
      <c r="C30" s="883" t="s">
        <v>582</v>
      </c>
      <c r="D30" s="884"/>
      <c r="E30" s="882">
        <v>0.9</v>
      </c>
      <c r="F30" s="885" t="s">
        <v>583</v>
      </c>
      <c r="G30" s="886"/>
      <c r="H30" s="878"/>
      <c r="I30" s="878"/>
    </row>
    <row r="31" spans="1:9" s="887" customFormat="1" ht="19.5" customHeight="1">
      <c r="A31" s="3327"/>
      <c r="B31" s="3327"/>
      <c r="C31" s="883" t="s">
        <v>584</v>
      </c>
      <c r="D31" s="884"/>
      <c r="E31" s="882">
        <v>0.8</v>
      </c>
      <c r="F31" s="885" t="s">
        <v>585</v>
      </c>
      <c r="G31" s="886"/>
      <c r="H31" s="878"/>
      <c r="I31" s="878"/>
    </row>
    <row r="32" spans="1:9" s="887" customFormat="1" ht="19.5" customHeight="1">
      <c r="A32" s="3327"/>
      <c r="B32" s="3327"/>
      <c r="C32" s="883" t="s">
        <v>586</v>
      </c>
      <c r="D32" s="884"/>
      <c r="E32" s="882">
        <v>0.8</v>
      </c>
      <c r="F32" s="885" t="s">
        <v>587</v>
      </c>
      <c r="G32" s="886"/>
      <c r="H32" s="878"/>
      <c r="I32" s="878"/>
    </row>
    <row r="33" spans="1:9" s="887" customFormat="1" ht="19.5" customHeight="1">
      <c r="A33" s="3327" t="s">
        <v>185</v>
      </c>
      <c r="B33" s="882" t="s">
        <v>560</v>
      </c>
      <c r="C33" s="883" t="s">
        <v>588</v>
      </c>
      <c r="D33" s="884"/>
      <c r="E33" s="882">
        <v>1</v>
      </c>
      <c r="F33" s="885" t="s">
        <v>589</v>
      </c>
      <c r="G33" s="886"/>
      <c r="H33" s="878"/>
      <c r="I33" s="878"/>
    </row>
    <row r="34" spans="1:9" s="887" customFormat="1" ht="19.5" customHeight="1">
      <c r="A34" s="3327"/>
      <c r="B34" s="882" t="s">
        <v>563</v>
      </c>
      <c r="C34" s="883" t="s">
        <v>590</v>
      </c>
      <c r="D34" s="884"/>
      <c r="E34" s="882">
        <v>1.5</v>
      </c>
      <c r="F34" s="885" t="s">
        <v>591</v>
      </c>
      <c r="G34" s="886"/>
      <c r="H34" s="878"/>
      <c r="I34" s="878"/>
    </row>
    <row r="35" spans="1:9" s="887" customFormat="1" ht="19.5" customHeight="1">
      <c r="A35" s="3327" t="s">
        <v>186</v>
      </c>
      <c r="B35" s="882" t="s">
        <v>560</v>
      </c>
      <c r="C35" s="883" t="s">
        <v>592</v>
      </c>
      <c r="D35" s="884"/>
      <c r="E35" s="882">
        <v>1</v>
      </c>
      <c r="F35" s="885" t="s">
        <v>593</v>
      </c>
      <c r="G35" s="886"/>
      <c r="H35" s="878"/>
      <c r="I35" s="878"/>
    </row>
    <row r="36" spans="1:9" s="887" customFormat="1" ht="19.5" customHeight="1">
      <c r="A36" s="3327"/>
      <c r="B36" s="3327" t="s">
        <v>563</v>
      </c>
      <c r="C36" s="883" t="s">
        <v>594</v>
      </c>
      <c r="D36" s="884"/>
      <c r="E36" s="882">
        <v>1</v>
      </c>
      <c r="F36" s="885" t="s">
        <v>595</v>
      </c>
      <c r="G36" s="886"/>
      <c r="H36" s="878"/>
      <c r="I36" s="878"/>
    </row>
    <row r="37" spans="1:9" s="887" customFormat="1" ht="19.5" customHeight="1">
      <c r="A37" s="3327"/>
      <c r="B37" s="3327"/>
      <c r="C37" s="883" t="s">
        <v>596</v>
      </c>
      <c r="D37" s="884"/>
      <c r="E37" s="882">
        <v>1.5</v>
      </c>
      <c r="F37" s="885" t="s">
        <v>597</v>
      </c>
      <c r="G37" s="886"/>
      <c r="H37" s="878"/>
      <c r="I37" s="878"/>
    </row>
    <row r="38" spans="1:9" s="887" customFormat="1" ht="19.5" customHeight="1">
      <c r="A38" s="3327"/>
      <c r="B38" s="3327"/>
      <c r="C38" s="883" t="s">
        <v>598</v>
      </c>
      <c r="D38" s="884"/>
      <c r="E38" s="882">
        <v>1</v>
      </c>
      <c r="F38" s="885" t="s">
        <v>599</v>
      </c>
      <c r="G38" s="886"/>
      <c r="H38" s="878"/>
      <c r="I38" s="878"/>
    </row>
    <row r="39" spans="1:9" s="887" customFormat="1" ht="19.5" customHeight="1">
      <c r="A39" s="3327"/>
      <c r="B39" s="332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7" t="s">
        <v>614</v>
      </c>
      <c r="C61" s="818" t="s">
        <v>615</v>
      </c>
      <c r="D61" s="818" t="s">
        <v>616</v>
      </c>
      <c r="E61" s="895">
        <v>0.5</v>
      </c>
      <c r="F61" s="882">
        <v>80</v>
      </c>
    </row>
    <row r="62" spans="1:8" s="878" customFormat="1" ht="24">
      <c r="A62" s="882">
        <v>2</v>
      </c>
      <c r="B62" s="3327"/>
      <c r="C62" s="818" t="s">
        <v>617</v>
      </c>
      <c r="D62" s="818" t="s">
        <v>618</v>
      </c>
      <c r="E62" s="895">
        <v>0.5</v>
      </c>
      <c r="F62" s="882">
        <v>80</v>
      </c>
    </row>
    <row r="63" spans="1:8" s="878" customFormat="1" ht="36">
      <c r="A63" s="882">
        <v>3</v>
      </c>
      <c r="B63" s="3327"/>
      <c r="C63" s="818" t="s">
        <v>619</v>
      </c>
      <c r="D63" s="818" t="s">
        <v>620</v>
      </c>
      <c r="E63" s="895">
        <v>0.5</v>
      </c>
      <c r="F63" s="882">
        <v>80</v>
      </c>
    </row>
    <row r="64" spans="1:8" s="878" customFormat="1" ht="36">
      <c r="A64" s="882">
        <v>4</v>
      </c>
      <c r="B64" s="3327"/>
      <c r="C64" s="818" t="s">
        <v>621</v>
      </c>
      <c r="D64" s="818" t="s">
        <v>622</v>
      </c>
      <c r="E64" s="895">
        <v>0.4</v>
      </c>
      <c r="F64" s="882">
        <v>60</v>
      </c>
    </row>
    <row r="65" spans="1:6" s="878" customFormat="1" ht="36">
      <c r="A65" s="882">
        <v>5</v>
      </c>
      <c r="B65" s="3327"/>
      <c r="C65" s="818" t="s">
        <v>623</v>
      </c>
      <c r="D65" s="818" t="s">
        <v>624</v>
      </c>
      <c r="E65" s="895">
        <v>0.2</v>
      </c>
      <c r="F65" s="882">
        <v>30</v>
      </c>
    </row>
    <row r="66" spans="1:6" s="878" customFormat="1" ht="36">
      <c r="A66" s="882">
        <v>6</v>
      </c>
      <c r="B66" s="3327"/>
      <c r="C66" s="818" t="s">
        <v>625</v>
      </c>
      <c r="D66" s="818" t="s">
        <v>626</v>
      </c>
      <c r="E66" s="895">
        <v>0.3</v>
      </c>
      <c r="F66" s="882">
        <v>50</v>
      </c>
    </row>
    <row r="67" spans="1:6" s="878" customFormat="1" ht="36">
      <c r="A67" s="882">
        <v>7</v>
      </c>
      <c r="B67" s="3327"/>
      <c r="C67" s="818" t="s">
        <v>627</v>
      </c>
      <c r="D67" s="818" t="s">
        <v>628</v>
      </c>
      <c r="E67" s="895">
        <v>0.2</v>
      </c>
      <c r="F67" s="882">
        <v>30</v>
      </c>
    </row>
    <row r="68" spans="1:6" s="878" customFormat="1" ht="36">
      <c r="A68" s="882">
        <v>8</v>
      </c>
      <c r="B68" s="3327"/>
      <c r="C68" s="818" t="s">
        <v>629</v>
      </c>
      <c r="D68" s="818" t="s">
        <v>630</v>
      </c>
      <c r="E68" s="895">
        <v>0.2</v>
      </c>
      <c r="F68" s="882">
        <v>30</v>
      </c>
    </row>
    <row r="69" spans="1:6" s="878" customFormat="1" ht="36">
      <c r="A69" s="882">
        <v>9</v>
      </c>
      <c r="B69" s="3327"/>
      <c r="C69" s="818" t="s">
        <v>631</v>
      </c>
      <c r="D69" s="818" t="s">
        <v>632</v>
      </c>
      <c r="E69" s="895">
        <v>0.2</v>
      </c>
      <c r="F69" s="882">
        <v>30</v>
      </c>
    </row>
    <row r="70" spans="1:6" s="878" customFormat="1" ht="48">
      <c r="A70" s="882">
        <v>10</v>
      </c>
      <c r="B70" s="3327"/>
      <c r="C70" s="818" t="s">
        <v>633</v>
      </c>
      <c r="D70" s="818" t="s">
        <v>634</v>
      </c>
      <c r="E70" s="895">
        <v>0.2</v>
      </c>
      <c r="F70" s="882">
        <v>30</v>
      </c>
    </row>
    <row r="71" spans="1:6" s="878" customFormat="1" ht="48">
      <c r="A71" s="882">
        <v>11</v>
      </c>
      <c r="B71" s="3327"/>
      <c r="C71" s="818" t="s">
        <v>635</v>
      </c>
      <c r="D71" s="818" t="s">
        <v>636</v>
      </c>
      <c r="E71" s="895">
        <v>0.2</v>
      </c>
      <c r="F71" s="882">
        <v>30</v>
      </c>
    </row>
    <row r="72" spans="1:6" s="878" customFormat="1" ht="36">
      <c r="A72" s="882">
        <v>12</v>
      </c>
      <c r="B72" s="3327"/>
      <c r="C72" s="818" t="s">
        <v>637</v>
      </c>
      <c r="D72" s="818" t="s">
        <v>638</v>
      </c>
      <c r="E72" s="895">
        <v>0.5</v>
      </c>
      <c r="F72" s="882">
        <v>80</v>
      </c>
    </row>
    <row r="73" spans="1:6" s="878" customFormat="1" ht="24">
      <c r="A73" s="882">
        <v>13</v>
      </c>
      <c r="B73" s="3327"/>
      <c r="C73" s="818" t="s">
        <v>639</v>
      </c>
      <c r="D73" s="818" t="s">
        <v>640</v>
      </c>
      <c r="E73" s="895">
        <v>0.4</v>
      </c>
      <c r="F73" s="882">
        <v>60</v>
      </c>
    </row>
    <row r="74" spans="1:6" s="878" customFormat="1" ht="24">
      <c r="A74" s="882">
        <v>14</v>
      </c>
      <c r="B74" s="3327"/>
      <c r="C74" s="818" t="s">
        <v>641</v>
      </c>
      <c r="D74" s="818" t="s">
        <v>642</v>
      </c>
      <c r="E74" s="895">
        <v>0.2</v>
      </c>
      <c r="F74" s="882">
        <v>30</v>
      </c>
    </row>
    <row r="75" spans="1:6" s="878" customFormat="1" ht="24">
      <c r="A75" s="882">
        <v>15</v>
      </c>
      <c r="B75" s="3327"/>
      <c r="C75" s="818" t="s">
        <v>643</v>
      </c>
      <c r="D75" s="818" t="s">
        <v>644</v>
      </c>
      <c r="E75" s="895">
        <v>0.2</v>
      </c>
      <c r="F75" s="882">
        <v>30</v>
      </c>
    </row>
    <row r="76" spans="1:6" s="878" customFormat="1" ht="24">
      <c r="A76" s="882">
        <v>16</v>
      </c>
      <c r="B76" s="3327" t="s">
        <v>645</v>
      </c>
      <c r="C76" s="818" t="s">
        <v>646</v>
      </c>
      <c r="D76" s="818" t="s">
        <v>647</v>
      </c>
      <c r="E76" s="895">
        <v>0.5</v>
      </c>
      <c r="F76" s="882">
        <v>80</v>
      </c>
    </row>
    <row r="77" spans="1:6" s="878" customFormat="1" ht="24">
      <c r="A77" s="882">
        <v>17</v>
      </c>
      <c r="B77" s="3327"/>
      <c r="C77" s="818" t="s">
        <v>648</v>
      </c>
      <c r="D77" s="818" t="s">
        <v>649</v>
      </c>
      <c r="E77" s="895">
        <v>0.5</v>
      </c>
      <c r="F77" s="882">
        <v>80</v>
      </c>
    </row>
    <row r="78" spans="1:6" s="878" customFormat="1" ht="24">
      <c r="A78" s="882">
        <v>18</v>
      </c>
      <c r="B78" s="3327"/>
      <c r="C78" s="818" t="s">
        <v>650</v>
      </c>
      <c r="D78" s="818" t="s">
        <v>651</v>
      </c>
      <c r="E78" s="895">
        <v>0.2</v>
      </c>
      <c r="F78" s="882">
        <v>30</v>
      </c>
    </row>
    <row r="79" spans="1:6" s="878" customFormat="1" ht="24">
      <c r="A79" s="882">
        <v>19</v>
      </c>
      <c r="B79" s="3327"/>
      <c r="C79" s="818" t="s">
        <v>652</v>
      </c>
      <c r="D79" s="818" t="s">
        <v>653</v>
      </c>
      <c r="E79" s="895">
        <v>0.5</v>
      </c>
      <c r="F79" s="882">
        <v>80</v>
      </c>
    </row>
    <row r="80" spans="1:6" s="878" customFormat="1" ht="36">
      <c r="A80" s="882">
        <v>20</v>
      </c>
      <c r="B80" s="3327"/>
      <c r="C80" s="818" t="s">
        <v>654</v>
      </c>
      <c r="D80" s="818" t="s">
        <v>655</v>
      </c>
      <c r="E80" s="895">
        <v>0.2</v>
      </c>
      <c r="F80" s="882">
        <v>30</v>
      </c>
    </row>
    <row r="81" spans="1:6" s="878" customFormat="1" ht="36">
      <c r="A81" s="882">
        <v>21</v>
      </c>
      <c r="B81" s="3327"/>
      <c r="C81" s="818" t="s">
        <v>656</v>
      </c>
      <c r="D81" s="818" t="s">
        <v>657</v>
      </c>
      <c r="E81" s="895">
        <v>0.2</v>
      </c>
      <c r="F81" s="882">
        <v>30</v>
      </c>
    </row>
    <row r="82" spans="1:6" s="878" customFormat="1" ht="48">
      <c r="A82" s="882">
        <v>22</v>
      </c>
      <c r="B82" s="3327"/>
      <c r="C82" s="818" t="s">
        <v>658</v>
      </c>
      <c r="D82" s="818" t="s">
        <v>659</v>
      </c>
      <c r="E82" s="895">
        <v>0.2</v>
      </c>
      <c r="F82" s="882">
        <v>30</v>
      </c>
    </row>
    <row r="83" spans="1:6" s="878" customFormat="1" ht="48">
      <c r="A83" s="882">
        <v>23</v>
      </c>
      <c r="B83" s="3327"/>
      <c r="C83" s="818" t="s">
        <v>660</v>
      </c>
      <c r="D83" s="818" t="s">
        <v>661</v>
      </c>
      <c r="E83" s="895">
        <v>0.2</v>
      </c>
      <c r="F83" s="882">
        <v>30</v>
      </c>
    </row>
    <row r="84" spans="1:6" s="878" customFormat="1" ht="36">
      <c r="A84" s="882">
        <v>24</v>
      </c>
      <c r="B84" s="3327"/>
      <c r="C84" s="818" t="s">
        <v>662</v>
      </c>
      <c r="D84" s="818" t="s">
        <v>663</v>
      </c>
      <c r="E84" s="895">
        <v>0.2</v>
      </c>
      <c r="F84" s="882">
        <v>30</v>
      </c>
    </row>
    <row r="85" spans="1:6" s="878" customFormat="1" ht="36">
      <c r="A85" s="882">
        <v>25</v>
      </c>
      <c r="B85" s="3327"/>
      <c r="C85" s="818" t="s">
        <v>664</v>
      </c>
      <c r="D85" s="818" t="s">
        <v>665</v>
      </c>
      <c r="E85" s="895">
        <v>0.5</v>
      </c>
      <c r="F85" s="882">
        <v>80</v>
      </c>
    </row>
    <row r="86" spans="1:6" s="878" customFormat="1" ht="36">
      <c r="A86" s="882">
        <v>26</v>
      </c>
      <c r="B86" s="3327"/>
      <c r="C86" s="818" t="s">
        <v>666</v>
      </c>
      <c r="D86" s="818" t="s">
        <v>667</v>
      </c>
      <c r="E86" s="895">
        <v>0.2</v>
      </c>
      <c r="F86" s="882">
        <v>30</v>
      </c>
    </row>
    <row r="87" spans="1:6" s="878" customFormat="1" ht="36">
      <c r="A87" s="882">
        <v>27</v>
      </c>
      <c r="B87" s="3327"/>
      <c r="C87" s="818" t="s">
        <v>668</v>
      </c>
      <c r="D87" s="818" t="s">
        <v>669</v>
      </c>
      <c r="E87" s="895">
        <v>0.2</v>
      </c>
      <c r="F87" s="882">
        <v>30</v>
      </c>
    </row>
    <row r="88" spans="1:6" s="878" customFormat="1" ht="36">
      <c r="A88" s="882">
        <v>28</v>
      </c>
      <c r="B88" s="3327"/>
      <c r="C88" s="818" t="s">
        <v>670</v>
      </c>
      <c r="D88" s="818" t="s">
        <v>671</v>
      </c>
      <c r="E88" s="895">
        <v>0.2</v>
      </c>
      <c r="F88" s="882">
        <v>30</v>
      </c>
    </row>
    <row r="89" spans="1:6" s="878" customFormat="1" ht="24">
      <c r="A89" s="882">
        <v>29</v>
      </c>
      <c r="B89" s="3327"/>
      <c r="C89" s="818" t="s">
        <v>672</v>
      </c>
      <c r="D89" s="818" t="s">
        <v>673</v>
      </c>
      <c r="E89" s="895">
        <v>0.2</v>
      </c>
      <c r="F89" s="882">
        <v>30</v>
      </c>
    </row>
    <row r="90" spans="1:6" s="878" customFormat="1" ht="24">
      <c r="A90" s="882">
        <v>30</v>
      </c>
      <c r="B90" s="3327"/>
      <c r="C90" s="818" t="s">
        <v>674</v>
      </c>
      <c r="D90" s="818" t="s">
        <v>675</v>
      </c>
      <c r="E90" s="895">
        <v>0.2</v>
      </c>
      <c r="F90" s="882">
        <v>30</v>
      </c>
    </row>
    <row r="91" spans="1:6" s="878" customFormat="1" ht="36">
      <c r="A91" s="882">
        <v>31</v>
      </c>
      <c r="B91" s="3327"/>
      <c r="C91" s="818" t="s">
        <v>676</v>
      </c>
      <c r="D91" s="818" t="s">
        <v>677</v>
      </c>
      <c r="E91" s="895">
        <v>0.2</v>
      </c>
      <c r="F91" s="882">
        <v>30</v>
      </c>
    </row>
    <row r="92" spans="1:6" s="878" customFormat="1" ht="24">
      <c r="A92" s="882">
        <v>32</v>
      </c>
      <c r="B92" s="3327" t="s">
        <v>678</v>
      </c>
      <c r="C92" s="882" t="s">
        <v>679</v>
      </c>
      <c r="D92" s="818" t="s">
        <v>680</v>
      </c>
      <c r="E92" s="895">
        <v>0.2</v>
      </c>
      <c r="F92" s="882">
        <v>30</v>
      </c>
    </row>
    <row r="93" spans="1:6" s="878" customFormat="1" ht="36">
      <c r="A93" s="882">
        <v>33</v>
      </c>
      <c r="B93" s="3327"/>
      <c r="C93" s="882" t="s">
        <v>681</v>
      </c>
      <c r="D93" s="818" t="s">
        <v>682</v>
      </c>
      <c r="E93" s="895">
        <v>0.2</v>
      </c>
      <c r="F93" s="882">
        <v>30</v>
      </c>
    </row>
    <row r="94" spans="1:6" s="878" customFormat="1" ht="48">
      <c r="A94" s="882">
        <v>34</v>
      </c>
      <c r="B94" s="3327"/>
      <c r="C94" s="882" t="s">
        <v>683</v>
      </c>
      <c r="D94" s="818" t="s">
        <v>684</v>
      </c>
      <c r="E94" s="895">
        <v>0.2</v>
      </c>
      <c r="F94" s="882">
        <v>30</v>
      </c>
    </row>
    <row r="95" spans="1:6" s="878" customFormat="1" ht="36">
      <c r="A95" s="882">
        <v>35</v>
      </c>
      <c r="B95" s="3327"/>
      <c r="C95" s="882" t="s">
        <v>685</v>
      </c>
      <c r="D95" s="818" t="s">
        <v>686</v>
      </c>
      <c r="E95" s="895">
        <v>0.2</v>
      </c>
      <c r="F95" s="882">
        <v>30</v>
      </c>
    </row>
    <row r="96" spans="1:6" s="878" customFormat="1" ht="48">
      <c r="A96" s="882">
        <v>36</v>
      </c>
      <c r="B96" s="3327"/>
      <c r="C96" s="818" t="s">
        <v>687</v>
      </c>
      <c r="D96" s="818" t="s">
        <v>688</v>
      </c>
      <c r="E96" s="895">
        <v>0.2</v>
      </c>
      <c r="F96" s="882">
        <v>30</v>
      </c>
    </row>
    <row r="97" spans="1:6" s="878" customFormat="1" ht="36">
      <c r="A97" s="882">
        <v>37</v>
      </c>
      <c r="B97" s="3327"/>
      <c r="C97" s="882" t="s">
        <v>689</v>
      </c>
      <c r="D97" s="818" t="s">
        <v>690</v>
      </c>
      <c r="E97" s="895">
        <v>0.2</v>
      </c>
      <c r="F97" s="882">
        <v>30</v>
      </c>
    </row>
    <row r="98" spans="1:6" s="878" customFormat="1" ht="36">
      <c r="A98" s="882">
        <v>38</v>
      </c>
      <c r="B98" s="3327"/>
      <c r="C98" s="882" t="s">
        <v>691</v>
      </c>
      <c r="D98" s="818" t="s">
        <v>692</v>
      </c>
      <c r="E98" s="895">
        <v>0.2</v>
      </c>
      <c r="F98" s="882">
        <v>30</v>
      </c>
    </row>
    <row r="99" spans="1:6" s="878" customFormat="1" ht="36">
      <c r="A99" s="882">
        <v>39</v>
      </c>
      <c r="B99" s="3327" t="s">
        <v>693</v>
      </c>
      <c r="C99" s="882" t="s">
        <v>694</v>
      </c>
      <c r="D99" s="818" t="s">
        <v>695</v>
      </c>
      <c r="E99" s="895">
        <v>0.3</v>
      </c>
      <c r="F99" s="882">
        <v>50</v>
      </c>
    </row>
    <row r="100" spans="1:6" s="878" customFormat="1" ht="24">
      <c r="A100" s="882">
        <v>40</v>
      </c>
      <c r="B100" s="3327"/>
      <c r="C100" s="882" t="s">
        <v>696</v>
      </c>
      <c r="D100" s="818" t="s">
        <v>697</v>
      </c>
      <c r="E100" s="895">
        <v>0.2</v>
      </c>
      <c r="F100" s="882">
        <v>30</v>
      </c>
    </row>
    <row r="101" spans="1:6" s="878" customFormat="1" ht="36">
      <c r="A101" s="882">
        <v>41</v>
      </c>
      <c r="B101" s="332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7" t="s">
        <v>708</v>
      </c>
      <c r="C105" s="882" t="s">
        <v>709</v>
      </c>
      <c r="D105" s="818" t="s">
        <v>710</v>
      </c>
      <c r="E105" s="895">
        <v>0.2</v>
      </c>
      <c r="F105" s="882">
        <v>30</v>
      </c>
    </row>
    <row r="106" spans="1:6" s="878" customFormat="1" ht="36">
      <c r="A106" s="882">
        <v>46</v>
      </c>
      <c r="B106" s="3327"/>
      <c r="C106" s="882" t="s">
        <v>711</v>
      </c>
      <c r="D106" s="818" t="s">
        <v>712</v>
      </c>
      <c r="E106" s="895">
        <v>0.2</v>
      </c>
      <c r="F106" s="882">
        <v>30</v>
      </c>
    </row>
    <row r="107" spans="1:6" s="878" customFormat="1" ht="36">
      <c r="A107" s="882">
        <v>47</v>
      </c>
      <c r="B107" s="3327" t="s">
        <v>713</v>
      </c>
      <c r="C107" s="882" t="s">
        <v>714</v>
      </c>
      <c r="D107" s="818" t="s">
        <v>715</v>
      </c>
      <c r="E107" s="895">
        <v>0.3</v>
      </c>
      <c r="F107" s="882">
        <v>50</v>
      </c>
    </row>
    <row r="108" spans="1:6" s="878" customFormat="1" ht="36">
      <c r="A108" s="882">
        <v>48</v>
      </c>
      <c r="B108" s="332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7" t="s">
        <v>724</v>
      </c>
      <c r="C111" s="882" t="s">
        <v>725</v>
      </c>
      <c r="D111" s="818" t="s">
        <v>726</v>
      </c>
      <c r="E111" s="895">
        <v>0.2</v>
      </c>
      <c r="F111" s="882">
        <v>30</v>
      </c>
    </row>
    <row r="112" spans="1:6" s="878" customFormat="1" ht="24">
      <c r="A112" s="882">
        <v>52</v>
      </c>
      <c r="B112" s="3327"/>
      <c r="C112" s="882" t="s">
        <v>727</v>
      </c>
      <c r="D112" s="818" t="s">
        <v>728</v>
      </c>
      <c r="E112" s="895">
        <v>0.2</v>
      </c>
      <c r="F112" s="882">
        <v>30</v>
      </c>
    </row>
    <row r="113" spans="1:6" s="878" customFormat="1" ht="24">
      <c r="A113" s="882">
        <v>53</v>
      </c>
      <c r="B113" s="332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7" t="s">
        <v>737</v>
      </c>
      <c r="C116" s="882" t="s">
        <v>738</v>
      </c>
      <c r="D116" s="818" t="s">
        <v>739</v>
      </c>
      <c r="E116" s="895">
        <v>0.2</v>
      </c>
      <c r="F116" s="882">
        <v>30</v>
      </c>
    </row>
    <row r="117" spans="1:6" ht="36">
      <c r="A117" s="882">
        <v>57</v>
      </c>
      <c r="B117" s="332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2958</v>
      </c>
    </row>
    <row r="2" spans="1:5" ht="15.75">
      <c r="A2" s="2916" t="s">
        <v>2950</v>
      </c>
      <c r="B2" s="2917" t="e">
        <f ca="1">SUMIF(B6:B13,"&lt;&gt;#ref!",B6:B13)</f>
        <v>#DIV/0!</v>
      </c>
      <c r="C2" s="2916" t="s">
        <v>2951</v>
      </c>
      <c r="D2" s="2916" t="s">
        <v>2952</v>
      </c>
      <c r="E2" s="2917">
        <f ca="1">SUMIF(E6:E13,"&lt;&gt;#ref!",E6:E13)</f>
        <v>0</v>
      </c>
    </row>
    <row r="3" spans="1:5" ht="15.75">
      <c r="A3" s="2916" t="s">
        <v>2953</v>
      </c>
      <c r="B3" s="2917" t="e">
        <f ca="1">ROUND(B2*10000/E2,0)</f>
        <v>#DIV/0!</v>
      </c>
      <c r="C3" s="2916" t="s">
        <v>2959</v>
      </c>
      <c r="D3" s="2918"/>
      <c r="E3" s="2918"/>
    </row>
    <row r="4" spans="1:5" ht="15.75">
      <c r="A4" s="2919"/>
      <c r="B4" s="2918"/>
      <c r="C4" s="2918"/>
      <c r="D4" s="2918"/>
      <c r="E4" s="2918"/>
    </row>
    <row r="5" spans="1:5" ht="28.5">
      <c r="A5" s="2920" t="s">
        <v>2954</v>
      </c>
      <c r="B5" s="2916" t="s">
        <v>2955</v>
      </c>
      <c r="C5" s="2917"/>
      <c r="D5" s="2918"/>
      <c r="E5" s="2916" t="s">
        <v>2956</v>
      </c>
    </row>
    <row r="6" spans="1:5" ht="15.75">
      <c r="A6" s="2921" t="s">
        <v>2957</v>
      </c>
      <c r="B6" s="2917" t="e">
        <f ca="1">SUMIF(INDIRECT("'"&amp;A6&amp;"'"&amp;"!A:A"),"总价",INDIRECT("'"&amp;A6&amp;"'"&amp;"!B:B"))</f>
        <v>#DIV/0!</v>
      </c>
      <c r="C6" s="2916" t="s">
        <v>2951</v>
      </c>
      <c r="D6" s="2918"/>
      <c r="E6" s="2581">
        <f ca="1">SUMIF(INDIRECT("'"&amp;A6&amp;"'"&amp;"!C:C"),"建筑面积",INDIRECT("'"&amp;A6&amp;"'"&amp;"!D:D"))</f>
        <v>0</v>
      </c>
    </row>
    <row r="7" spans="1:5" ht="15.75">
      <c r="A7" s="2921"/>
      <c r="B7" s="2917" t="e">
        <f ca="1">SUMIF(INDIRECT("'"&amp;A7&amp;"'"&amp;"!A:A"),"总价",INDIRECT("'"&amp;A7&amp;"'"&amp;"!B:B"))</f>
        <v>#REF!</v>
      </c>
      <c r="C7" s="2916" t="s">
        <v>2951</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2951</v>
      </c>
      <c r="D8" s="2918"/>
      <c r="E8" s="2581" t="e">
        <f t="shared" ca="1" si="0"/>
        <v>#REF!</v>
      </c>
    </row>
    <row r="9" spans="1:5" ht="15.75">
      <c r="A9" s="2921"/>
      <c r="B9" s="2917" t="e">
        <f t="shared" ca="1" si="1"/>
        <v>#REF!</v>
      </c>
      <c r="C9" s="2916" t="s">
        <v>2951</v>
      </c>
      <c r="D9" s="2918"/>
      <c r="E9" s="2581" t="e">
        <f t="shared" ca="1" si="0"/>
        <v>#REF!</v>
      </c>
    </row>
    <row r="10" spans="1:5" ht="15.75">
      <c r="A10" s="2921"/>
      <c r="B10" s="2917" t="e">
        <f t="shared" ca="1" si="1"/>
        <v>#REF!</v>
      </c>
      <c r="C10" s="2916" t="s">
        <v>2951</v>
      </c>
      <c r="D10" s="2918"/>
      <c r="E10" s="2581" t="e">
        <f t="shared" ca="1" si="0"/>
        <v>#REF!</v>
      </c>
    </row>
    <row r="11" spans="1:5" ht="15.75">
      <c r="A11" s="2921"/>
      <c r="B11" s="2917" t="e">
        <f t="shared" ca="1" si="1"/>
        <v>#REF!</v>
      </c>
      <c r="C11" s="2916" t="s">
        <v>2951</v>
      </c>
      <c r="D11" s="2918"/>
      <c r="E11" s="2581" t="e">
        <f t="shared" ca="1" si="0"/>
        <v>#REF!</v>
      </c>
    </row>
    <row r="12" spans="1:5" ht="15.75">
      <c r="A12" s="2921"/>
      <c r="B12" s="2917" t="e">
        <f t="shared" ca="1" si="1"/>
        <v>#REF!</v>
      </c>
      <c r="C12" s="2916" t="s">
        <v>2951</v>
      </c>
      <c r="D12" s="2918"/>
      <c r="E12" s="2581" t="e">
        <f t="shared" ca="1" si="0"/>
        <v>#REF!</v>
      </c>
    </row>
    <row r="13" spans="1:5" ht="15.75">
      <c r="A13" s="2921"/>
      <c r="B13" s="2917" t="e">
        <f t="shared" ca="1" si="1"/>
        <v>#REF!</v>
      </c>
      <c r="C13" s="2916" t="s">
        <v>2951</v>
      </c>
      <c r="D13" s="2918"/>
      <c r="E13" s="2581"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3" t="s">
        <v>1146</v>
      </c>
      <c r="C1" s="3333"/>
      <c r="D1" s="3333"/>
      <c r="E1" s="3333"/>
      <c r="F1" s="3333"/>
      <c r="G1" s="3332" t="s">
        <v>1147</v>
      </c>
      <c r="H1" s="3332"/>
      <c r="I1" s="3332"/>
      <c r="J1" s="3332"/>
      <c r="K1" s="3332"/>
      <c r="L1" s="3332"/>
      <c r="N1" s="3332" t="s">
        <v>1148</v>
      </c>
      <c r="O1" s="3332"/>
      <c r="P1" s="3332"/>
      <c r="Q1" s="3332"/>
      <c r="R1" s="1449"/>
      <c r="S1" s="3332" t="s">
        <v>1149</v>
      </c>
      <c r="T1" s="3332"/>
      <c r="U1" s="3332"/>
      <c r="V1" s="3332"/>
      <c r="X1" s="3331" t="s">
        <v>1150</v>
      </c>
      <c r="Y1" s="3332"/>
      <c r="Z1" s="3332"/>
      <c r="AA1" s="3332"/>
      <c r="AB1" s="3332"/>
      <c r="AD1" s="3331" t="s">
        <v>1151</v>
      </c>
      <c r="AE1" s="3332"/>
      <c r="AF1" s="3332"/>
      <c r="AG1" s="3332"/>
      <c r="AH1" s="3332"/>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5" customFormat="1" ht="14.25">
      <c r="A3" s="2944" t="s">
        <v>2993</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3000</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70">
        <f>I5/100</f>
        <v>0</v>
      </c>
      <c r="O5" s="1470">
        <f t="shared" ref="O5" si="7">J5/100</f>
        <v>0</v>
      </c>
      <c r="P5" s="1470">
        <f t="shared" ref="P5" si="8">K5/100</f>
        <v>0</v>
      </c>
      <c r="Q5" s="1470">
        <f t="shared" ref="Q5" si="9">L5/100</f>
        <v>0</v>
      </c>
      <c r="R5" s="1734"/>
      <c r="S5" s="1735"/>
      <c r="T5" s="1734"/>
      <c r="U5" s="1734"/>
      <c r="V5" s="1734"/>
      <c r="W5" s="2934" t="s">
        <v>2994</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3001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2992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2989</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2990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1382</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1157</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334">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29"/>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29"/>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30"/>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28">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29"/>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29"/>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30"/>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28">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29"/>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29"/>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30"/>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1158</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1159</v>
      </c>
      <c r="B24" s="1472">
        <v>299</v>
      </c>
      <c r="C24" s="1472">
        <v>252</v>
      </c>
      <c r="D24" s="1472">
        <f t="shared" si="54"/>
        <v>252</v>
      </c>
      <c r="E24" s="1472">
        <v>409</v>
      </c>
      <c r="F24" s="1473">
        <v>227</v>
      </c>
      <c r="G24" s="3335">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1160</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36"/>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1161</v>
      </c>
      <c r="B26" s="1480">
        <f t="shared" si="63"/>
        <v>288.2649053828776</v>
      </c>
      <c r="C26" s="1480">
        <f t="shared" si="63"/>
        <v>243.64564425013293</v>
      </c>
      <c r="D26" s="1480">
        <f t="shared" si="54"/>
        <v>243.64564425013293</v>
      </c>
      <c r="E26" s="1480">
        <f t="shared" si="64"/>
        <v>393.31080825986544</v>
      </c>
      <c r="F26" s="1480">
        <f t="shared" si="64"/>
        <v>223.07903790551154</v>
      </c>
      <c r="G26" s="3336"/>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1162</v>
      </c>
      <c r="B27" s="1480">
        <f t="shared" si="63"/>
        <v>282.50186729015837</v>
      </c>
      <c r="C27" s="1480">
        <f t="shared" si="63"/>
        <v>238.09796174155468</v>
      </c>
      <c r="D27" s="1480">
        <f t="shared" si="54"/>
        <v>238.09796174155468</v>
      </c>
      <c r="E27" s="1480">
        <f t="shared" si="64"/>
        <v>385.33438646014054</v>
      </c>
      <c r="F27" s="1480">
        <f t="shared" si="64"/>
        <v>221.55034055567739</v>
      </c>
      <c r="G27" s="3337"/>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1163</v>
      </c>
      <c r="B28" s="1514">
        <v>278</v>
      </c>
      <c r="C28" s="1514">
        <v>234</v>
      </c>
      <c r="D28" s="1514">
        <f t="shared" si="54"/>
        <v>234</v>
      </c>
      <c r="E28" s="1514">
        <v>379</v>
      </c>
      <c r="F28" s="1515">
        <v>220</v>
      </c>
      <c r="G28" s="3328">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1164</v>
      </c>
      <c r="B29" s="1480">
        <f>B28/(1+N28)</f>
        <v>275.49301357645425</v>
      </c>
      <c r="C29" s="1480">
        <f>C28/(1+O28)</f>
        <v>232.41954707985698</v>
      </c>
      <c r="D29" s="1480">
        <f t="shared" si="54"/>
        <v>232.41954707985698</v>
      </c>
      <c r="E29" s="1480">
        <f t="shared" ref="E29:F31" si="65">E28/(1+P28)</f>
        <v>375.32184591008121</v>
      </c>
      <c r="F29" s="1480">
        <f t="shared" si="65"/>
        <v>218.03766105054513</v>
      </c>
      <c r="G29" s="3329"/>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1165</v>
      </c>
      <c r="B30" s="1480">
        <f>B29/(1+N29)</f>
        <v>275.24529281292263</v>
      </c>
      <c r="C30" s="1480">
        <f>C29/(1+O29)</f>
        <v>231.74747938962707</v>
      </c>
      <c r="D30" s="1480">
        <f t="shared" si="54"/>
        <v>231.74747938962707</v>
      </c>
      <c r="E30" s="1480">
        <f t="shared" si="65"/>
        <v>375.35938184826603</v>
      </c>
      <c r="F30" s="1480">
        <f t="shared" si="65"/>
        <v>216.78033510692495</v>
      </c>
      <c r="G30" s="3329"/>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1166</v>
      </c>
      <c r="B31" s="1480">
        <f>B30/(1+N30)</f>
        <v>275.19025476197027</v>
      </c>
      <c r="C31" s="1516">
        <v>232</v>
      </c>
      <c r="D31" s="1516">
        <f t="shared" si="54"/>
        <v>232</v>
      </c>
      <c r="E31" s="1480">
        <f t="shared" si="65"/>
        <v>375.65990977608692</v>
      </c>
      <c r="F31" s="1480">
        <f t="shared" si="65"/>
        <v>214.12518283971252</v>
      </c>
      <c r="G31" s="3330"/>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1167</v>
      </c>
      <c r="B32" s="1472">
        <v>275</v>
      </c>
      <c r="C32" s="1472">
        <v>232</v>
      </c>
      <c r="D32" s="1472">
        <f t="shared" si="54"/>
        <v>232</v>
      </c>
      <c r="E32" s="1472">
        <v>376</v>
      </c>
      <c r="F32" s="1473">
        <v>213</v>
      </c>
      <c r="G32" s="3328">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1168</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29">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1169</v>
      </c>
      <c r="B34" s="1480">
        <f t="shared" si="66"/>
        <v>275.19335084830601</v>
      </c>
      <c r="C34" s="1480">
        <f t="shared" si="66"/>
        <v>230.18088050139744</v>
      </c>
      <c r="D34" s="1480">
        <f t="shared" si="54"/>
        <v>230.18088050139744</v>
      </c>
      <c r="E34" s="1480">
        <f t="shared" si="67"/>
        <v>377.58482925212331</v>
      </c>
      <c r="F34" s="1480">
        <f t="shared" si="67"/>
        <v>210.90687997847917</v>
      </c>
      <c r="G34" s="3329">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1170</v>
      </c>
      <c r="B35" s="1480">
        <f t="shared" si="66"/>
        <v>276.29854502841971</v>
      </c>
      <c r="C35" s="1480">
        <f t="shared" si="66"/>
        <v>229.79023709833027</v>
      </c>
      <c r="D35" s="1480">
        <f t="shared" si="54"/>
        <v>229.79023709833027</v>
      </c>
      <c r="E35" s="1480">
        <f t="shared" si="67"/>
        <v>379.78759731655936</v>
      </c>
      <c r="F35" s="1480">
        <f t="shared" si="67"/>
        <v>211.32953905659235</v>
      </c>
      <c r="G35" s="3330">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1171</v>
      </c>
      <c r="B36" s="1472">
        <v>269</v>
      </c>
      <c r="C36" s="1472">
        <v>221</v>
      </c>
      <c r="D36" s="1472">
        <f t="shared" si="54"/>
        <v>221</v>
      </c>
      <c r="E36" s="1472">
        <v>373</v>
      </c>
      <c r="F36" s="1473">
        <v>196</v>
      </c>
      <c r="G36" s="3328">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1172</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29">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1173</v>
      </c>
      <c r="B38" s="1480">
        <f t="shared" si="68"/>
        <v>242.95398227588385</v>
      </c>
      <c r="C38" s="1480">
        <f t="shared" si="68"/>
        <v>199.59137053614126</v>
      </c>
      <c r="D38" s="1480">
        <f t="shared" si="54"/>
        <v>199.59137053614126</v>
      </c>
      <c r="E38" s="1480">
        <f t="shared" si="69"/>
        <v>335.92189522342125</v>
      </c>
      <c r="F38" s="1480">
        <f t="shared" si="69"/>
        <v>183.10139991109489</v>
      </c>
      <c r="G38" s="3329">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1174</v>
      </c>
      <c r="B39" s="1480">
        <f t="shared" si="68"/>
        <v>232.06990378821649</v>
      </c>
      <c r="C39" s="1480">
        <f t="shared" si="68"/>
        <v>192.74878854286936</v>
      </c>
      <c r="D39" s="1480">
        <f t="shared" si="54"/>
        <v>192.74878854286936</v>
      </c>
      <c r="E39" s="1480">
        <f t="shared" si="69"/>
        <v>319.71247284992984</v>
      </c>
      <c r="F39" s="1480">
        <f t="shared" si="69"/>
        <v>175.67053622862409</v>
      </c>
      <c r="G39" s="3330">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1175</v>
      </c>
      <c r="B40" s="1472">
        <v>220</v>
      </c>
      <c r="C40" s="1472">
        <v>187</v>
      </c>
      <c r="D40" s="1472">
        <f t="shared" si="54"/>
        <v>187</v>
      </c>
      <c r="E40" s="1472">
        <v>301</v>
      </c>
      <c r="F40" s="1473">
        <v>168</v>
      </c>
      <c r="G40" s="3328">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1176</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29">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1177</v>
      </c>
      <c r="B42" s="1480">
        <f t="shared" si="70"/>
        <v>210.630522469011</v>
      </c>
      <c r="C42" s="1480">
        <f t="shared" si="70"/>
        <v>181.69567812247232</v>
      </c>
      <c r="D42" s="1480">
        <f t="shared" si="54"/>
        <v>181.69567812247232</v>
      </c>
      <c r="E42" s="1480">
        <f t="shared" si="71"/>
        <v>286.13517466736738</v>
      </c>
      <c r="F42" s="1480">
        <f t="shared" si="71"/>
        <v>165.47535084591149</v>
      </c>
      <c r="G42" s="3329">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1178</v>
      </c>
      <c r="B43" s="1480">
        <f t="shared" si="70"/>
        <v>208.83454537875372</v>
      </c>
      <c r="C43" s="1480">
        <f t="shared" si="70"/>
        <v>183.77230517090351</v>
      </c>
      <c r="D43" s="1480">
        <f t="shared" si="54"/>
        <v>183.77230517090351</v>
      </c>
      <c r="E43" s="1480">
        <f t="shared" si="71"/>
        <v>281.10342338870947</v>
      </c>
      <c r="F43" s="1480">
        <f t="shared" si="71"/>
        <v>168.97309388942256</v>
      </c>
      <c r="G43" s="3330">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1179</v>
      </c>
      <c r="B44" s="1514">
        <v>214</v>
      </c>
      <c r="C44" s="1514">
        <v>188</v>
      </c>
      <c r="D44" s="1514">
        <f t="shared" si="54"/>
        <v>188</v>
      </c>
      <c r="E44" s="1514">
        <v>289</v>
      </c>
      <c r="F44" s="1515">
        <v>166</v>
      </c>
      <c r="G44" s="3328">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1180</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29">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1181</v>
      </c>
      <c r="B46" s="1480">
        <f t="shared" si="72"/>
        <v>206.31694671589116</v>
      </c>
      <c r="C46" s="1480">
        <f t="shared" si="72"/>
        <v>183.61041121036101</v>
      </c>
      <c r="D46" s="1480">
        <f t="shared" si="54"/>
        <v>183.61041121036101</v>
      </c>
      <c r="E46" s="1480">
        <f t="shared" si="73"/>
        <v>276.66850301795557</v>
      </c>
      <c r="F46" s="1480">
        <f t="shared" si="73"/>
        <v>165.1360938278614</v>
      </c>
      <c r="G46" s="3329">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1182</v>
      </c>
      <c r="B47" s="1517">
        <f t="shared" si="72"/>
        <v>196.62341248059772</v>
      </c>
      <c r="C47" s="1517">
        <f t="shared" si="72"/>
        <v>170.99125648199012</v>
      </c>
      <c r="D47" s="1517">
        <f t="shared" si="54"/>
        <v>170.99125648199012</v>
      </c>
      <c r="E47" s="1517">
        <f t="shared" si="73"/>
        <v>266.07857570490052</v>
      </c>
      <c r="F47" s="1517">
        <f t="shared" si="73"/>
        <v>154.53499328828505</v>
      </c>
      <c r="G47" s="3330">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1183</v>
      </c>
      <c r="B48" s="1472">
        <v>188</v>
      </c>
      <c r="C48" s="1472">
        <v>165</v>
      </c>
      <c r="D48" s="1472">
        <f t="shared" si="54"/>
        <v>165</v>
      </c>
      <c r="E48" s="1472">
        <v>254</v>
      </c>
      <c r="F48" s="1473">
        <v>148</v>
      </c>
      <c r="G48" s="3328">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1184</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29">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1185</v>
      </c>
      <c r="B50" s="1480">
        <f t="shared" si="76"/>
        <v>168.82017748715555</v>
      </c>
      <c r="C50" s="1480">
        <f t="shared" si="76"/>
        <v>148.06267029972753</v>
      </c>
      <c r="D50" s="1480">
        <f t="shared" si="54"/>
        <v>148.06267029972753</v>
      </c>
      <c r="E50" s="1480">
        <f t="shared" si="77"/>
        <v>216.46288379323747</v>
      </c>
      <c r="F50" s="1480">
        <f t="shared" si="77"/>
        <v>134.23529411764704</v>
      </c>
      <c r="G50" s="3329">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1186</v>
      </c>
      <c r="B51" s="1480">
        <f t="shared" si="76"/>
        <v>163.84913591779542</v>
      </c>
      <c r="C51" s="1480">
        <f t="shared" si="76"/>
        <v>145.0283378746594</v>
      </c>
      <c r="D51" s="1480">
        <f t="shared" si="54"/>
        <v>145.0283378746594</v>
      </c>
      <c r="E51" s="1480">
        <f t="shared" si="77"/>
        <v>204.95180722891567</v>
      </c>
      <c r="F51" s="1480">
        <f t="shared" si="77"/>
        <v>125.95920303605313</v>
      </c>
      <c r="G51" s="3330">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1187</v>
      </c>
      <c r="B52" s="1493">
        <v>159</v>
      </c>
      <c r="C52" s="1493">
        <v>141</v>
      </c>
      <c r="D52" s="1493">
        <f t="shared" si="54"/>
        <v>141</v>
      </c>
      <c r="E52" s="1493">
        <v>195</v>
      </c>
      <c r="F52" s="1494">
        <v>122</v>
      </c>
      <c r="G52" s="3328">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1188</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29">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1189</v>
      </c>
      <c r="B54" s="1480">
        <f t="shared" si="80"/>
        <v>146.57412060301507</v>
      </c>
      <c r="C54" s="1480">
        <f t="shared" si="80"/>
        <v>136.46831955922866</v>
      </c>
      <c r="D54" s="1480">
        <f t="shared" si="54"/>
        <v>136.46831955922866</v>
      </c>
      <c r="E54" s="1480">
        <f t="shared" si="81"/>
        <v>166.73864894795128</v>
      </c>
      <c r="F54" s="1480">
        <f t="shared" si="81"/>
        <v>115.05882352941177</v>
      </c>
      <c r="G54" s="3329">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1190</v>
      </c>
      <c r="B55" s="1480">
        <f t="shared" si="80"/>
        <v>144.04145728643215</v>
      </c>
      <c r="C55" s="1480">
        <f t="shared" si="80"/>
        <v>136.12396694214877</v>
      </c>
      <c r="D55" s="1480">
        <f t="shared" si="54"/>
        <v>136.12396694214877</v>
      </c>
      <c r="E55" s="1480">
        <f t="shared" si="81"/>
        <v>158.32225913621264</v>
      </c>
      <c r="F55" s="1480">
        <f t="shared" si="81"/>
        <v>114.04278074866311</v>
      </c>
      <c r="G55" s="3330">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1191</v>
      </c>
      <c r="B56" s="1493">
        <v>138</v>
      </c>
      <c r="C56" s="1493">
        <v>131</v>
      </c>
      <c r="D56" s="1493">
        <f t="shared" si="54"/>
        <v>131</v>
      </c>
      <c r="E56" s="1493">
        <v>155</v>
      </c>
      <c r="F56" s="1494">
        <v>114</v>
      </c>
      <c r="G56" s="3328">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1192</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29">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1193</v>
      </c>
      <c r="B58" s="1480">
        <f t="shared" si="84"/>
        <v>124.29032258064517</v>
      </c>
      <c r="C58" s="1480">
        <f t="shared" si="84"/>
        <v>123.8968609865471</v>
      </c>
      <c r="D58" s="1480">
        <f t="shared" si="54"/>
        <v>123.8968609865471</v>
      </c>
      <c r="E58" s="1480">
        <f t="shared" si="85"/>
        <v>138.00507614213197</v>
      </c>
      <c r="F58" s="1480">
        <f t="shared" si="85"/>
        <v>107.96106557377048</v>
      </c>
      <c r="G58" s="3329">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1194</v>
      </c>
      <c r="B59" s="1480">
        <f t="shared" si="84"/>
        <v>122.57204301075269</v>
      </c>
      <c r="C59" s="1480">
        <f t="shared" si="84"/>
        <v>123.4932735426009</v>
      </c>
      <c r="D59" s="1480">
        <f t="shared" si="54"/>
        <v>123.4932735426009</v>
      </c>
      <c r="E59" s="1480">
        <f t="shared" si="85"/>
        <v>129.82233502538071</v>
      </c>
      <c r="F59" s="1480">
        <f t="shared" si="85"/>
        <v>107.39446721311475</v>
      </c>
      <c r="G59" s="3330">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1195</v>
      </c>
      <c r="B60" s="1514">
        <v>121</v>
      </c>
      <c r="C60" s="1514">
        <v>122</v>
      </c>
      <c r="D60" s="1514">
        <f t="shared" si="54"/>
        <v>122</v>
      </c>
      <c r="E60" s="1514">
        <v>124</v>
      </c>
      <c r="F60" s="1515">
        <v>107</v>
      </c>
      <c r="G60" s="3328">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1196</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29">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1197</v>
      </c>
      <c r="B62" s="1480">
        <f t="shared" si="88"/>
        <v>116.99099099099099</v>
      </c>
      <c r="C62" s="1480">
        <f t="shared" si="88"/>
        <v>118.84848484848486</v>
      </c>
      <c r="D62" s="1480">
        <f t="shared" si="54"/>
        <v>118.84848484848486</v>
      </c>
      <c r="E62" s="1480">
        <f t="shared" si="89"/>
        <v>117.60960960960961</v>
      </c>
      <c r="F62" s="1480">
        <f t="shared" si="89"/>
        <v>104</v>
      </c>
      <c r="G62" s="3329">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1198</v>
      </c>
      <c r="B63" s="1517">
        <f t="shared" si="88"/>
        <v>112.48648648648648</v>
      </c>
      <c r="C63" s="1517">
        <f t="shared" si="88"/>
        <v>115.21212121212122</v>
      </c>
      <c r="D63" s="1517">
        <f t="shared" si="54"/>
        <v>115.21212121212122</v>
      </c>
      <c r="E63" s="1517">
        <f t="shared" si="89"/>
        <v>110.4024024024024</v>
      </c>
      <c r="F63" s="1517">
        <f t="shared" si="89"/>
        <v>104</v>
      </c>
      <c r="G63" s="3330">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1199</v>
      </c>
      <c r="B64" s="1535">
        <v>111</v>
      </c>
      <c r="C64" s="1535">
        <v>114</v>
      </c>
      <c r="D64" s="1535">
        <f t="shared" si="54"/>
        <v>114</v>
      </c>
      <c r="E64" s="1535">
        <v>108</v>
      </c>
      <c r="F64" s="1536">
        <v>104</v>
      </c>
      <c r="G64" s="3328">
        <v>2003</v>
      </c>
      <c r="H64" s="1525">
        <v>4</v>
      </c>
      <c r="I64" s="1537"/>
      <c r="J64" s="1537"/>
      <c r="K64" s="1537"/>
      <c r="L64" s="1537"/>
      <c r="N64" s="1538"/>
      <c r="O64" s="1537"/>
      <c r="P64" s="1537"/>
      <c r="Q64" s="1537"/>
      <c r="S64" s="1538"/>
      <c r="T64" s="1537"/>
      <c r="U64" s="1537"/>
      <c r="V64" s="1537"/>
      <c r="X64" s="1529"/>
      <c r="Y64" s="1529"/>
      <c r="Z64" s="1529"/>
    </row>
    <row r="65" spans="1:26">
      <c r="A65" s="1464" t="s">
        <v>1200</v>
      </c>
      <c r="B65" s="1539">
        <f t="shared" ref="B65:C67" si="90">B66+(B$64-B$68)/4</f>
        <v>109.75</v>
      </c>
      <c r="C65" s="1539">
        <f t="shared" si="90"/>
        <v>112.25</v>
      </c>
      <c r="D65" s="1539">
        <f t="shared" si="54"/>
        <v>112.25</v>
      </c>
      <c r="E65" s="1539">
        <f t="shared" ref="E65:F67" si="91">E66+(E$64-E$68)/4</f>
        <v>107.25</v>
      </c>
      <c r="F65" s="1539">
        <f t="shared" si="91"/>
        <v>103.5</v>
      </c>
      <c r="G65" s="3329">
        <v>2003</v>
      </c>
      <c r="H65" s="1490">
        <v>3</v>
      </c>
      <c r="I65" s="1537"/>
      <c r="J65" s="1537"/>
      <c r="K65" s="1537"/>
      <c r="L65" s="1537"/>
      <c r="X65" s="1529"/>
      <c r="Y65" s="1529"/>
      <c r="Z65" s="1529"/>
    </row>
    <row r="66" spans="1:26">
      <c r="A66" s="1464" t="s">
        <v>1201</v>
      </c>
      <c r="B66" s="1539">
        <f t="shared" si="90"/>
        <v>108.5</v>
      </c>
      <c r="C66" s="1539">
        <f t="shared" si="90"/>
        <v>110.5</v>
      </c>
      <c r="D66" s="1539">
        <f t="shared" si="54"/>
        <v>110.5</v>
      </c>
      <c r="E66" s="1539">
        <f t="shared" si="91"/>
        <v>106.5</v>
      </c>
      <c r="F66" s="1539">
        <f t="shared" si="91"/>
        <v>103</v>
      </c>
      <c r="G66" s="3329">
        <v>2003</v>
      </c>
      <c r="H66" s="1468">
        <v>2</v>
      </c>
      <c r="I66" s="1537"/>
      <c r="J66" s="1537"/>
      <c r="K66" s="1537"/>
      <c r="L66" s="1537"/>
      <c r="X66" s="1529"/>
      <c r="Y66" s="1529"/>
      <c r="Z66" s="1529"/>
    </row>
    <row r="67" spans="1:26" ht="13.5" thickBot="1">
      <c r="A67" s="1464" t="s">
        <v>1202</v>
      </c>
      <c r="B67" s="1539">
        <f t="shared" si="90"/>
        <v>107.25</v>
      </c>
      <c r="C67" s="1539">
        <f t="shared" si="90"/>
        <v>108.75</v>
      </c>
      <c r="D67" s="1539">
        <f t="shared" si="54"/>
        <v>108.75</v>
      </c>
      <c r="E67" s="1539">
        <f t="shared" si="91"/>
        <v>105.75</v>
      </c>
      <c r="F67" s="1539">
        <f t="shared" si="91"/>
        <v>102.5</v>
      </c>
      <c r="G67" s="3330">
        <v>2003</v>
      </c>
      <c r="H67" s="1540">
        <v>1</v>
      </c>
      <c r="I67" s="1537"/>
      <c r="J67" s="1537"/>
      <c r="K67" s="1537"/>
      <c r="L67" s="1537"/>
      <c r="S67" s="1475"/>
      <c r="T67" s="1476"/>
      <c r="U67" s="1476"/>
      <c r="X67" s="1529"/>
      <c r="Y67" s="1529"/>
      <c r="Z67" s="1529"/>
    </row>
    <row r="68" spans="1:26" ht="13.5" thickBot="1">
      <c r="A68" s="1464" t="s">
        <v>1203</v>
      </c>
      <c r="B68" s="1541">
        <v>106</v>
      </c>
      <c r="C68" s="1541">
        <v>107</v>
      </c>
      <c r="D68" s="1541">
        <f t="shared" si="54"/>
        <v>107</v>
      </c>
      <c r="E68" s="1541">
        <v>105</v>
      </c>
      <c r="F68" s="1542">
        <v>102</v>
      </c>
      <c r="G68" s="3328">
        <v>2002</v>
      </c>
      <c r="H68" s="1485">
        <v>4</v>
      </c>
      <c r="I68" s="1537"/>
      <c r="J68" s="1537"/>
      <c r="K68" s="1537"/>
      <c r="L68" s="1537"/>
      <c r="N68" s="1538"/>
      <c r="O68" s="1537"/>
      <c r="P68" s="1537"/>
      <c r="Q68" s="1537"/>
      <c r="S68" s="1538"/>
      <c r="T68" s="1537"/>
      <c r="U68" s="1537"/>
      <c r="V68" s="1537"/>
      <c r="X68" s="1529"/>
      <c r="Y68" s="1529"/>
      <c r="Z68" s="1529"/>
    </row>
    <row r="69" spans="1:26">
      <c r="A69" s="1464" t="s">
        <v>1204</v>
      </c>
      <c r="B69" s="1539">
        <f t="shared" ref="B69:C71" si="92">B70+(B$68-B$72)/4</f>
        <v>105</v>
      </c>
      <c r="C69" s="1539">
        <f t="shared" si="92"/>
        <v>106</v>
      </c>
      <c r="D69" s="1539">
        <f t="shared" si="54"/>
        <v>106</v>
      </c>
      <c r="E69" s="1539">
        <f t="shared" ref="E69:F71" si="93">E70+(E$68-E$72)/4</f>
        <v>104.5</v>
      </c>
      <c r="F69" s="1539">
        <f t="shared" si="93"/>
        <v>101.5</v>
      </c>
      <c r="G69" s="3329">
        <v>2002</v>
      </c>
      <c r="H69" s="1490">
        <v>3</v>
      </c>
      <c r="I69" s="1537"/>
      <c r="J69" s="1537"/>
      <c r="K69" s="1537"/>
      <c r="L69" s="1537"/>
      <c r="X69" s="1529"/>
      <c r="Y69" s="1529"/>
      <c r="Z69" s="1529"/>
    </row>
    <row r="70" spans="1:26">
      <c r="A70" s="1464" t="s">
        <v>1205</v>
      </c>
      <c r="B70" s="1539">
        <f t="shared" si="92"/>
        <v>104</v>
      </c>
      <c r="C70" s="1539">
        <f t="shared" si="92"/>
        <v>105</v>
      </c>
      <c r="D70" s="1539">
        <f t="shared" si="54"/>
        <v>105</v>
      </c>
      <c r="E70" s="1539">
        <f t="shared" si="93"/>
        <v>104</v>
      </c>
      <c r="F70" s="1539">
        <f t="shared" si="93"/>
        <v>101</v>
      </c>
      <c r="G70" s="3329">
        <v>2002</v>
      </c>
      <c r="H70" s="1468">
        <v>2</v>
      </c>
      <c r="I70" s="1537"/>
      <c r="J70" s="1537"/>
      <c r="K70" s="1537"/>
      <c r="L70" s="1537"/>
      <c r="X70" s="1529"/>
      <c r="Y70" s="1529"/>
      <c r="Z70" s="1529"/>
    </row>
    <row r="71" spans="1:26" s="1501" customFormat="1" ht="13.5" thickBot="1">
      <c r="A71" s="1497" t="s">
        <v>1206</v>
      </c>
      <c r="B71" s="1543">
        <f t="shared" si="92"/>
        <v>103</v>
      </c>
      <c r="C71" s="1543">
        <f t="shared" si="92"/>
        <v>104</v>
      </c>
      <c r="D71" s="1543">
        <f t="shared" si="54"/>
        <v>104</v>
      </c>
      <c r="E71" s="1543">
        <f t="shared" si="93"/>
        <v>103.5</v>
      </c>
      <c r="F71" s="1543">
        <f t="shared" si="93"/>
        <v>100.5</v>
      </c>
      <c r="G71" s="3330">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1207</v>
      </c>
      <c r="G74" s="1553"/>
      <c r="N74" s="1553"/>
      <c r="S74" s="1553"/>
    </row>
    <row r="75" spans="1:26" s="1552" customFormat="1">
      <c r="A75" s="1552" t="s">
        <v>1208</v>
      </c>
      <c r="G75" s="1553"/>
      <c r="N75" s="1553"/>
      <c r="S75" s="1553"/>
    </row>
    <row r="76" spans="1:26" s="1552" customFormat="1">
      <c r="A76" s="1552" t="s">
        <v>1209</v>
      </c>
      <c r="G76" s="1553"/>
      <c r="I76" s="1554"/>
      <c r="J76" s="1554"/>
      <c r="K76" s="1554"/>
      <c r="L76" s="1554"/>
      <c r="N76" s="1555"/>
      <c r="O76" s="1554"/>
      <c r="P76" s="1554"/>
      <c r="Q76" s="1554"/>
      <c r="S76" s="1555"/>
      <c r="T76" s="1554"/>
      <c r="U76" s="1554"/>
      <c r="V76" s="1554"/>
    </row>
    <row r="77" spans="1:26" s="1552" customFormat="1">
      <c r="A77" s="1552" t="s">
        <v>1210</v>
      </c>
      <c r="G77" s="1553"/>
      <c r="N77" s="1553"/>
      <c r="S77" s="1553"/>
    </row>
    <row r="84" spans="7:22" ht="13.5" thickBot="1"/>
    <row r="85" spans="7:22">
      <c r="G85" s="1474"/>
      <c r="S85" s="1556" t="s">
        <v>1211</v>
      </c>
      <c r="T85" s="1557" t="s">
        <v>1212</v>
      </c>
      <c r="U85" s="1557" t="s">
        <v>1213</v>
      </c>
      <c r="V85" s="1557" t="s">
        <v>1214</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2960</v>
      </c>
      <c r="C1" s="3339" t="s">
        <v>2961</v>
      </c>
      <c r="D1" s="3340"/>
      <c r="E1" s="3340"/>
      <c r="F1" s="3340"/>
      <c r="G1" s="3340"/>
      <c r="H1" s="3340"/>
      <c r="I1" s="3340"/>
      <c r="J1" s="3340"/>
      <c r="K1" s="3340"/>
      <c r="L1" s="3340"/>
      <c r="M1" s="3340"/>
      <c r="N1" s="3340"/>
      <c r="O1" s="3340"/>
      <c r="P1" s="3340"/>
      <c r="Q1" s="3340"/>
      <c r="R1" s="3340"/>
      <c r="S1" s="3341"/>
      <c r="T1" s="1207" t="s">
        <v>2962</v>
      </c>
    </row>
    <row r="2" spans="1:45" s="707" customFormat="1">
      <c r="A2" s="1208"/>
      <c r="B2" s="703" t="s">
        <v>2963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2968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2969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2970</v>
      </c>
      <c r="B17" s="2923" t="s">
        <v>2971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2972</v>
      </c>
      <c r="E19" s="1794"/>
      <c r="F19" s="1794"/>
      <c r="G19" s="1794"/>
      <c r="H19" s="1283"/>
      <c r="I19" s="168"/>
      <c r="J19" s="168"/>
      <c r="K19" s="168"/>
      <c r="L19" s="168"/>
      <c r="M19" s="168"/>
      <c r="N19" s="168"/>
      <c r="O19" s="168"/>
      <c r="P19" s="168"/>
      <c r="Q19" s="168"/>
      <c r="R19" s="788"/>
      <c r="S19" s="138"/>
    </row>
    <row r="20" spans="1:45" ht="16.5" thickBot="1">
      <c r="A20" s="715" t="s">
        <v>2973</v>
      </c>
      <c r="B20" s="338" t="e">
        <f ca="1">IF(D20="——",S22,S22-F20)</f>
        <v>#REF!</v>
      </c>
      <c r="C20" s="168"/>
      <c r="D20" s="2925" t="s">
        <v>2974</v>
      </c>
      <c r="E20" s="1795"/>
      <c r="F20" s="1207" t="e">
        <f ca="1">SUMIF(INDIRECT("'"&amp;H20&amp;"'"&amp;"!A:A"),"承租人权益价值",INDIRECT("'"&amp;H20&amp;"'"&amp;"!c:c"))</f>
        <v>#REF!</v>
      </c>
      <c r="G20" s="1207" t="s">
        <v>2975</v>
      </c>
      <c r="H20" s="2926"/>
      <c r="I20" s="168"/>
      <c r="J20" s="168"/>
      <c r="K20" s="168"/>
      <c r="L20" s="168"/>
      <c r="M20" s="168"/>
      <c r="N20" s="168"/>
      <c r="O20" s="168"/>
      <c r="P20" s="168"/>
      <c r="Q20" s="168"/>
      <c r="R20" s="788"/>
      <c r="S20" s="138"/>
    </row>
    <row r="21" spans="1:45" ht="15.75">
      <c r="A21" s="715" t="s">
        <v>2976</v>
      </c>
      <c r="B21" s="338">
        <f>R22</f>
        <v>10000</v>
      </c>
      <c r="C21" s="168"/>
      <c r="D21" s="168"/>
      <c r="E21" s="168"/>
      <c r="F21" s="168"/>
      <c r="G21" s="168"/>
      <c r="H21" s="168"/>
      <c r="I21" s="168"/>
      <c r="J21" s="168"/>
      <c r="K21" s="168"/>
      <c r="L21" s="168"/>
      <c r="M21" s="168"/>
      <c r="N21" s="168"/>
      <c r="O21" s="168"/>
      <c r="P21" s="168"/>
      <c r="Q21" s="168"/>
      <c r="R21" s="788"/>
      <c r="S21" s="138"/>
    </row>
    <row r="22" spans="1:45">
      <c r="A22" s="361" t="s">
        <v>2977</v>
      </c>
      <c r="B22" s="24">
        <f>SUM(B24:B10000)</f>
        <v>100</v>
      </c>
      <c r="C22" s="3201" t="s">
        <v>33</v>
      </c>
      <c r="D22" s="3202"/>
      <c r="E22" s="3202"/>
      <c r="F22" s="3202"/>
      <c r="G22" s="3202"/>
      <c r="H22" s="3202"/>
      <c r="I22" s="3202"/>
      <c r="J22" s="3202"/>
      <c r="K22" s="3202"/>
      <c r="L22" s="3202"/>
      <c r="M22" s="3202"/>
      <c r="N22" s="3202"/>
      <c r="O22" s="3202"/>
      <c r="P22" s="3202"/>
      <c r="Q22" s="3338"/>
      <c r="R22" s="716">
        <f>ROUND(S22*10000/B22,0)</f>
        <v>10000</v>
      </c>
      <c r="S22" s="24">
        <f>SUM(S24:S10000)</f>
        <v>100</v>
      </c>
    </row>
    <row r="23" spans="1:45" s="12" customFormat="1" ht="24">
      <c r="A23" s="11" t="s">
        <v>2978</v>
      </c>
      <c r="B23" s="11" t="s">
        <v>2979</v>
      </c>
      <c r="C23" s="11" t="s">
        <v>2980</v>
      </c>
      <c r="D23" s="11" t="str">
        <f>B5</f>
        <v>修正项2</v>
      </c>
      <c r="E23" s="11" t="s">
        <v>2980</v>
      </c>
      <c r="F23" s="11" t="str">
        <f>B7</f>
        <v>修正项3</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7" t="s">
        <v>2981</v>
      </c>
      <c r="S23" s="11" t="s">
        <v>2982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v>
      </c>
      <c r="B3" s="3026"/>
      <c r="C3" s="3026"/>
      <c r="D3" s="3026"/>
      <c r="E3" s="3026"/>
    </row>
    <row r="4" spans="1:5" ht="19.5" thickBot="1">
      <c r="A4" s="1963"/>
      <c r="B4" s="3024" t="s">
        <v>1626</v>
      </c>
      <c r="C4" s="3024"/>
      <c r="D4" s="3024"/>
      <c r="E4" s="1963"/>
    </row>
    <row r="5" spans="1:5" ht="16.5" thickTop="1">
      <c r="A5" s="1961"/>
      <c r="B5" s="3022" t="s">
        <v>1618</v>
      </c>
      <c r="C5" s="1964" t="s">
        <v>1619</v>
      </c>
      <c r="D5" s="1043">
        <f ca="1">结果表!H101</f>
        <v>31281</v>
      </c>
      <c r="E5" s="1961"/>
    </row>
    <row r="6" spans="1:5" ht="15.75">
      <c r="A6" s="1961"/>
      <c r="B6" s="3022"/>
      <c r="C6" s="1964" t="s">
        <v>1620</v>
      </c>
      <c r="D6" s="1043" t="str">
        <f ca="1">NUMBERSTRING(INT(D5*10000),2)&amp;"元整"</f>
        <v>叁亿壹仟贰佰捌拾壹万元整</v>
      </c>
      <c r="E6" s="1961"/>
    </row>
    <row r="7" spans="1:5" ht="15.75">
      <c r="A7" s="1961"/>
      <c r="B7" s="3027"/>
      <c r="C7" s="1965" t="s">
        <v>1621</v>
      </c>
      <c r="D7" s="1044">
        <f ca="1">结果表!H102</f>
        <v>7043</v>
      </c>
      <c r="E7" s="1961"/>
    </row>
    <row r="8" spans="1:5" ht="15.75">
      <c r="A8" s="1961"/>
      <c r="B8" s="3028" t="str">
        <f>结果表!E103</f>
        <v>2.估价师知悉的法定优先受偿款</v>
      </c>
      <c r="C8" s="1966" t="s">
        <v>1622</v>
      </c>
      <c r="D8" s="1044">
        <f>结果表!H103</f>
        <v>0</v>
      </c>
      <c r="E8" s="1961"/>
    </row>
    <row r="9" spans="1:5" ht="15.75">
      <c r="A9" s="1961"/>
      <c r="B9" s="3030"/>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3021" t="str">
        <f>结果表!E107</f>
        <v>3.房地产抵押价值</v>
      </c>
      <c r="C13" s="1969" t="s">
        <v>1619</v>
      </c>
      <c r="D13" s="1046">
        <f ca="1">结果表!H107</f>
        <v>31281</v>
      </c>
      <c r="E13" s="1961"/>
    </row>
    <row r="14" spans="1:5" ht="15.75">
      <c r="A14" s="1961"/>
      <c r="B14" s="3022"/>
      <c r="C14" s="1964" t="s">
        <v>1620</v>
      </c>
      <c r="D14" s="1043" t="str">
        <f ca="1">NUMBERSTRING(INT(D13*10000),2)&amp;"元整"</f>
        <v>叁亿壹仟贰佰捌拾壹万元整</v>
      </c>
      <c r="E14" s="1961"/>
    </row>
    <row r="15" spans="1:5" ht="15">
      <c r="A15" s="1961"/>
      <c r="B15" s="3027"/>
      <c r="C15" s="1965" t="s">
        <v>1630</v>
      </c>
      <c r="D15" s="1055">
        <f ca="1">结果表!H108</f>
        <v>7043</v>
      </c>
      <c r="E15" s="1961"/>
    </row>
    <row r="16" spans="1:5" ht="15">
      <c r="A16" s="1961"/>
      <c r="B16" s="3028" t="str">
        <f>结果表!E109</f>
        <v>——</v>
      </c>
      <c r="C16" s="1969" t="s">
        <v>1631</v>
      </c>
      <c r="D16" s="1970" t="str">
        <f>结果表!H109</f>
        <v>——</v>
      </c>
      <c r="E16" s="1961"/>
    </row>
    <row r="17" spans="1:5" ht="15.75">
      <c r="A17" s="1961"/>
      <c r="B17" s="3029"/>
      <c r="C17" s="1964" t="s">
        <v>1632</v>
      </c>
      <c r="D17" s="1043" t="e">
        <f>NUMBERSTRING(INT(D16*10000),2)&amp;"元整"</f>
        <v>#VALUE!</v>
      </c>
      <c r="E17" s="1961"/>
    </row>
    <row r="18" spans="1:5" ht="15">
      <c r="A18" s="1961"/>
      <c r="B18" s="3030"/>
      <c r="C18" s="1965" t="s">
        <v>1621</v>
      </c>
      <c r="D18" s="1055" t="str">
        <f>结果表!H110</f>
        <v>——</v>
      </c>
      <c r="E18" s="1961"/>
    </row>
    <row r="19" spans="1:5" ht="15.75">
      <c r="A19" s="1961"/>
      <c r="B19" s="3021" t="str">
        <f>结果表!E111</f>
        <v>——</v>
      </c>
      <c r="C19" s="1969" t="s">
        <v>1619</v>
      </c>
      <c r="D19" s="1044" t="str">
        <f>结果表!H111</f>
        <v>——</v>
      </c>
      <c r="E19" s="1961"/>
    </row>
    <row r="20" spans="1:5" ht="15.75">
      <c r="A20" s="1961"/>
      <c r="B20" s="3022"/>
      <c r="C20" s="1964" t="s">
        <v>1632</v>
      </c>
      <c r="D20" s="1043" t="e">
        <f>NUMBERSTRING(INT(D19*10000),2)&amp;"元整"</f>
        <v>#VALUE!</v>
      </c>
      <c r="E20" s="1961"/>
    </row>
    <row r="21" spans="1:5" ht="15.75" thickBot="1">
      <c r="A21" s="1961"/>
      <c r="B21" s="3023"/>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35425</v>
      </c>
      <c r="C2" s="2" t="s">
        <v>133</v>
      </c>
      <c r="D2" s="243"/>
      <c r="E2" s="243"/>
      <c r="F2" s="243"/>
      <c r="G2" s="243"/>
    </row>
    <row r="3" spans="1:7" s="244" customFormat="1" ht="18" customHeight="1" thickBot="1">
      <c r="A3" s="247" t="s">
        <v>85</v>
      </c>
      <c r="B3" s="248">
        <f ca="1">ROUND(B2*10000/'数据-汇总表'!E3,0)</f>
        <v>7976</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20810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810</v>
      </c>
      <c r="D7" s="264"/>
      <c r="E7" s="262"/>
      <c r="F7" s="265">
        <f>'数据-取费表'!B48+'数据-取费表'!B49</f>
        <v>4.0500000000000001E-2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518</v>
      </c>
      <c r="D9" s="1035">
        <f>'数据-汇总表'!E5</f>
        <v>43156.770000000026</v>
      </c>
      <c r="E9" s="269">
        <f>'数据-取费表'!B27</f>
        <v>120</v>
      </c>
      <c r="F9" s="265"/>
      <c r="G9" s="270"/>
    </row>
    <row r="10" spans="1:7" s="258" customFormat="1" ht="13.5" customHeight="1">
      <c r="A10" s="953" t="s">
        <v>800</v>
      </c>
      <c r="B10" s="268" t="s">
        <v>94</v>
      </c>
      <c r="C10" s="269">
        <f>ROUND(D10*E10/10000,0)</f>
        <v>20</v>
      </c>
      <c r="D10" s="1035">
        <f>'数据-汇总表'!E6</f>
        <v>1255.6800000000003</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666</v>
      </c>
      <c r="D19" s="1039">
        <f>'数据-汇总表'!E3</f>
        <v>44412.450000000026</v>
      </c>
      <c r="E19" s="255">
        <f>'数据-取费表'!B31</f>
        <v>150</v>
      </c>
      <c r="F19" s="275"/>
      <c r="G19" s="1" t="s">
        <v>1073</v>
      </c>
    </row>
    <row r="20" spans="1:7" s="258" customFormat="1" ht="13.5" customHeight="1">
      <c r="A20" s="951" t="s">
        <v>1056</v>
      </c>
      <c r="B20" s="254" t="s">
        <v>104</v>
      </c>
      <c r="C20" s="276">
        <f>ROUND((C5+C19)*F20,0)</f>
        <v>430</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1030</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988</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32</v>
      </c>
      <c r="D24" s="282"/>
      <c r="E24" s="282"/>
      <c r="F24" s="283"/>
      <c r="G24" s="284" t="s">
        <v>109</v>
      </c>
    </row>
    <row r="25" spans="1:7" s="258" customFormat="1" ht="24">
      <c r="A25" s="954" t="s">
        <v>792</v>
      </c>
      <c r="B25" s="259" t="s">
        <v>1057</v>
      </c>
      <c r="C25" s="1358">
        <f ca="1">ROUND(IF('数据-取费表'!B22&lt;=1,C20*F22*'数据-取费表'!B23/2,C20*(POWER((1+F22),'数据-取费表'!B23/2)-1)),0)</f>
        <v>10</v>
      </c>
      <c r="D25" s="282"/>
      <c r="E25" s="285"/>
      <c r="F25" s="283"/>
      <c r="G25" s="286" t="s">
        <v>110</v>
      </c>
    </row>
    <row r="26" spans="1:7" s="258" customFormat="1">
      <c r="A26" s="954" t="s">
        <v>794</v>
      </c>
      <c r="B26" s="259" t="s">
        <v>1059</v>
      </c>
      <c r="C26" s="282">
        <f ca="1">ROUND(IF('数据-取费表'!B22&lt;=1,F21*F22*'数据-取费表'!B23/2,F21*(POWER((1+F22),'数据-取费表'!B23/2)-1)),4)</f>
        <v>5.0000000000000001E-4</v>
      </c>
      <c r="D26" s="282"/>
      <c r="E26" s="285"/>
      <c r="F26" s="283"/>
      <c r="G26" s="287"/>
    </row>
    <row r="27" spans="1:7" s="258" customFormat="1" ht="24.75">
      <c r="A27" s="951" t="s">
        <v>786</v>
      </c>
      <c r="B27" s="288" t="s">
        <v>112</v>
      </c>
      <c r="C27" s="289">
        <f>C28</f>
        <v>1095</v>
      </c>
      <c r="D27" s="279">
        <f>C29</f>
        <v>1E-3</v>
      </c>
      <c r="E27" s="280" t="s">
        <v>126</v>
      </c>
      <c r="F27" s="290">
        <f>'数据-取费表'!Q16</f>
        <v>0.1</v>
      </c>
      <c r="G27" s="291" t="s">
        <v>1068</v>
      </c>
    </row>
    <row r="28" spans="1:7" s="258" customFormat="1" ht="13.5" customHeight="1">
      <c r="A28" s="954" t="s">
        <v>793</v>
      </c>
      <c r="B28" s="292" t="s">
        <v>1061</v>
      </c>
      <c r="C28" s="293">
        <f>ROUND((C5+C19+C20)*F27*'数据-取费表'!B21/'数据-取费表'!B20,0)</f>
        <v>1095</v>
      </c>
      <c r="D28" s="279"/>
      <c r="E28" s="280"/>
      <c r="F28" s="290"/>
      <c r="G28" s="291"/>
    </row>
    <row r="29" spans="1:7" s="258" customFormat="1" ht="13.5" customHeight="1">
      <c r="A29" s="954" t="s">
        <v>791</v>
      </c>
      <c r="B29" s="292" t="s">
        <v>1062</v>
      </c>
      <c r="C29" s="282">
        <f>ROUND(C21*F27*'数据-取费表'!B21/'数据-取费表'!B20,4)</f>
        <v>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25975</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7621</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6473</v>
      </c>
      <c r="D34" s="261"/>
      <c r="E34" s="264"/>
      <c r="F34" s="301">
        <f>IF('数据-取费表'!B24=0,1,'数据-取费表'!N16)</f>
        <v>0.6</v>
      </c>
      <c r="G34" s="263" t="s">
        <v>116</v>
      </c>
    </row>
    <row r="35" spans="1:7" ht="13.5" customHeight="1">
      <c r="A35" s="954" t="s">
        <v>795</v>
      </c>
      <c r="B35" s="259" t="s">
        <v>60</v>
      </c>
      <c r="C35" s="264">
        <f>ROUND(C34*F35,0)</f>
        <v>324</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194</v>
      </c>
      <c r="D36" s="264"/>
      <c r="E36" s="264"/>
      <c r="F36" s="303">
        <f>'数据-取费表'!B34</f>
        <v>0.03</v>
      </c>
      <c r="G36" s="304" t="s">
        <v>62</v>
      </c>
    </row>
    <row r="37" spans="1:7" s="302" customFormat="1" ht="13.5" customHeight="1">
      <c r="A37" s="954" t="s">
        <v>797</v>
      </c>
      <c r="B37" s="259" t="s">
        <v>118</v>
      </c>
      <c r="C37" s="293">
        <f>ROUND(E37*D37*F34/10000,0)</f>
        <v>533</v>
      </c>
      <c r="D37" s="261">
        <f>'数据-汇总表'!E3</f>
        <v>44412.450000000026</v>
      </c>
      <c r="E37" s="293">
        <f>'数据-取费表'!B35</f>
        <v>200</v>
      </c>
      <c r="F37" s="303"/>
      <c r="G37" s="305" t="s">
        <v>119</v>
      </c>
    </row>
    <row r="38" spans="1:7" ht="13.5" customHeight="1">
      <c r="A38" s="954" t="s">
        <v>798</v>
      </c>
      <c r="B38" s="259" t="s">
        <v>63</v>
      </c>
      <c r="C38" s="264">
        <f>ROUND(C34*F38,0)</f>
        <v>97</v>
      </c>
      <c r="D38" s="264"/>
      <c r="E38" s="264"/>
      <c r="F38" s="303">
        <f>'数据-取费表'!B36</f>
        <v>1.4999999999999999E-2</v>
      </c>
      <c r="G38" s="263" t="s">
        <v>117</v>
      </c>
    </row>
    <row r="39" spans="1:7" s="258" customFormat="1" ht="13.5" customHeight="1">
      <c r="A39" s="951" t="s">
        <v>782</v>
      </c>
      <c r="B39" s="254" t="s">
        <v>104</v>
      </c>
      <c r="C39" s="276">
        <f>ROUND(C33*F20,0)</f>
        <v>152</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183</v>
      </c>
      <c r="D41" s="279">
        <f ca="1">C44</f>
        <v>5.0000000000000001E-4</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179</v>
      </c>
      <c r="D42" s="282"/>
      <c r="E42" s="282"/>
      <c r="F42" s="283"/>
      <c r="G42" s="3250" t="s">
        <v>121</v>
      </c>
    </row>
    <row r="43" spans="1:7" ht="13.5" customHeight="1">
      <c r="A43" s="954" t="s">
        <v>791</v>
      </c>
      <c r="B43" s="259" t="s">
        <v>1063</v>
      </c>
      <c r="C43" s="282">
        <f ca="1">ROUND(IF('数据-取费表'!B22&lt;=1,C39*F22*'数据-取费表'!B21/2,C39*(POWER((1+F22),'数据-取费表'!B21/2)-1)),0)</f>
        <v>4</v>
      </c>
      <c r="D43" s="282"/>
      <c r="E43" s="282"/>
      <c r="F43" s="283"/>
      <c r="G43" s="3251"/>
    </row>
    <row r="44" spans="1:7" ht="13.5" customHeight="1">
      <c r="A44" s="954" t="s">
        <v>792</v>
      </c>
      <c r="B44" s="259" t="s">
        <v>1065</v>
      </c>
      <c r="C44" s="282">
        <f ca="1">ROUND(IF('数据-取费表'!B22&lt;=1,C40*F22*'数据-取费表'!B21/2,C40*(POWER((1+F22),'数据-取费表'!B21/2)-1)),4)</f>
        <v>5.0000000000000001E-4</v>
      </c>
      <c r="D44" s="282"/>
      <c r="E44" s="282"/>
      <c r="F44" s="283"/>
      <c r="G44" s="3252"/>
    </row>
    <row r="45" spans="1:7" s="258" customFormat="1" ht="13.5" customHeight="1">
      <c r="A45" s="951" t="s">
        <v>785</v>
      </c>
      <c r="B45" s="288" t="s">
        <v>112</v>
      </c>
      <c r="C45" s="289">
        <f>C46</f>
        <v>777</v>
      </c>
      <c r="D45" s="279">
        <f>C47</f>
        <v>2E-3</v>
      </c>
      <c r="E45" s="280" t="s">
        <v>129</v>
      </c>
      <c r="F45" s="290"/>
      <c r="G45" s="291" t="s">
        <v>1071</v>
      </c>
    </row>
    <row r="46" spans="1:7" s="258" customFormat="1" ht="13.5" customHeight="1">
      <c r="A46" s="954" t="s">
        <v>793</v>
      </c>
      <c r="B46" s="292" t="s">
        <v>1064</v>
      </c>
      <c r="C46" s="293">
        <f>ROUND((C33+C39)*F27,0)</f>
        <v>777</v>
      </c>
      <c r="D46" s="307"/>
      <c r="E46" s="280"/>
      <c r="F46" s="290"/>
      <c r="G46" s="291"/>
    </row>
    <row r="47" spans="1:7" s="258" customFormat="1" ht="13.5" customHeight="1">
      <c r="A47" s="954" t="s">
        <v>791</v>
      </c>
      <c r="B47" s="292" t="s">
        <v>1066</v>
      </c>
      <c r="C47" s="282">
        <f>ROUND(C40*F27,4)</f>
        <v>2E-3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9450</v>
      </c>
      <c r="D49" s="276"/>
      <c r="E49" s="276"/>
      <c r="F49" s="308"/>
      <c r="G49" s="278" t="s">
        <v>1072</v>
      </c>
    </row>
    <row r="50" spans="1:7" s="302" customFormat="1" ht="24">
      <c r="A50" s="951" t="s">
        <v>788</v>
      </c>
      <c r="B50" s="254" t="s">
        <v>124</v>
      </c>
      <c r="C50" s="276"/>
      <c r="D50" s="276"/>
      <c r="E50" s="276"/>
      <c r="F50" s="308">
        <f>IF('数据-取费表'!B24=0,'数据-取费表'!N16,1)</f>
        <v>1</v>
      </c>
      <c r="G50" s="291" t="s">
        <v>125</v>
      </c>
    </row>
    <row r="51" spans="1:7" ht="16.5" customHeight="1">
      <c r="A51" s="951" t="s">
        <v>789</v>
      </c>
      <c r="B51" s="254" t="s">
        <v>132</v>
      </c>
      <c r="C51" s="276">
        <f ca="1">ROUND(C49*F50,0)</f>
        <v>9450</v>
      </c>
      <c r="D51" s="276"/>
      <c r="E51" s="276"/>
      <c r="F51" s="308"/>
      <c r="G51" s="278" t="s">
        <v>64</v>
      </c>
    </row>
    <row r="52" spans="1:7" s="252" customFormat="1" ht="16.5" thickBot="1">
      <c r="A52" s="309" t="s">
        <v>65</v>
      </c>
      <c r="B52" s="310"/>
      <c r="C52" s="311">
        <f ca="1">C31+C51</f>
        <v>35425</v>
      </c>
      <c r="D52" s="310"/>
      <c r="E52" s="310"/>
      <c r="F52" s="310"/>
      <c r="G52" s="312"/>
    </row>
    <row r="55" spans="1:7" ht="15">
      <c r="B55" s="314" t="s">
        <v>66</v>
      </c>
      <c r="C55" s="315"/>
    </row>
    <row r="56" spans="1:7">
      <c r="B56" s="317" t="s">
        <v>67</v>
      </c>
      <c r="C56" s="318">
        <f ca="1">ROUND(C51/C52,3)</f>
        <v>0.26700000000000002</v>
      </c>
    </row>
    <row r="57" spans="1:7">
      <c r="B57" s="317" t="s">
        <v>68</v>
      </c>
      <c r="C57" s="319">
        <f ca="1">1-C56</f>
        <v>0.73299999999999998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2" t="s">
        <v>156</v>
      </c>
      <c r="B1" s="3342"/>
      <c r="C1" s="3342"/>
      <c r="D1" s="3342"/>
      <c r="E1" s="3342"/>
      <c r="F1" s="334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3" t="s">
        <v>169</v>
      </c>
      <c r="B2" s="3343"/>
      <c r="C2" s="3343"/>
      <c r="D2" s="3343"/>
      <c r="E2" s="3343"/>
      <c r="F2" s="334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2" t="s">
        <v>870</v>
      </c>
      <c r="B1" s="3342"/>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43321</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535"/>
  <sheetViews>
    <sheetView tabSelected="1" topLeftCell="H107" workbookViewId="0">
      <selection activeCell="R145" sqref="R145"/>
    </sheetView>
  </sheetViews>
  <sheetFormatPr defaultRowHeight="13.5"/>
  <cols>
    <col min="1" max="3" width="9" style="2958"/>
    <col min="4" max="4" width="10.25" style="2958" customWidth="1"/>
    <col min="5" max="6" width="11" style="2958" customWidth="1"/>
    <col min="7" max="16384" width="9" style="2958"/>
  </cols>
  <sheetData>
    <row r="2" spans="3:21">
      <c r="C2" s="3346" t="s">
        <v>3138</v>
      </c>
      <c r="D2" s="3346"/>
      <c r="E2" s="3346"/>
      <c r="F2" s="3346"/>
      <c r="H2" s="3346" t="s">
        <v>3147</v>
      </c>
      <c r="I2" s="3346"/>
      <c r="J2" s="3346"/>
      <c r="K2" s="3346"/>
      <c r="M2" s="3346" t="s">
        <v>3150</v>
      </c>
      <c r="N2" s="3346"/>
      <c r="O2" s="3346"/>
      <c r="P2" s="3346"/>
      <c r="R2" s="3346" t="s">
        <v>3151</v>
      </c>
      <c r="S2" s="3346"/>
      <c r="T2" s="3346"/>
      <c r="U2" s="3346"/>
    </row>
    <row r="3" spans="3:21">
      <c r="C3" s="2959" t="s">
        <v>3139</v>
      </c>
      <c r="D3" s="2959" t="s">
        <v>3140</v>
      </c>
      <c r="E3" s="2959" t="s">
        <v>3141</v>
      </c>
      <c r="F3" s="2959" t="s">
        <v>3142</v>
      </c>
      <c r="H3" s="2959" t="s">
        <v>3139</v>
      </c>
      <c r="I3" s="2959" t="s">
        <v>3140</v>
      </c>
      <c r="J3" s="2959" t="s">
        <v>3141</v>
      </c>
      <c r="K3" s="2959" t="s">
        <v>3142</v>
      </c>
      <c r="M3" s="2959" t="s">
        <v>3139</v>
      </c>
      <c r="N3" s="2959" t="s">
        <v>3140</v>
      </c>
      <c r="O3" s="2959" t="s">
        <v>3141</v>
      </c>
      <c r="P3" s="2959" t="s">
        <v>3142</v>
      </c>
      <c r="R3" s="2959" t="s">
        <v>3139</v>
      </c>
      <c r="S3" s="2959" t="s">
        <v>3140</v>
      </c>
      <c r="T3" s="2959" t="s">
        <v>3141</v>
      </c>
      <c r="U3" s="2959" t="s">
        <v>3142</v>
      </c>
    </row>
    <row r="4" spans="3:21">
      <c r="C4" s="2959">
        <v>1</v>
      </c>
      <c r="D4" s="2960">
        <v>101</v>
      </c>
      <c r="E4" s="2960">
        <v>97.44</v>
      </c>
      <c r="F4" s="2959" t="s">
        <v>3143</v>
      </c>
      <c r="H4" s="2960">
        <v>-1</v>
      </c>
      <c r="I4" s="2960">
        <v>-101</v>
      </c>
      <c r="J4" s="2960">
        <v>57.27</v>
      </c>
      <c r="K4" s="2959" t="s">
        <v>3148</v>
      </c>
      <c r="M4" s="2960">
        <v>-1</v>
      </c>
      <c r="N4" s="2960">
        <v>-101</v>
      </c>
      <c r="O4" s="2960">
        <v>38.96</v>
      </c>
      <c r="P4" s="2959" t="s">
        <v>3148</v>
      </c>
      <c r="R4" s="2960">
        <v>2</v>
      </c>
      <c r="S4" s="2960">
        <v>201</v>
      </c>
      <c r="T4" s="2960">
        <v>144.26</v>
      </c>
      <c r="U4" s="2959" t="s">
        <v>3143</v>
      </c>
    </row>
    <row r="5" spans="3:21">
      <c r="C5" s="2959">
        <v>1</v>
      </c>
      <c r="D5" s="2960">
        <v>102</v>
      </c>
      <c r="E5" s="2960">
        <v>557.9</v>
      </c>
      <c r="F5" s="2959" t="s">
        <v>3144</v>
      </c>
      <c r="H5" s="2960">
        <v>-1</v>
      </c>
      <c r="I5" s="2960">
        <v>-102</v>
      </c>
      <c r="J5" s="2960">
        <v>73.209999999999994</v>
      </c>
      <c r="K5" s="2959" t="s">
        <v>3148</v>
      </c>
      <c r="M5" s="2960">
        <v>-1</v>
      </c>
      <c r="N5" s="2960">
        <v>-102</v>
      </c>
      <c r="O5" s="2960">
        <v>52.75</v>
      </c>
      <c r="P5" s="2959" t="s">
        <v>3148</v>
      </c>
      <c r="R5" s="2960">
        <v>2</v>
      </c>
      <c r="S5" s="2960">
        <v>202</v>
      </c>
      <c r="T5" s="2960">
        <v>109.32</v>
      </c>
      <c r="U5" s="2959" t="s">
        <v>3143</v>
      </c>
    </row>
    <row r="6" spans="3:21">
      <c r="C6" s="2959">
        <v>1</v>
      </c>
      <c r="D6" s="2960">
        <v>103</v>
      </c>
      <c r="E6" s="2960">
        <v>97.44</v>
      </c>
      <c r="F6" s="2959" t="s">
        <v>3143</v>
      </c>
      <c r="H6" s="2960">
        <v>-1</v>
      </c>
      <c r="I6" s="2960">
        <v>-103</v>
      </c>
      <c r="J6" s="2960">
        <v>106.67</v>
      </c>
      <c r="K6" s="2959" t="s">
        <v>3148</v>
      </c>
      <c r="M6" s="2960">
        <v>-1</v>
      </c>
      <c r="N6" s="2960">
        <v>-103</v>
      </c>
      <c r="O6" s="2960">
        <v>67.61</v>
      </c>
      <c r="P6" s="2959" t="s">
        <v>3148</v>
      </c>
      <c r="R6" s="2960">
        <v>2</v>
      </c>
      <c r="S6" s="2960">
        <v>203</v>
      </c>
      <c r="T6" s="2960">
        <v>109.32</v>
      </c>
      <c r="U6" s="2959" t="s">
        <v>3143</v>
      </c>
    </row>
    <row r="7" spans="3:21">
      <c r="C7" s="2959">
        <v>2</v>
      </c>
      <c r="D7" s="2960">
        <v>201</v>
      </c>
      <c r="E7" s="2960">
        <v>119.95</v>
      </c>
      <c r="F7" s="2959" t="s">
        <v>3144</v>
      </c>
      <c r="H7" s="2960">
        <v>-1</v>
      </c>
      <c r="I7" s="2960">
        <v>-104</v>
      </c>
      <c r="J7" s="2960">
        <v>41.47</v>
      </c>
      <c r="K7" s="2959" t="s">
        <v>3148</v>
      </c>
      <c r="M7" s="2960">
        <v>-1</v>
      </c>
      <c r="N7" s="2960">
        <v>-104</v>
      </c>
      <c r="O7" s="2960">
        <v>44.76</v>
      </c>
      <c r="P7" s="2959" t="s">
        <v>3148</v>
      </c>
      <c r="R7" s="2960">
        <v>2</v>
      </c>
      <c r="S7" s="2960">
        <v>204</v>
      </c>
      <c r="T7" s="2960">
        <v>144.26</v>
      </c>
      <c r="U7" s="2959" t="s">
        <v>3143</v>
      </c>
    </row>
    <row r="8" spans="3:21">
      <c r="C8" s="2959">
        <v>2</v>
      </c>
      <c r="D8" s="2960">
        <v>202</v>
      </c>
      <c r="E8" s="2960">
        <v>119.95</v>
      </c>
      <c r="F8" s="2959" t="s">
        <v>3143</v>
      </c>
      <c r="H8" s="2960">
        <v>-1</v>
      </c>
      <c r="I8" s="2960">
        <v>-105</v>
      </c>
      <c r="J8" s="2960">
        <v>82.66</v>
      </c>
      <c r="K8" s="2959" t="s">
        <v>3148</v>
      </c>
      <c r="M8" s="2960">
        <v>-1</v>
      </c>
      <c r="N8" s="2960">
        <v>-105</v>
      </c>
      <c r="O8" s="2960">
        <v>83.29</v>
      </c>
      <c r="P8" s="2959" t="s">
        <v>3148</v>
      </c>
      <c r="R8" s="2960">
        <v>3</v>
      </c>
      <c r="S8" s="2960">
        <v>301</v>
      </c>
      <c r="T8" s="2960">
        <v>144.26</v>
      </c>
      <c r="U8" s="2959" t="s">
        <v>3143</v>
      </c>
    </row>
    <row r="9" spans="3:21">
      <c r="C9" s="2959">
        <v>3</v>
      </c>
      <c r="D9" s="2960">
        <v>301</v>
      </c>
      <c r="E9" s="2960">
        <v>123.3</v>
      </c>
      <c r="F9" s="2959" t="s">
        <v>3144</v>
      </c>
      <c r="H9" s="2960">
        <v>-1</v>
      </c>
      <c r="I9" s="2960">
        <v>-106</v>
      </c>
      <c r="J9" s="2960">
        <v>54.3</v>
      </c>
      <c r="K9" s="2959" t="s">
        <v>3148</v>
      </c>
      <c r="M9" s="2960">
        <v>-1</v>
      </c>
      <c r="N9" s="2960">
        <v>-106</v>
      </c>
      <c r="O9" s="2960">
        <v>105.76</v>
      </c>
      <c r="P9" s="2959" t="s">
        <v>3148</v>
      </c>
      <c r="R9" s="3016">
        <v>3</v>
      </c>
      <c r="S9" s="3016">
        <v>302</v>
      </c>
      <c r="T9" s="3016">
        <v>109.32</v>
      </c>
      <c r="U9" s="2961" t="s">
        <v>3387</v>
      </c>
    </row>
    <row r="10" spans="3:21">
      <c r="C10" s="2959">
        <v>3</v>
      </c>
      <c r="D10" s="2960">
        <v>302</v>
      </c>
      <c r="E10" s="2960">
        <v>123.3</v>
      </c>
      <c r="F10" s="2959" t="s">
        <v>3143</v>
      </c>
      <c r="H10" s="2960">
        <v>-1</v>
      </c>
      <c r="I10" s="2960">
        <v>-107</v>
      </c>
      <c r="J10" s="2960">
        <v>48.1</v>
      </c>
      <c r="K10" s="2959" t="s">
        <v>3148</v>
      </c>
      <c r="M10" s="2960">
        <v>-1</v>
      </c>
      <c r="N10" s="2960">
        <v>-107</v>
      </c>
      <c r="O10" s="2960">
        <v>104.24</v>
      </c>
      <c r="P10" s="2959" t="s">
        <v>3148</v>
      </c>
      <c r="R10" s="2960">
        <v>3</v>
      </c>
      <c r="S10" s="2960">
        <v>303</v>
      </c>
      <c r="T10" s="2960">
        <v>109.32</v>
      </c>
      <c r="U10" s="2959" t="s">
        <v>3143</v>
      </c>
    </row>
    <row r="11" spans="3:21">
      <c r="C11" s="2959">
        <v>4</v>
      </c>
      <c r="D11" s="2960">
        <v>401</v>
      </c>
      <c r="E11" s="2960">
        <v>123.43</v>
      </c>
      <c r="F11" s="2959" t="s">
        <v>3144</v>
      </c>
      <c r="H11" s="2960">
        <v>-1</v>
      </c>
      <c r="I11" s="2960">
        <v>-108</v>
      </c>
      <c r="J11" s="2960">
        <v>63.38</v>
      </c>
      <c r="K11" s="2959" t="s">
        <v>3148</v>
      </c>
      <c r="M11" s="2960">
        <v>-1</v>
      </c>
      <c r="N11" s="2960">
        <v>-108</v>
      </c>
      <c r="O11" s="2960">
        <v>128.59</v>
      </c>
      <c r="P11" s="2959" t="s">
        <v>3148</v>
      </c>
      <c r="R11" s="2960">
        <v>3</v>
      </c>
      <c r="S11" s="2960">
        <v>304</v>
      </c>
      <c r="T11" s="2960">
        <v>144.26</v>
      </c>
      <c r="U11" s="2959" t="s">
        <v>3143</v>
      </c>
    </row>
    <row r="12" spans="3:21">
      <c r="C12" s="2959">
        <v>4</v>
      </c>
      <c r="D12" s="2960">
        <v>402</v>
      </c>
      <c r="E12" s="2960">
        <v>123.43</v>
      </c>
      <c r="F12" s="2959" t="s">
        <v>3143</v>
      </c>
      <c r="H12" s="2960">
        <v>-1</v>
      </c>
      <c r="I12" s="2960">
        <v>-109</v>
      </c>
      <c r="J12" s="2960">
        <v>102.66</v>
      </c>
      <c r="K12" s="2959" t="s">
        <v>3148</v>
      </c>
      <c r="M12" s="2960">
        <v>1</v>
      </c>
      <c r="N12" s="2960">
        <v>101</v>
      </c>
      <c r="O12" s="2960">
        <v>137.91999999999999</v>
      </c>
      <c r="P12" s="2959" t="s">
        <v>3143</v>
      </c>
      <c r="R12" s="2959">
        <v>4</v>
      </c>
      <c r="S12" s="2960">
        <v>401</v>
      </c>
      <c r="T12" s="2960">
        <v>144.26</v>
      </c>
      <c r="U12" s="2959" t="s">
        <v>3143</v>
      </c>
    </row>
    <row r="13" spans="3:21">
      <c r="C13" s="2959">
        <v>4</v>
      </c>
      <c r="D13" s="2960">
        <v>403</v>
      </c>
      <c r="E13" s="2960">
        <v>100.56</v>
      </c>
      <c r="F13" s="2959" t="s">
        <v>3144</v>
      </c>
      <c r="H13" s="3016">
        <v>1</v>
      </c>
      <c r="I13" s="3016">
        <v>101</v>
      </c>
      <c r="J13" s="3016">
        <v>118.86</v>
      </c>
      <c r="K13" s="2961" t="s">
        <v>3388</v>
      </c>
      <c r="M13" s="2960">
        <v>1</v>
      </c>
      <c r="N13" s="2960">
        <v>102</v>
      </c>
      <c r="O13" s="2960">
        <v>109.24</v>
      </c>
      <c r="P13" s="2959" t="s">
        <v>3143</v>
      </c>
      <c r="R13" s="2959">
        <v>4</v>
      </c>
      <c r="S13" s="2960">
        <v>402</v>
      </c>
      <c r="T13" s="2960">
        <v>109.32</v>
      </c>
      <c r="U13" s="2959" t="s">
        <v>3143</v>
      </c>
    </row>
    <row r="14" spans="3:21">
      <c r="C14" s="2959">
        <v>4</v>
      </c>
      <c r="D14" s="2960">
        <v>404</v>
      </c>
      <c r="E14" s="2960">
        <v>100.56</v>
      </c>
      <c r="F14" s="2959" t="s">
        <v>3143</v>
      </c>
      <c r="H14" s="3016">
        <v>1</v>
      </c>
      <c r="I14" s="3016">
        <v>102</v>
      </c>
      <c r="J14" s="3016">
        <v>118.86</v>
      </c>
      <c r="K14" s="2961" t="s">
        <v>3388</v>
      </c>
      <c r="M14" s="3016">
        <v>1</v>
      </c>
      <c r="N14" s="3016">
        <v>103</v>
      </c>
      <c r="O14" s="3016">
        <v>109.24</v>
      </c>
      <c r="P14" s="2961" t="s">
        <v>3387</v>
      </c>
      <c r="R14" s="2959">
        <v>4</v>
      </c>
      <c r="S14" s="2960">
        <v>403</v>
      </c>
      <c r="T14" s="2960">
        <v>109.32</v>
      </c>
      <c r="U14" s="2959" t="s">
        <v>3143</v>
      </c>
    </row>
    <row r="15" spans="3:21">
      <c r="C15" s="2960">
        <v>5</v>
      </c>
      <c r="D15" s="2960">
        <v>501</v>
      </c>
      <c r="E15" s="2960">
        <v>123.43</v>
      </c>
      <c r="F15" s="2959" t="s">
        <v>3144</v>
      </c>
      <c r="H15" s="3016">
        <v>1</v>
      </c>
      <c r="I15" s="3016">
        <v>103</v>
      </c>
      <c r="J15" s="3016">
        <v>99.69</v>
      </c>
      <c r="K15" s="2961" t="s">
        <v>3388</v>
      </c>
      <c r="M15" s="2960">
        <v>1</v>
      </c>
      <c r="N15" s="2960">
        <v>104</v>
      </c>
      <c r="O15" s="2960">
        <v>137.91999999999999</v>
      </c>
      <c r="P15" s="2959" t="s">
        <v>3143</v>
      </c>
      <c r="R15" s="2959">
        <v>4</v>
      </c>
      <c r="S15" s="2960">
        <v>404</v>
      </c>
      <c r="T15" s="2960">
        <v>144.26</v>
      </c>
      <c r="U15" s="2959" t="s">
        <v>3143</v>
      </c>
    </row>
    <row r="16" spans="3:21">
      <c r="C16" s="2960">
        <v>5</v>
      </c>
      <c r="D16" s="2960">
        <v>502</v>
      </c>
      <c r="E16" s="2960">
        <v>123.43</v>
      </c>
      <c r="F16" s="2959" t="s">
        <v>3143</v>
      </c>
      <c r="H16" s="3016">
        <v>1</v>
      </c>
      <c r="I16" s="3016">
        <v>104</v>
      </c>
      <c r="J16" s="3016">
        <v>99.69</v>
      </c>
      <c r="K16" s="2961" t="s">
        <v>3388</v>
      </c>
      <c r="M16" s="2960">
        <v>2</v>
      </c>
      <c r="N16" s="2960">
        <v>201</v>
      </c>
      <c r="O16" s="2960">
        <v>137.91999999999999</v>
      </c>
      <c r="P16" s="2959" t="s">
        <v>3143</v>
      </c>
      <c r="R16" s="2960">
        <v>5</v>
      </c>
      <c r="S16" s="2960">
        <v>501</v>
      </c>
      <c r="T16" s="2960">
        <v>144.26</v>
      </c>
      <c r="U16" s="2959" t="s">
        <v>3143</v>
      </c>
    </row>
    <row r="17" spans="3:21">
      <c r="C17" s="2960">
        <v>5</v>
      </c>
      <c r="D17" s="2960">
        <v>503</v>
      </c>
      <c r="E17" s="2960">
        <v>100.56</v>
      </c>
      <c r="F17" s="2959" t="s">
        <v>3144</v>
      </c>
      <c r="H17" s="3016">
        <v>2</v>
      </c>
      <c r="I17" s="3016">
        <v>201</v>
      </c>
      <c r="J17" s="3016">
        <v>119.04</v>
      </c>
      <c r="K17" s="2961" t="s">
        <v>3387</v>
      </c>
      <c r="M17" s="2960">
        <v>2</v>
      </c>
      <c r="N17" s="2960">
        <v>202</v>
      </c>
      <c r="O17" s="2960">
        <v>109.24</v>
      </c>
      <c r="P17" s="2959" t="s">
        <v>3143</v>
      </c>
      <c r="R17" s="2960">
        <v>5</v>
      </c>
      <c r="S17" s="2960">
        <v>502</v>
      </c>
      <c r="T17" s="2960">
        <v>109.32</v>
      </c>
      <c r="U17" s="2959" t="s">
        <v>3143</v>
      </c>
    </row>
    <row r="18" spans="3:21">
      <c r="C18" s="2960">
        <v>5</v>
      </c>
      <c r="D18" s="2960">
        <v>504</v>
      </c>
      <c r="E18" s="2960">
        <v>100.56</v>
      </c>
      <c r="F18" s="2959" t="s">
        <v>3143</v>
      </c>
      <c r="H18" s="2960">
        <v>2</v>
      </c>
      <c r="I18" s="2960">
        <v>202</v>
      </c>
      <c r="J18" s="2960">
        <v>119.04</v>
      </c>
      <c r="K18" s="2959" t="s">
        <v>3143</v>
      </c>
      <c r="M18" s="2960">
        <v>2</v>
      </c>
      <c r="N18" s="2960">
        <v>203</v>
      </c>
      <c r="O18" s="2960">
        <v>109.24</v>
      </c>
      <c r="P18" s="2959" t="s">
        <v>3143</v>
      </c>
      <c r="R18" s="2960">
        <v>5</v>
      </c>
      <c r="S18" s="2960">
        <v>503</v>
      </c>
      <c r="T18" s="2960">
        <v>109.32</v>
      </c>
      <c r="U18" s="2959" t="s">
        <v>3143</v>
      </c>
    </row>
    <row r="19" spans="3:21">
      <c r="C19" s="2960">
        <v>6</v>
      </c>
      <c r="D19" s="2960">
        <v>601</v>
      </c>
      <c r="E19" s="2960">
        <v>123.43</v>
      </c>
      <c r="F19" s="2959" t="s">
        <v>3144</v>
      </c>
      <c r="H19" s="3016">
        <v>2</v>
      </c>
      <c r="I19" s="3016">
        <v>203</v>
      </c>
      <c r="J19" s="3016">
        <v>99.69</v>
      </c>
      <c r="K19" s="2961" t="s">
        <v>3387</v>
      </c>
      <c r="M19" s="2960">
        <v>2</v>
      </c>
      <c r="N19" s="2960">
        <v>204</v>
      </c>
      <c r="O19" s="2960">
        <v>137.91999999999999</v>
      </c>
      <c r="P19" s="2959" t="s">
        <v>3143</v>
      </c>
      <c r="R19" s="2960">
        <v>5</v>
      </c>
      <c r="S19" s="2960">
        <v>504</v>
      </c>
      <c r="T19" s="2960">
        <v>144.26</v>
      </c>
      <c r="U19" s="2959" t="s">
        <v>3143</v>
      </c>
    </row>
    <row r="20" spans="3:21">
      <c r="C20" s="2960">
        <v>6</v>
      </c>
      <c r="D20" s="2960">
        <v>602</v>
      </c>
      <c r="E20" s="2960">
        <v>123.43</v>
      </c>
      <c r="F20" s="2959" t="s">
        <v>3143</v>
      </c>
      <c r="H20" s="3016">
        <v>2</v>
      </c>
      <c r="I20" s="3016">
        <v>204</v>
      </c>
      <c r="J20" s="3016">
        <v>99.69</v>
      </c>
      <c r="K20" s="2961" t="s">
        <v>3387</v>
      </c>
      <c r="M20" s="2960">
        <v>3</v>
      </c>
      <c r="N20" s="2960">
        <v>301</v>
      </c>
      <c r="O20" s="2960">
        <v>137.91999999999999</v>
      </c>
      <c r="P20" s="2959" t="s">
        <v>3143</v>
      </c>
      <c r="R20" s="2960">
        <v>6</v>
      </c>
      <c r="S20" s="2960">
        <v>601</v>
      </c>
      <c r="T20" s="2960">
        <v>144.26</v>
      </c>
      <c r="U20" s="2959" t="s">
        <v>3143</v>
      </c>
    </row>
    <row r="21" spans="3:21">
      <c r="C21" s="2960">
        <v>6</v>
      </c>
      <c r="D21" s="2960">
        <v>603</v>
      </c>
      <c r="E21" s="2960">
        <v>100.56</v>
      </c>
      <c r="F21" s="2959" t="s">
        <v>3144</v>
      </c>
      <c r="H21" s="2960">
        <v>3</v>
      </c>
      <c r="I21" s="2960">
        <v>301</v>
      </c>
      <c r="J21" s="2960">
        <v>122.35</v>
      </c>
      <c r="K21" s="2959" t="s">
        <v>3143</v>
      </c>
      <c r="M21" s="2960">
        <v>3</v>
      </c>
      <c r="N21" s="2960">
        <v>302</v>
      </c>
      <c r="O21" s="2960">
        <v>109.24</v>
      </c>
      <c r="P21" s="2959" t="s">
        <v>3143</v>
      </c>
      <c r="R21" s="2960">
        <v>6</v>
      </c>
      <c r="S21" s="2960">
        <v>602</v>
      </c>
      <c r="T21" s="2960">
        <v>109.32</v>
      </c>
      <c r="U21" s="2959" t="s">
        <v>3143</v>
      </c>
    </row>
    <row r="22" spans="3:21">
      <c r="C22" s="3016">
        <v>6</v>
      </c>
      <c r="D22" s="3016">
        <v>604</v>
      </c>
      <c r="E22" s="3016">
        <v>100.56</v>
      </c>
      <c r="F22" s="2961" t="s">
        <v>3387</v>
      </c>
      <c r="H22" s="2960">
        <v>3</v>
      </c>
      <c r="I22" s="2960">
        <v>302</v>
      </c>
      <c r="J22" s="2960">
        <v>122.35</v>
      </c>
      <c r="K22" s="2959" t="s">
        <v>3143</v>
      </c>
      <c r="M22" s="2960">
        <v>3</v>
      </c>
      <c r="N22" s="2960">
        <v>303</v>
      </c>
      <c r="O22" s="2960">
        <v>109.24</v>
      </c>
      <c r="P22" s="2959" t="s">
        <v>3143</v>
      </c>
      <c r="R22" s="2960">
        <v>6</v>
      </c>
      <c r="S22" s="2960">
        <v>603</v>
      </c>
      <c r="T22" s="2960">
        <v>109.32</v>
      </c>
      <c r="U22" s="2959" t="s">
        <v>3143</v>
      </c>
    </row>
    <row r="23" spans="3:21">
      <c r="C23" s="2960">
        <v>7</v>
      </c>
      <c r="D23" s="2960">
        <v>701</v>
      </c>
      <c r="E23" s="2960">
        <v>123.43</v>
      </c>
      <c r="F23" s="2959" t="s">
        <v>3144</v>
      </c>
      <c r="H23" s="2960">
        <v>3</v>
      </c>
      <c r="I23" s="2960">
        <v>303</v>
      </c>
      <c r="J23" s="2960">
        <v>99.69</v>
      </c>
      <c r="K23" s="2959" t="s">
        <v>3143</v>
      </c>
      <c r="M23" s="2960">
        <v>3</v>
      </c>
      <c r="N23" s="2960">
        <v>304</v>
      </c>
      <c r="O23" s="2960">
        <v>137.91999999999999</v>
      </c>
      <c r="P23" s="2959" t="s">
        <v>3143</v>
      </c>
      <c r="R23" s="2960">
        <v>6</v>
      </c>
      <c r="S23" s="2960">
        <v>604</v>
      </c>
      <c r="T23" s="2960">
        <v>144.26</v>
      </c>
      <c r="U23" s="2959" t="s">
        <v>3143</v>
      </c>
    </row>
    <row r="24" spans="3:21">
      <c r="C24" s="2960">
        <v>7</v>
      </c>
      <c r="D24" s="2960">
        <v>702</v>
      </c>
      <c r="E24" s="2960">
        <v>123.43</v>
      </c>
      <c r="F24" s="2959" t="s">
        <v>3143</v>
      </c>
      <c r="H24" s="3016">
        <v>3</v>
      </c>
      <c r="I24" s="3016">
        <v>304</v>
      </c>
      <c r="J24" s="3016">
        <v>99.69</v>
      </c>
      <c r="K24" s="2961" t="s">
        <v>3387</v>
      </c>
      <c r="M24" s="2959">
        <v>4</v>
      </c>
      <c r="N24" s="2960">
        <v>401</v>
      </c>
      <c r="O24" s="2960">
        <v>137.91999999999999</v>
      </c>
      <c r="P24" s="2959" t="s">
        <v>3143</v>
      </c>
      <c r="R24" s="2960">
        <v>7</v>
      </c>
      <c r="S24" s="2960">
        <v>701</v>
      </c>
      <c r="T24" s="2960">
        <v>144.26</v>
      </c>
      <c r="U24" s="2959" t="s">
        <v>3143</v>
      </c>
    </row>
    <row r="25" spans="3:21">
      <c r="C25" s="2960">
        <v>7</v>
      </c>
      <c r="D25" s="2960">
        <v>703</v>
      </c>
      <c r="E25" s="2960">
        <v>100.56</v>
      </c>
      <c r="F25" s="2959" t="s">
        <v>3144</v>
      </c>
      <c r="H25" s="2959">
        <v>4</v>
      </c>
      <c r="I25" s="2960">
        <v>401</v>
      </c>
      <c r="J25" s="2960">
        <v>122.35</v>
      </c>
      <c r="K25" s="2959" t="s">
        <v>3143</v>
      </c>
      <c r="M25" s="2959">
        <v>4</v>
      </c>
      <c r="N25" s="2960">
        <v>402</v>
      </c>
      <c r="O25" s="2960">
        <v>109.24</v>
      </c>
      <c r="P25" s="2959" t="s">
        <v>3143</v>
      </c>
      <c r="R25" s="3016">
        <v>7</v>
      </c>
      <c r="S25" s="3016">
        <v>702</v>
      </c>
      <c r="T25" s="3016">
        <v>109.32</v>
      </c>
      <c r="U25" s="2961" t="s">
        <v>3387</v>
      </c>
    </row>
    <row r="26" spans="3:21">
      <c r="C26" s="2960">
        <v>7</v>
      </c>
      <c r="D26" s="2960">
        <v>704</v>
      </c>
      <c r="E26" s="2960">
        <v>100.56</v>
      </c>
      <c r="F26" s="2959" t="s">
        <v>3143</v>
      </c>
      <c r="H26" s="2959">
        <v>4</v>
      </c>
      <c r="I26" s="2960">
        <v>402</v>
      </c>
      <c r="J26" s="2960">
        <v>122.35</v>
      </c>
      <c r="K26" s="2959" t="s">
        <v>3143</v>
      </c>
      <c r="M26" s="2959">
        <v>4</v>
      </c>
      <c r="N26" s="2960">
        <v>403</v>
      </c>
      <c r="O26" s="2960">
        <v>109.24</v>
      </c>
      <c r="P26" s="2959" t="s">
        <v>3143</v>
      </c>
      <c r="R26" s="2960">
        <v>7</v>
      </c>
      <c r="S26" s="2960">
        <v>703</v>
      </c>
      <c r="T26" s="2960">
        <v>109.32</v>
      </c>
      <c r="U26" s="2959" t="s">
        <v>3143</v>
      </c>
    </row>
    <row r="27" spans="3:21">
      <c r="C27" s="2960">
        <v>8</v>
      </c>
      <c r="D27" s="2960">
        <v>801</v>
      </c>
      <c r="E27" s="2960">
        <v>123.43</v>
      </c>
      <c r="F27" s="2959" t="s">
        <v>3144</v>
      </c>
      <c r="H27" s="2959">
        <v>4</v>
      </c>
      <c r="I27" s="2960">
        <v>403</v>
      </c>
      <c r="J27" s="2960">
        <v>99.69</v>
      </c>
      <c r="K27" s="2959" t="s">
        <v>3143</v>
      </c>
      <c r="M27" s="2959">
        <v>4</v>
      </c>
      <c r="N27" s="2960">
        <v>404</v>
      </c>
      <c r="O27" s="2960">
        <v>137.91999999999999</v>
      </c>
      <c r="P27" s="2959" t="s">
        <v>3143</v>
      </c>
      <c r="R27" s="2960">
        <v>7</v>
      </c>
      <c r="S27" s="2960">
        <v>704</v>
      </c>
      <c r="T27" s="2960">
        <v>144.26</v>
      </c>
      <c r="U27" s="2959" t="s">
        <v>3143</v>
      </c>
    </row>
    <row r="28" spans="3:21">
      <c r="C28" s="2960">
        <v>8</v>
      </c>
      <c r="D28" s="2960">
        <v>802</v>
      </c>
      <c r="E28" s="2960">
        <v>123.43</v>
      </c>
      <c r="F28" s="2959" t="s">
        <v>3143</v>
      </c>
      <c r="H28" s="2959">
        <v>4</v>
      </c>
      <c r="I28" s="2960">
        <v>404</v>
      </c>
      <c r="J28" s="2960">
        <v>99.69</v>
      </c>
      <c r="K28" s="2959" t="s">
        <v>3143</v>
      </c>
      <c r="M28" s="2960">
        <v>5</v>
      </c>
      <c r="N28" s="2960">
        <v>501</v>
      </c>
      <c r="O28" s="2960">
        <v>137.91999999999999</v>
      </c>
      <c r="P28" s="2959" t="s">
        <v>3143</v>
      </c>
      <c r="R28" s="2960">
        <v>8</v>
      </c>
      <c r="S28" s="2960">
        <v>801</v>
      </c>
      <c r="T28" s="2960">
        <v>144.26</v>
      </c>
      <c r="U28" s="2959" t="s">
        <v>3143</v>
      </c>
    </row>
    <row r="29" spans="3:21">
      <c r="C29" s="2960">
        <v>8</v>
      </c>
      <c r="D29" s="2960">
        <v>803</v>
      </c>
      <c r="E29" s="2960">
        <v>100.56</v>
      </c>
      <c r="F29" s="2959" t="s">
        <v>3144</v>
      </c>
      <c r="H29" s="2960">
        <v>5</v>
      </c>
      <c r="I29" s="2960">
        <v>501</v>
      </c>
      <c r="J29" s="2960">
        <v>122.35</v>
      </c>
      <c r="K29" s="2959" t="s">
        <v>3143</v>
      </c>
      <c r="M29" s="2960">
        <v>5</v>
      </c>
      <c r="N29" s="2960">
        <v>502</v>
      </c>
      <c r="O29" s="2960">
        <v>109.24</v>
      </c>
      <c r="P29" s="2959" t="s">
        <v>3143</v>
      </c>
      <c r="R29" s="2960">
        <v>8</v>
      </c>
      <c r="S29" s="2960">
        <v>802</v>
      </c>
      <c r="T29" s="2960">
        <v>109.32</v>
      </c>
      <c r="U29" s="2959" t="s">
        <v>3143</v>
      </c>
    </row>
    <row r="30" spans="3:21">
      <c r="C30" s="2960">
        <v>8</v>
      </c>
      <c r="D30" s="2960">
        <v>804</v>
      </c>
      <c r="E30" s="2960">
        <v>100.56</v>
      </c>
      <c r="F30" s="2959" t="s">
        <v>3143</v>
      </c>
      <c r="H30" s="2960">
        <v>5</v>
      </c>
      <c r="I30" s="2960">
        <v>502</v>
      </c>
      <c r="J30" s="2960">
        <v>122.35</v>
      </c>
      <c r="K30" s="2959" t="s">
        <v>3143</v>
      </c>
      <c r="M30" s="3016">
        <v>5</v>
      </c>
      <c r="N30" s="3016">
        <v>503</v>
      </c>
      <c r="O30" s="3016">
        <v>109.24</v>
      </c>
      <c r="P30" s="2961" t="s">
        <v>3387</v>
      </c>
      <c r="R30" s="3016">
        <v>8</v>
      </c>
      <c r="S30" s="3016">
        <v>803</v>
      </c>
      <c r="T30" s="3016">
        <v>109.32</v>
      </c>
      <c r="U30" s="2961" t="s">
        <v>3387</v>
      </c>
    </row>
    <row r="31" spans="3:21">
      <c r="C31" s="2960">
        <v>9</v>
      </c>
      <c r="D31" s="2960">
        <v>901</v>
      </c>
      <c r="E31" s="2960">
        <v>123.43</v>
      </c>
      <c r="F31" s="2959" t="s">
        <v>3144</v>
      </c>
      <c r="H31" s="3016">
        <v>5</v>
      </c>
      <c r="I31" s="3016">
        <v>503</v>
      </c>
      <c r="J31" s="3016">
        <v>99.69</v>
      </c>
      <c r="K31" s="2961" t="s">
        <v>3387</v>
      </c>
      <c r="M31" s="2960">
        <v>5</v>
      </c>
      <c r="N31" s="2960">
        <v>504</v>
      </c>
      <c r="O31" s="2960">
        <v>137.91999999999999</v>
      </c>
      <c r="P31" s="2959" t="s">
        <v>3143</v>
      </c>
      <c r="R31" s="2960">
        <v>8</v>
      </c>
      <c r="S31" s="2960">
        <v>804</v>
      </c>
      <c r="T31" s="2960">
        <v>144.26</v>
      </c>
      <c r="U31" s="2959" t="s">
        <v>3143</v>
      </c>
    </row>
    <row r="32" spans="3:21">
      <c r="C32" s="2960">
        <v>9</v>
      </c>
      <c r="D32" s="2960">
        <v>902</v>
      </c>
      <c r="E32" s="2960">
        <v>123.43</v>
      </c>
      <c r="F32" s="2959" t="s">
        <v>3143</v>
      </c>
      <c r="H32" s="3016">
        <v>5</v>
      </c>
      <c r="I32" s="3016">
        <v>504</v>
      </c>
      <c r="J32" s="3016">
        <v>99.69</v>
      </c>
      <c r="K32" s="2961" t="s">
        <v>3387</v>
      </c>
      <c r="M32" s="2960">
        <v>6</v>
      </c>
      <c r="N32" s="2960">
        <v>601</v>
      </c>
      <c r="O32" s="2960">
        <v>137.91999999999999</v>
      </c>
      <c r="P32" s="2959" t="s">
        <v>3143</v>
      </c>
      <c r="R32" s="2960">
        <v>9</v>
      </c>
      <c r="S32" s="2960">
        <v>901</v>
      </c>
      <c r="T32" s="2960">
        <v>144.26</v>
      </c>
      <c r="U32" s="2959" t="s">
        <v>3143</v>
      </c>
    </row>
    <row r="33" spans="3:21">
      <c r="C33" s="2960">
        <v>9</v>
      </c>
      <c r="D33" s="2960">
        <v>903</v>
      </c>
      <c r="E33" s="2960">
        <v>100.56</v>
      </c>
      <c r="F33" s="2959" t="s">
        <v>3144</v>
      </c>
      <c r="H33" s="3016">
        <v>6</v>
      </c>
      <c r="I33" s="3016">
        <v>601</v>
      </c>
      <c r="J33" s="3016">
        <v>122.35</v>
      </c>
      <c r="K33" s="2961" t="s">
        <v>3387</v>
      </c>
      <c r="M33" s="2960">
        <v>6</v>
      </c>
      <c r="N33" s="2960">
        <v>602</v>
      </c>
      <c r="O33" s="2960">
        <v>109.24</v>
      </c>
      <c r="P33" s="2959" t="s">
        <v>3143</v>
      </c>
      <c r="R33" s="2960">
        <v>9</v>
      </c>
      <c r="S33" s="2960">
        <v>902</v>
      </c>
      <c r="T33" s="2960">
        <v>109.32</v>
      </c>
      <c r="U33" s="2959" t="s">
        <v>3143</v>
      </c>
    </row>
    <row r="34" spans="3:21">
      <c r="C34" s="3016">
        <v>9</v>
      </c>
      <c r="D34" s="3016">
        <v>904</v>
      </c>
      <c r="E34" s="3016">
        <v>100.56</v>
      </c>
      <c r="F34" s="2961" t="s">
        <v>3387</v>
      </c>
      <c r="H34" s="2960">
        <v>6</v>
      </c>
      <c r="I34" s="2960">
        <v>602</v>
      </c>
      <c r="J34" s="2960">
        <v>122.35</v>
      </c>
      <c r="K34" s="2959" t="s">
        <v>3143</v>
      </c>
      <c r="M34" s="3016">
        <v>6</v>
      </c>
      <c r="N34" s="3016">
        <v>603</v>
      </c>
      <c r="O34" s="3016">
        <v>109.24</v>
      </c>
      <c r="P34" s="2961" t="s">
        <v>3387</v>
      </c>
      <c r="R34" s="3016">
        <v>9</v>
      </c>
      <c r="S34" s="3016">
        <v>903</v>
      </c>
      <c r="T34" s="3016">
        <v>109.32</v>
      </c>
      <c r="U34" s="2961" t="s">
        <v>3143</v>
      </c>
    </row>
    <row r="35" spans="3:21">
      <c r="C35" s="2960">
        <v>10</v>
      </c>
      <c r="D35" s="2960">
        <v>1001</v>
      </c>
      <c r="E35" s="2960">
        <v>123.43</v>
      </c>
      <c r="F35" s="2959" t="s">
        <v>3144</v>
      </c>
      <c r="H35" s="3016">
        <v>6</v>
      </c>
      <c r="I35" s="3016">
        <v>603</v>
      </c>
      <c r="J35" s="3016">
        <v>99.69</v>
      </c>
      <c r="K35" s="2961" t="s">
        <v>3387</v>
      </c>
      <c r="M35" s="2960">
        <v>6</v>
      </c>
      <c r="N35" s="2960">
        <v>604</v>
      </c>
      <c r="O35" s="2960">
        <v>137.91999999999999</v>
      </c>
      <c r="P35" s="2959" t="s">
        <v>3143</v>
      </c>
      <c r="R35" s="2960">
        <v>9</v>
      </c>
      <c r="S35" s="2960">
        <v>904</v>
      </c>
      <c r="T35" s="2960">
        <v>144.26</v>
      </c>
      <c r="U35" s="2959" t="s">
        <v>3143</v>
      </c>
    </row>
    <row r="36" spans="3:21">
      <c r="C36" s="2960">
        <v>10</v>
      </c>
      <c r="D36" s="2960">
        <v>1002</v>
      </c>
      <c r="E36" s="2960">
        <v>123.43</v>
      </c>
      <c r="F36" s="2959" t="s">
        <v>3143</v>
      </c>
      <c r="H36" s="3016">
        <v>6</v>
      </c>
      <c r="I36" s="3016">
        <v>604</v>
      </c>
      <c r="J36" s="3016">
        <v>99.69</v>
      </c>
      <c r="K36" s="2961" t="s">
        <v>3387</v>
      </c>
      <c r="M36" s="2960">
        <v>7</v>
      </c>
      <c r="N36" s="2960">
        <v>701</v>
      </c>
      <c r="O36" s="2960">
        <v>137.91999999999999</v>
      </c>
      <c r="P36" s="2959" t="s">
        <v>3143</v>
      </c>
      <c r="R36" s="2960">
        <v>10</v>
      </c>
      <c r="S36" s="2960">
        <v>1001</v>
      </c>
      <c r="T36" s="2960">
        <v>144.26</v>
      </c>
      <c r="U36" s="2959" t="s">
        <v>3143</v>
      </c>
    </row>
    <row r="37" spans="3:21">
      <c r="C37" s="2960">
        <v>10</v>
      </c>
      <c r="D37" s="2960">
        <v>1003</v>
      </c>
      <c r="E37" s="2960">
        <v>100.56</v>
      </c>
      <c r="F37" s="2959" t="s">
        <v>3144</v>
      </c>
      <c r="H37" s="3016">
        <v>7</v>
      </c>
      <c r="I37" s="3016">
        <v>701</v>
      </c>
      <c r="J37" s="3016">
        <v>122.35</v>
      </c>
      <c r="K37" s="2961" t="s">
        <v>3387</v>
      </c>
      <c r="M37" s="2960">
        <v>7</v>
      </c>
      <c r="N37" s="2960">
        <v>702</v>
      </c>
      <c r="O37" s="2960">
        <v>109.24</v>
      </c>
      <c r="P37" s="2959" t="s">
        <v>3143</v>
      </c>
      <c r="R37" s="2960">
        <v>10</v>
      </c>
      <c r="S37" s="2960">
        <v>1002</v>
      </c>
      <c r="T37" s="2960">
        <v>109.32</v>
      </c>
      <c r="U37" s="2959" t="s">
        <v>3143</v>
      </c>
    </row>
    <row r="38" spans="3:21">
      <c r="C38" s="2960">
        <v>10</v>
      </c>
      <c r="D38" s="2960">
        <v>1004</v>
      </c>
      <c r="E38" s="2960">
        <v>100.56</v>
      </c>
      <c r="F38" s="2959" t="s">
        <v>3143</v>
      </c>
      <c r="H38" s="2960">
        <v>7</v>
      </c>
      <c r="I38" s="2960">
        <v>702</v>
      </c>
      <c r="J38" s="2960">
        <v>122.35</v>
      </c>
      <c r="K38" s="2959" t="s">
        <v>3143</v>
      </c>
      <c r="M38" s="3016">
        <v>7</v>
      </c>
      <c r="N38" s="3016">
        <v>703</v>
      </c>
      <c r="O38" s="3016">
        <v>109.24</v>
      </c>
      <c r="P38" s="2961" t="s">
        <v>3387</v>
      </c>
      <c r="R38" s="3016">
        <v>10</v>
      </c>
      <c r="S38" s="3016">
        <v>1003</v>
      </c>
      <c r="T38" s="3016">
        <v>109.32</v>
      </c>
      <c r="U38" s="2961" t="s">
        <v>3387</v>
      </c>
    </row>
    <row r="39" spans="3:21">
      <c r="C39" s="2960">
        <v>11</v>
      </c>
      <c r="D39" s="2960">
        <v>1101</v>
      </c>
      <c r="E39" s="2960">
        <v>123.43</v>
      </c>
      <c r="F39" s="2959" t="s">
        <v>3144</v>
      </c>
      <c r="H39" s="3016">
        <v>7</v>
      </c>
      <c r="I39" s="3016">
        <v>703</v>
      </c>
      <c r="J39" s="3016">
        <v>99.69</v>
      </c>
      <c r="K39" s="2961" t="s">
        <v>3387</v>
      </c>
      <c r="M39" s="2960">
        <v>7</v>
      </c>
      <c r="N39" s="2960">
        <v>704</v>
      </c>
      <c r="O39" s="2960">
        <v>137.91999999999999</v>
      </c>
      <c r="P39" s="2959" t="s">
        <v>3143</v>
      </c>
      <c r="R39" s="2960">
        <v>10</v>
      </c>
      <c r="S39" s="2960">
        <v>1004</v>
      </c>
      <c r="T39" s="2960">
        <v>144.26</v>
      </c>
      <c r="U39" s="2959" t="s">
        <v>3143</v>
      </c>
    </row>
    <row r="40" spans="3:21">
      <c r="C40" s="2960">
        <v>11</v>
      </c>
      <c r="D40" s="2960">
        <v>1102</v>
      </c>
      <c r="E40" s="2960">
        <v>123.43</v>
      </c>
      <c r="F40" s="2959" t="s">
        <v>3143</v>
      </c>
      <c r="H40" s="3016">
        <v>7</v>
      </c>
      <c r="I40" s="3016">
        <v>704</v>
      </c>
      <c r="J40" s="3016">
        <v>99.69</v>
      </c>
      <c r="K40" s="2961" t="s">
        <v>3387</v>
      </c>
      <c r="M40" s="2960">
        <v>8</v>
      </c>
      <c r="N40" s="2960">
        <v>801</v>
      </c>
      <c r="O40" s="2960">
        <v>137.91999999999999</v>
      </c>
      <c r="P40" s="2959" t="s">
        <v>3143</v>
      </c>
      <c r="R40" s="2960">
        <v>11</v>
      </c>
      <c r="S40" s="2960">
        <v>1101</v>
      </c>
      <c r="T40" s="2960">
        <v>144.26</v>
      </c>
      <c r="U40" s="2959" t="s">
        <v>3143</v>
      </c>
    </row>
    <row r="41" spans="3:21">
      <c r="C41" s="2960">
        <v>11</v>
      </c>
      <c r="D41" s="2960">
        <v>1103</v>
      </c>
      <c r="E41" s="2960">
        <v>100.56</v>
      </c>
      <c r="F41" s="2959" t="s">
        <v>3144</v>
      </c>
      <c r="H41" s="3016">
        <v>8</v>
      </c>
      <c r="I41" s="3016">
        <v>801</v>
      </c>
      <c r="J41" s="3016">
        <v>122.35</v>
      </c>
      <c r="K41" s="2961" t="s">
        <v>3387</v>
      </c>
      <c r="M41" s="2960">
        <v>8</v>
      </c>
      <c r="N41" s="2960">
        <v>802</v>
      </c>
      <c r="O41" s="2960">
        <v>109.24</v>
      </c>
      <c r="P41" s="2959" t="s">
        <v>3143</v>
      </c>
      <c r="R41" s="2960">
        <v>11</v>
      </c>
      <c r="S41" s="2960">
        <v>1102</v>
      </c>
      <c r="T41" s="2960">
        <v>109.32</v>
      </c>
      <c r="U41" s="2959" t="s">
        <v>3143</v>
      </c>
    </row>
    <row r="42" spans="3:21">
      <c r="C42" s="3016">
        <v>11</v>
      </c>
      <c r="D42" s="3016">
        <v>1104</v>
      </c>
      <c r="E42" s="3016">
        <v>100.56</v>
      </c>
      <c r="F42" s="2961" t="s">
        <v>3143</v>
      </c>
      <c r="H42" s="2960">
        <v>8</v>
      </c>
      <c r="I42" s="2960">
        <v>802</v>
      </c>
      <c r="J42" s="2960">
        <v>122.35</v>
      </c>
      <c r="K42" s="2959" t="s">
        <v>3143</v>
      </c>
      <c r="M42" s="2960">
        <v>8</v>
      </c>
      <c r="N42" s="2960">
        <v>803</v>
      </c>
      <c r="O42" s="2960">
        <v>109.24</v>
      </c>
      <c r="P42" s="2959" t="s">
        <v>3143</v>
      </c>
      <c r="R42" s="3016">
        <v>11</v>
      </c>
      <c r="S42" s="3016">
        <v>1103</v>
      </c>
      <c r="T42" s="3016">
        <v>109.32</v>
      </c>
      <c r="U42" s="2961" t="s">
        <v>3387</v>
      </c>
    </row>
    <row r="43" spans="3:21">
      <c r="C43" s="2960">
        <v>12</v>
      </c>
      <c r="D43" s="2960">
        <v>1201</v>
      </c>
      <c r="E43" s="2960">
        <v>123.43</v>
      </c>
      <c r="F43" s="2959" t="s">
        <v>3144</v>
      </c>
      <c r="H43" s="3016">
        <v>8</v>
      </c>
      <c r="I43" s="3016">
        <v>803</v>
      </c>
      <c r="J43" s="3016">
        <v>99.69</v>
      </c>
      <c r="K43" s="2961" t="s">
        <v>3387</v>
      </c>
      <c r="M43" s="2960">
        <v>8</v>
      </c>
      <c r="N43" s="2960">
        <v>804</v>
      </c>
      <c r="O43" s="2960">
        <v>137.91999999999999</v>
      </c>
      <c r="P43" s="2959" t="s">
        <v>3143</v>
      </c>
      <c r="R43" s="2960">
        <v>11</v>
      </c>
      <c r="S43" s="2960">
        <v>1104</v>
      </c>
      <c r="T43" s="2960">
        <v>144.26</v>
      </c>
      <c r="U43" s="2959" t="s">
        <v>3143</v>
      </c>
    </row>
    <row r="44" spans="3:21">
      <c r="C44" s="3016">
        <v>12</v>
      </c>
      <c r="D44" s="3016">
        <v>1202</v>
      </c>
      <c r="E44" s="3016">
        <v>123.43</v>
      </c>
      <c r="F44" s="2961" t="s">
        <v>3143</v>
      </c>
      <c r="H44" s="3016">
        <v>8</v>
      </c>
      <c r="I44" s="3016">
        <v>804</v>
      </c>
      <c r="J44" s="3016">
        <v>99.69</v>
      </c>
      <c r="K44" s="2961" t="s">
        <v>3387</v>
      </c>
      <c r="M44" s="2960">
        <v>9</v>
      </c>
      <c r="N44" s="2960">
        <v>901</v>
      </c>
      <c r="O44" s="2960">
        <v>137.91999999999999</v>
      </c>
      <c r="P44" s="2959" t="s">
        <v>3143</v>
      </c>
      <c r="R44" s="2960">
        <v>12</v>
      </c>
      <c r="S44" s="2960">
        <v>1201</v>
      </c>
      <c r="T44" s="2960">
        <v>144.26</v>
      </c>
      <c r="U44" s="2959" t="s">
        <v>3143</v>
      </c>
    </row>
    <row r="45" spans="3:21">
      <c r="C45" s="2960">
        <v>12</v>
      </c>
      <c r="D45" s="2960">
        <v>1203</v>
      </c>
      <c r="E45" s="2960">
        <v>100.56</v>
      </c>
      <c r="F45" s="2959" t="s">
        <v>3144</v>
      </c>
      <c r="H45" s="2960">
        <v>9</v>
      </c>
      <c r="I45" s="2960">
        <v>901</v>
      </c>
      <c r="J45" s="2960">
        <v>122.35</v>
      </c>
      <c r="K45" s="2959" t="s">
        <v>3143</v>
      </c>
      <c r="M45" s="2960">
        <v>9</v>
      </c>
      <c r="N45" s="2960">
        <v>902</v>
      </c>
      <c r="O45" s="2960">
        <v>109.24</v>
      </c>
      <c r="P45" s="2959" t="s">
        <v>3143</v>
      </c>
      <c r="R45" s="3016">
        <v>12</v>
      </c>
      <c r="S45" s="3016">
        <v>1202</v>
      </c>
      <c r="T45" s="3016">
        <v>109.32</v>
      </c>
      <c r="U45" s="2961" t="s">
        <v>3387</v>
      </c>
    </row>
    <row r="46" spans="3:21">
      <c r="C46" s="3016">
        <v>12</v>
      </c>
      <c r="D46" s="3016">
        <v>1204</v>
      </c>
      <c r="E46" s="3016">
        <v>100.56</v>
      </c>
      <c r="F46" s="2961" t="s">
        <v>3143</v>
      </c>
      <c r="H46" s="2960">
        <v>9</v>
      </c>
      <c r="I46" s="2960">
        <v>902</v>
      </c>
      <c r="J46" s="2960">
        <v>122.35</v>
      </c>
      <c r="K46" s="2959" t="s">
        <v>3143</v>
      </c>
      <c r="M46" s="3016">
        <v>9</v>
      </c>
      <c r="N46" s="3016">
        <v>903</v>
      </c>
      <c r="O46" s="3016">
        <v>109.24</v>
      </c>
      <c r="P46" s="2961" t="s">
        <v>3387</v>
      </c>
      <c r="R46" s="3016">
        <v>12</v>
      </c>
      <c r="S46" s="3016">
        <v>1203</v>
      </c>
      <c r="T46" s="3016">
        <v>109.32</v>
      </c>
      <c r="U46" s="2961" t="s">
        <v>3387</v>
      </c>
    </row>
    <row r="47" spans="3:21">
      <c r="C47" s="2960">
        <v>13</v>
      </c>
      <c r="D47" s="2960">
        <v>1301</v>
      </c>
      <c r="E47" s="2960">
        <v>123.43</v>
      </c>
      <c r="F47" s="2959" t="s">
        <v>3144</v>
      </c>
      <c r="H47" s="3016">
        <v>9</v>
      </c>
      <c r="I47" s="3016">
        <v>903</v>
      </c>
      <c r="J47" s="3016">
        <v>99.69</v>
      </c>
      <c r="K47" s="2961" t="s">
        <v>3387</v>
      </c>
      <c r="M47" s="2960">
        <v>9</v>
      </c>
      <c r="N47" s="2960">
        <v>904</v>
      </c>
      <c r="O47" s="2960">
        <v>137.91999999999999</v>
      </c>
      <c r="P47" s="2959" t="s">
        <v>3143</v>
      </c>
      <c r="R47" s="2960">
        <v>12</v>
      </c>
      <c r="S47" s="2960">
        <v>1204</v>
      </c>
      <c r="T47" s="2960">
        <v>144.26</v>
      </c>
      <c r="U47" s="2959" t="s">
        <v>3143</v>
      </c>
    </row>
    <row r="48" spans="3:21">
      <c r="C48" s="2960">
        <v>13</v>
      </c>
      <c r="D48" s="2960">
        <v>1302</v>
      </c>
      <c r="E48" s="2960">
        <v>123.43</v>
      </c>
      <c r="F48" s="2959" t="s">
        <v>3143</v>
      </c>
      <c r="H48" s="3016">
        <v>9</v>
      </c>
      <c r="I48" s="3016">
        <v>904</v>
      </c>
      <c r="J48" s="3016">
        <v>99.69</v>
      </c>
      <c r="K48" s="2961" t="s">
        <v>3387</v>
      </c>
      <c r="M48" s="2960">
        <v>10</v>
      </c>
      <c r="N48" s="2960">
        <v>1001</v>
      </c>
      <c r="O48" s="2960">
        <v>137.91999999999999</v>
      </c>
      <c r="P48" s="2959" t="s">
        <v>3143</v>
      </c>
      <c r="R48" s="2960">
        <v>13</v>
      </c>
      <c r="S48" s="2960">
        <v>1301</v>
      </c>
      <c r="T48" s="2960">
        <v>144.26</v>
      </c>
      <c r="U48" s="2959" t="s">
        <v>3143</v>
      </c>
    </row>
    <row r="49" spans="3:21">
      <c r="C49" s="2960">
        <v>13</v>
      </c>
      <c r="D49" s="2960">
        <v>1303</v>
      </c>
      <c r="E49" s="2960">
        <v>100.56</v>
      </c>
      <c r="F49" s="2959" t="s">
        <v>3144</v>
      </c>
      <c r="H49" s="2960">
        <v>10</v>
      </c>
      <c r="I49" s="2960">
        <v>1001</v>
      </c>
      <c r="J49" s="2960">
        <v>122.35</v>
      </c>
      <c r="K49" s="2959" t="s">
        <v>3143</v>
      </c>
      <c r="M49" s="3016">
        <v>10</v>
      </c>
      <c r="N49" s="3016">
        <v>1002</v>
      </c>
      <c r="O49" s="3016">
        <v>109.24</v>
      </c>
      <c r="P49" s="2961" t="s">
        <v>3387</v>
      </c>
      <c r="R49" s="3016">
        <v>13</v>
      </c>
      <c r="S49" s="3016">
        <v>1302</v>
      </c>
      <c r="T49" s="3016">
        <v>109.32</v>
      </c>
      <c r="U49" s="2961" t="s">
        <v>3387</v>
      </c>
    </row>
    <row r="50" spans="3:21">
      <c r="C50" s="3016">
        <v>13</v>
      </c>
      <c r="D50" s="3016">
        <v>1304</v>
      </c>
      <c r="E50" s="3016">
        <v>100.56</v>
      </c>
      <c r="F50" s="2961" t="s">
        <v>3143</v>
      </c>
      <c r="H50" s="2960">
        <v>10</v>
      </c>
      <c r="I50" s="2960">
        <v>1002</v>
      </c>
      <c r="J50" s="2960">
        <v>122.35</v>
      </c>
      <c r="K50" s="2959" t="s">
        <v>3143</v>
      </c>
      <c r="M50" s="3016">
        <v>10</v>
      </c>
      <c r="N50" s="3016">
        <v>1003</v>
      </c>
      <c r="O50" s="3016">
        <v>109.24</v>
      </c>
      <c r="P50" s="2961" t="s">
        <v>3387</v>
      </c>
      <c r="R50" s="3016">
        <v>13</v>
      </c>
      <c r="S50" s="3016">
        <v>1303</v>
      </c>
      <c r="T50" s="3016">
        <v>109.32</v>
      </c>
      <c r="U50" s="2961" t="s">
        <v>3387</v>
      </c>
    </row>
    <row r="51" spans="3:21">
      <c r="C51" s="2960">
        <v>14</v>
      </c>
      <c r="D51" s="2960">
        <v>1401</v>
      </c>
      <c r="E51" s="2960">
        <v>123.43</v>
      </c>
      <c r="F51" s="2959" t="s">
        <v>3144</v>
      </c>
      <c r="H51" s="3016">
        <v>10</v>
      </c>
      <c r="I51" s="3016">
        <v>1003</v>
      </c>
      <c r="J51" s="3016">
        <v>99.69</v>
      </c>
      <c r="K51" s="2961" t="s">
        <v>3387</v>
      </c>
      <c r="M51" s="2960">
        <v>10</v>
      </c>
      <c r="N51" s="2960">
        <v>1004</v>
      </c>
      <c r="O51" s="2960">
        <v>137.91999999999999</v>
      </c>
      <c r="P51" s="2959" t="s">
        <v>3143</v>
      </c>
      <c r="R51" s="3016">
        <v>13</v>
      </c>
      <c r="S51" s="3016">
        <v>1304</v>
      </c>
      <c r="T51" s="3016">
        <v>144.26</v>
      </c>
      <c r="U51" s="2961" t="s">
        <v>3387</v>
      </c>
    </row>
    <row r="52" spans="3:21">
      <c r="C52" s="2960">
        <v>14</v>
      </c>
      <c r="D52" s="2960">
        <v>1402</v>
      </c>
      <c r="E52" s="2960">
        <v>123.43</v>
      </c>
      <c r="F52" s="2959" t="s">
        <v>3143</v>
      </c>
      <c r="H52" s="3016">
        <v>10</v>
      </c>
      <c r="I52" s="3016">
        <v>1004</v>
      </c>
      <c r="J52" s="3016">
        <v>99.69</v>
      </c>
      <c r="K52" s="2961" t="s">
        <v>3387</v>
      </c>
      <c r="M52" s="2960">
        <v>11</v>
      </c>
      <c r="N52" s="2960">
        <v>1101</v>
      </c>
      <c r="O52" s="2960">
        <v>137.91999999999999</v>
      </c>
      <c r="P52" s="2959" t="s">
        <v>3143</v>
      </c>
      <c r="R52" s="2960">
        <v>14</v>
      </c>
      <c r="S52" s="2960">
        <v>1401</v>
      </c>
      <c r="T52" s="2960">
        <v>144.26</v>
      </c>
      <c r="U52" s="2959" t="s">
        <v>3143</v>
      </c>
    </row>
    <row r="53" spans="3:21">
      <c r="C53" s="2960">
        <v>14</v>
      </c>
      <c r="D53" s="2960">
        <v>1403</v>
      </c>
      <c r="E53" s="2960">
        <v>100.56</v>
      </c>
      <c r="F53" s="2959" t="s">
        <v>3144</v>
      </c>
      <c r="H53" s="3016">
        <v>11</v>
      </c>
      <c r="I53" s="3016">
        <v>1101</v>
      </c>
      <c r="J53" s="3016">
        <v>122.35</v>
      </c>
      <c r="K53" s="2961" t="s">
        <v>3387</v>
      </c>
      <c r="M53" s="3016">
        <v>11</v>
      </c>
      <c r="N53" s="3016">
        <v>1102</v>
      </c>
      <c r="O53" s="3016">
        <v>109.24</v>
      </c>
      <c r="P53" s="2961" t="s">
        <v>3387</v>
      </c>
      <c r="R53" s="3016">
        <v>14</v>
      </c>
      <c r="S53" s="3016">
        <v>1402</v>
      </c>
      <c r="T53" s="3016">
        <v>109.32</v>
      </c>
      <c r="U53" s="2961" t="s">
        <v>3387</v>
      </c>
    </row>
    <row r="54" spans="3:21">
      <c r="C54" s="3016">
        <v>14</v>
      </c>
      <c r="D54" s="3016">
        <v>1404</v>
      </c>
      <c r="E54" s="3016">
        <v>100.56</v>
      </c>
      <c r="F54" s="2961" t="s">
        <v>3143</v>
      </c>
      <c r="H54" s="2960">
        <v>11</v>
      </c>
      <c r="I54" s="2960">
        <v>1102</v>
      </c>
      <c r="J54" s="2960">
        <v>122.35</v>
      </c>
      <c r="K54" s="2959" t="s">
        <v>3143</v>
      </c>
      <c r="M54" s="3016">
        <v>11</v>
      </c>
      <c r="N54" s="3016">
        <v>1103</v>
      </c>
      <c r="O54" s="3016">
        <v>109.24</v>
      </c>
      <c r="P54" s="2961" t="s">
        <v>3387</v>
      </c>
      <c r="R54" s="2960">
        <v>14</v>
      </c>
      <c r="S54" s="2960">
        <v>1403</v>
      </c>
      <c r="T54" s="2960">
        <v>109.32</v>
      </c>
      <c r="U54" s="2959" t="s">
        <v>3143</v>
      </c>
    </row>
    <row r="55" spans="3:21">
      <c r="C55" s="2960">
        <v>15</v>
      </c>
      <c r="D55" s="2960">
        <v>1501</v>
      </c>
      <c r="E55" s="2960">
        <v>123.43</v>
      </c>
      <c r="F55" s="2959" t="s">
        <v>3144</v>
      </c>
      <c r="H55" s="3016">
        <v>11</v>
      </c>
      <c r="I55" s="3016">
        <v>1103</v>
      </c>
      <c r="J55" s="3016">
        <v>99.69</v>
      </c>
      <c r="K55" s="2961" t="s">
        <v>3387</v>
      </c>
      <c r="M55" s="2960">
        <v>11</v>
      </c>
      <c r="N55" s="2960">
        <v>1104</v>
      </c>
      <c r="O55" s="2960">
        <v>137.91999999999999</v>
      </c>
      <c r="P55" s="2959" t="s">
        <v>3143</v>
      </c>
      <c r="R55" s="2960">
        <v>14</v>
      </c>
      <c r="S55" s="2960">
        <v>1404</v>
      </c>
      <c r="T55" s="2960">
        <v>144.26</v>
      </c>
      <c r="U55" s="2959" t="s">
        <v>3143</v>
      </c>
    </row>
    <row r="56" spans="3:21">
      <c r="C56" s="2960">
        <v>15</v>
      </c>
      <c r="D56" s="2960">
        <v>1502</v>
      </c>
      <c r="E56" s="2960">
        <v>123.43</v>
      </c>
      <c r="F56" s="2959" t="s">
        <v>3143</v>
      </c>
      <c r="H56" s="3016">
        <v>11</v>
      </c>
      <c r="I56" s="3016">
        <v>1104</v>
      </c>
      <c r="J56" s="3016">
        <v>99.69</v>
      </c>
      <c r="K56" s="2961" t="s">
        <v>3387</v>
      </c>
      <c r="M56" s="2960">
        <v>12</v>
      </c>
      <c r="N56" s="2960">
        <v>1201</v>
      </c>
      <c r="O56" s="2960">
        <v>137.91999999999999</v>
      </c>
      <c r="P56" s="2959" t="s">
        <v>3143</v>
      </c>
      <c r="R56" s="3016">
        <v>15</v>
      </c>
      <c r="S56" s="3016">
        <v>1501</v>
      </c>
      <c r="T56" s="3016">
        <v>144.26</v>
      </c>
      <c r="U56" s="2961" t="s">
        <v>3387</v>
      </c>
    </row>
    <row r="57" spans="3:21">
      <c r="C57" s="2960">
        <v>15</v>
      </c>
      <c r="D57" s="2960">
        <v>1503</v>
      </c>
      <c r="E57" s="2960">
        <v>100.56</v>
      </c>
      <c r="F57" s="2959" t="s">
        <v>3144</v>
      </c>
      <c r="H57" s="3016">
        <v>12</v>
      </c>
      <c r="I57" s="3016">
        <v>1201</v>
      </c>
      <c r="J57" s="3016">
        <v>122.35</v>
      </c>
      <c r="K57" s="2961" t="s">
        <v>3387</v>
      </c>
      <c r="M57" s="3016">
        <v>12</v>
      </c>
      <c r="N57" s="3016">
        <v>1202</v>
      </c>
      <c r="O57" s="3016">
        <v>109.24</v>
      </c>
      <c r="P57" s="2961" t="s">
        <v>3387</v>
      </c>
      <c r="R57" s="3016">
        <v>15</v>
      </c>
      <c r="S57" s="3016">
        <v>1502</v>
      </c>
      <c r="T57" s="3016">
        <v>109.32</v>
      </c>
      <c r="U57" s="2961" t="s">
        <v>3387</v>
      </c>
    </row>
    <row r="58" spans="3:21">
      <c r="C58" s="3016">
        <v>15</v>
      </c>
      <c r="D58" s="3016">
        <v>1504</v>
      </c>
      <c r="E58" s="3016">
        <v>100.56</v>
      </c>
      <c r="F58" s="2961" t="s">
        <v>3143</v>
      </c>
      <c r="H58" s="3016">
        <v>12</v>
      </c>
      <c r="I58" s="3016">
        <v>1202</v>
      </c>
      <c r="J58" s="3016">
        <v>122.35</v>
      </c>
      <c r="K58" s="2961" t="s">
        <v>3387</v>
      </c>
      <c r="M58" s="3016">
        <v>12</v>
      </c>
      <c r="N58" s="3016">
        <v>1203</v>
      </c>
      <c r="O58" s="3016">
        <v>109.24</v>
      </c>
      <c r="P58" s="2961" t="s">
        <v>3387</v>
      </c>
      <c r="R58" s="3016">
        <v>15</v>
      </c>
      <c r="S58" s="3016">
        <v>1503</v>
      </c>
      <c r="T58" s="3016">
        <v>109.32</v>
      </c>
      <c r="U58" s="2961" t="s">
        <v>3387</v>
      </c>
    </row>
    <row r="59" spans="3:21">
      <c r="C59" s="2960">
        <v>16</v>
      </c>
      <c r="D59" s="2960">
        <v>1601</v>
      </c>
      <c r="E59" s="2960">
        <v>123.43</v>
      </c>
      <c r="F59" s="2959" t="s">
        <v>3144</v>
      </c>
      <c r="H59" s="3016">
        <v>12</v>
      </c>
      <c r="I59" s="3016">
        <v>1203</v>
      </c>
      <c r="J59" s="3016">
        <v>99.69</v>
      </c>
      <c r="K59" s="2961" t="s">
        <v>3387</v>
      </c>
      <c r="M59" s="2960">
        <v>12</v>
      </c>
      <c r="N59" s="2960">
        <v>1204</v>
      </c>
      <c r="O59" s="2960">
        <v>137.91999999999999</v>
      </c>
      <c r="P59" s="2959" t="s">
        <v>3143</v>
      </c>
      <c r="R59" s="3016">
        <v>15</v>
      </c>
      <c r="S59" s="3016">
        <v>1504</v>
      </c>
      <c r="T59" s="3016">
        <v>144.26</v>
      </c>
      <c r="U59" s="2961" t="s">
        <v>3387</v>
      </c>
    </row>
    <row r="60" spans="3:21">
      <c r="C60" s="2960">
        <v>16</v>
      </c>
      <c r="D60" s="2960">
        <v>1602</v>
      </c>
      <c r="E60" s="2960">
        <v>123.43</v>
      </c>
      <c r="F60" s="2959" t="s">
        <v>3143</v>
      </c>
      <c r="H60" s="3016">
        <v>12</v>
      </c>
      <c r="I60" s="3016">
        <v>1204</v>
      </c>
      <c r="J60" s="3016">
        <v>99.69</v>
      </c>
      <c r="K60" s="2961" t="s">
        <v>3387</v>
      </c>
      <c r="M60" s="2960">
        <v>13</v>
      </c>
      <c r="N60" s="2960">
        <v>1301</v>
      </c>
      <c r="O60" s="2960">
        <v>137.91999999999999</v>
      </c>
      <c r="P60" s="2959" t="s">
        <v>3143</v>
      </c>
      <c r="R60" s="3016">
        <v>16</v>
      </c>
      <c r="S60" s="3016">
        <v>1601</v>
      </c>
      <c r="T60" s="3016">
        <v>144.26</v>
      </c>
      <c r="U60" s="2961" t="s">
        <v>3387</v>
      </c>
    </row>
    <row r="61" spans="3:21">
      <c r="C61" s="2960">
        <v>16</v>
      </c>
      <c r="D61" s="2960">
        <v>1603</v>
      </c>
      <c r="E61" s="2960">
        <v>100.56</v>
      </c>
      <c r="F61" s="2959" t="s">
        <v>3144</v>
      </c>
      <c r="H61" s="3016">
        <v>13</v>
      </c>
      <c r="I61" s="3016">
        <v>1301</v>
      </c>
      <c r="J61" s="3016">
        <v>122.35</v>
      </c>
      <c r="K61" s="2961" t="s">
        <v>3387</v>
      </c>
      <c r="M61" s="3016">
        <v>13</v>
      </c>
      <c r="N61" s="3016">
        <v>1302</v>
      </c>
      <c r="O61" s="3016">
        <v>109.24</v>
      </c>
      <c r="P61" s="2961" t="s">
        <v>3387</v>
      </c>
      <c r="R61" s="3016">
        <v>16</v>
      </c>
      <c r="S61" s="3016">
        <v>1602</v>
      </c>
      <c r="T61" s="3016">
        <v>109.32</v>
      </c>
      <c r="U61" s="2961" t="s">
        <v>3387</v>
      </c>
    </row>
    <row r="62" spans="3:21">
      <c r="C62" s="3016">
        <v>16</v>
      </c>
      <c r="D62" s="3016">
        <v>1604</v>
      </c>
      <c r="E62" s="3016">
        <v>100.56</v>
      </c>
      <c r="F62" s="2961" t="s">
        <v>3143</v>
      </c>
      <c r="H62" s="3016">
        <v>13</v>
      </c>
      <c r="I62" s="3016">
        <v>1302</v>
      </c>
      <c r="J62" s="3016">
        <v>122.35</v>
      </c>
      <c r="K62" s="2961" t="s">
        <v>3387</v>
      </c>
      <c r="M62" s="3016">
        <v>13</v>
      </c>
      <c r="N62" s="3016">
        <v>1303</v>
      </c>
      <c r="O62" s="3016">
        <v>109.24</v>
      </c>
      <c r="P62" s="2961" t="s">
        <v>3387</v>
      </c>
      <c r="R62" s="3016">
        <v>16</v>
      </c>
      <c r="S62" s="3016">
        <v>1603</v>
      </c>
      <c r="T62" s="3016">
        <v>109.32</v>
      </c>
      <c r="U62" s="2961" t="s">
        <v>3387</v>
      </c>
    </row>
    <row r="63" spans="3:21">
      <c r="C63" s="2960">
        <v>17</v>
      </c>
      <c r="D63" s="2960">
        <v>1701</v>
      </c>
      <c r="E63" s="2960">
        <v>123.43</v>
      </c>
      <c r="F63" s="2959" t="s">
        <v>3144</v>
      </c>
      <c r="H63" s="3016">
        <v>13</v>
      </c>
      <c r="I63" s="3016">
        <v>1303</v>
      </c>
      <c r="J63" s="3016">
        <v>99.69</v>
      </c>
      <c r="K63" s="2961" t="s">
        <v>3387</v>
      </c>
      <c r="M63" s="2960">
        <v>13</v>
      </c>
      <c r="N63" s="2960">
        <v>1304</v>
      </c>
      <c r="O63" s="2960">
        <v>137.91999999999999</v>
      </c>
      <c r="P63" s="2959" t="s">
        <v>3143</v>
      </c>
      <c r="R63" s="3016">
        <v>16</v>
      </c>
      <c r="S63" s="3016">
        <v>1604</v>
      </c>
      <c r="T63" s="3016">
        <v>144.26</v>
      </c>
      <c r="U63" s="2961" t="s">
        <v>3387</v>
      </c>
    </row>
    <row r="64" spans="3:21">
      <c r="C64" s="2960">
        <v>17</v>
      </c>
      <c r="D64" s="2960">
        <v>1702</v>
      </c>
      <c r="E64" s="2960">
        <v>123.43</v>
      </c>
      <c r="F64" s="2959" t="s">
        <v>3143</v>
      </c>
      <c r="H64" s="3016">
        <v>13</v>
      </c>
      <c r="I64" s="3016">
        <v>1304</v>
      </c>
      <c r="J64" s="3016">
        <v>99.69</v>
      </c>
      <c r="K64" s="2961" t="s">
        <v>3387</v>
      </c>
      <c r="M64" s="2960">
        <v>14</v>
      </c>
      <c r="N64" s="2960">
        <v>1401</v>
      </c>
      <c r="O64" s="2960">
        <v>137.91999999999999</v>
      </c>
      <c r="P64" s="2959" t="s">
        <v>3143</v>
      </c>
      <c r="R64" s="3016">
        <v>17</v>
      </c>
      <c r="S64" s="3016">
        <v>1701</v>
      </c>
      <c r="T64" s="3016">
        <v>144.26</v>
      </c>
      <c r="U64" s="2961" t="s">
        <v>3387</v>
      </c>
    </row>
    <row r="65" spans="3:21">
      <c r="C65" s="2960">
        <v>17</v>
      </c>
      <c r="D65" s="2960">
        <v>1703</v>
      </c>
      <c r="E65" s="2960">
        <v>100.56</v>
      </c>
      <c r="F65" s="2959" t="s">
        <v>3144</v>
      </c>
      <c r="H65" s="3016">
        <v>14</v>
      </c>
      <c r="I65" s="3016">
        <v>1401</v>
      </c>
      <c r="J65" s="3016">
        <v>122.35</v>
      </c>
      <c r="K65" s="2961" t="s">
        <v>3387</v>
      </c>
      <c r="M65" s="2960">
        <v>14</v>
      </c>
      <c r="N65" s="2960">
        <v>1402</v>
      </c>
      <c r="O65" s="2960">
        <v>109.24</v>
      </c>
      <c r="P65" s="2959" t="s">
        <v>3143</v>
      </c>
      <c r="R65" s="3016">
        <v>17</v>
      </c>
      <c r="S65" s="3016">
        <v>1702</v>
      </c>
      <c r="T65" s="3016">
        <v>109.32</v>
      </c>
      <c r="U65" s="2961" t="s">
        <v>3387</v>
      </c>
    </row>
    <row r="66" spans="3:21">
      <c r="C66" s="3016">
        <v>17</v>
      </c>
      <c r="D66" s="3016">
        <v>1704</v>
      </c>
      <c r="E66" s="3016">
        <v>100.56</v>
      </c>
      <c r="F66" s="2961" t="s">
        <v>3143</v>
      </c>
      <c r="H66" s="2960">
        <v>14</v>
      </c>
      <c r="I66" s="2960">
        <v>1402</v>
      </c>
      <c r="J66" s="2960">
        <v>122.35</v>
      </c>
      <c r="K66" s="2959" t="s">
        <v>3143</v>
      </c>
      <c r="M66" s="2960">
        <v>14</v>
      </c>
      <c r="N66" s="2960">
        <v>1403</v>
      </c>
      <c r="O66" s="2960">
        <v>109.24</v>
      </c>
      <c r="P66" s="2959" t="s">
        <v>3143</v>
      </c>
      <c r="R66" s="3016">
        <v>17</v>
      </c>
      <c r="S66" s="3016">
        <v>1703</v>
      </c>
      <c r="T66" s="3016">
        <v>109.32</v>
      </c>
      <c r="U66" s="2961" t="s">
        <v>3387</v>
      </c>
    </row>
    <row r="67" spans="3:21">
      <c r="C67" s="2960">
        <v>18</v>
      </c>
      <c r="D67" s="2960">
        <v>1801</v>
      </c>
      <c r="E67" s="2960">
        <v>123.43</v>
      </c>
      <c r="F67" s="2959" t="s">
        <v>3144</v>
      </c>
      <c r="H67" s="2960">
        <v>14</v>
      </c>
      <c r="I67" s="2960">
        <v>1403</v>
      </c>
      <c r="J67" s="2960">
        <v>99.69</v>
      </c>
      <c r="K67" s="2959" t="s">
        <v>3143</v>
      </c>
      <c r="M67" s="2960">
        <v>14</v>
      </c>
      <c r="N67" s="2960">
        <v>1404</v>
      </c>
      <c r="O67" s="2960">
        <v>137.91999999999999</v>
      </c>
      <c r="P67" s="2959" t="s">
        <v>3143</v>
      </c>
      <c r="R67" s="3016">
        <v>17</v>
      </c>
      <c r="S67" s="3016">
        <v>1704</v>
      </c>
      <c r="T67" s="3016">
        <v>144.26</v>
      </c>
      <c r="U67" s="2961" t="s">
        <v>3387</v>
      </c>
    </row>
    <row r="68" spans="3:21">
      <c r="C68" s="3016">
        <v>18</v>
      </c>
      <c r="D68" s="3016">
        <v>1802</v>
      </c>
      <c r="E68" s="3016">
        <v>123.43</v>
      </c>
      <c r="F68" s="2961" t="s">
        <v>3143</v>
      </c>
      <c r="H68" s="3016">
        <v>14</v>
      </c>
      <c r="I68" s="3016">
        <v>1404</v>
      </c>
      <c r="J68" s="3016">
        <v>99.69</v>
      </c>
      <c r="K68" s="2961" t="s">
        <v>3387</v>
      </c>
      <c r="M68" s="2960">
        <v>15</v>
      </c>
      <c r="N68" s="2960">
        <v>1501</v>
      </c>
      <c r="O68" s="2960">
        <v>137.91999999999999</v>
      </c>
      <c r="P68" s="2959" t="s">
        <v>3143</v>
      </c>
      <c r="R68" s="2960">
        <v>18</v>
      </c>
      <c r="S68" s="2960">
        <v>1801</v>
      </c>
      <c r="T68" s="2960">
        <v>144.26</v>
      </c>
      <c r="U68" s="2959" t="s">
        <v>3143</v>
      </c>
    </row>
    <row r="69" spans="3:21">
      <c r="C69" s="2960">
        <v>18</v>
      </c>
      <c r="D69" s="2960">
        <v>1803</v>
      </c>
      <c r="E69" s="2960">
        <v>100.56</v>
      </c>
      <c r="F69" s="2959" t="s">
        <v>3144</v>
      </c>
      <c r="H69" s="3016">
        <v>15</v>
      </c>
      <c r="I69" s="3016">
        <v>1501</v>
      </c>
      <c r="J69" s="3016">
        <v>122.35</v>
      </c>
      <c r="K69" s="2961" t="s">
        <v>3387</v>
      </c>
      <c r="M69" s="3016">
        <v>15</v>
      </c>
      <c r="N69" s="3016">
        <v>1502</v>
      </c>
      <c r="O69" s="3016">
        <v>109.24</v>
      </c>
      <c r="P69" s="2961" t="s">
        <v>3387</v>
      </c>
      <c r="R69" s="2960">
        <v>18</v>
      </c>
      <c r="S69" s="2960">
        <v>1802</v>
      </c>
      <c r="T69" s="2960">
        <v>109.32</v>
      </c>
      <c r="U69" s="2959" t="s">
        <v>3143</v>
      </c>
    </row>
    <row r="70" spans="3:21">
      <c r="C70" s="3016">
        <v>18</v>
      </c>
      <c r="D70" s="3016">
        <v>1804</v>
      </c>
      <c r="E70" s="3016">
        <v>100.56</v>
      </c>
      <c r="F70" s="2961" t="s">
        <v>3387</v>
      </c>
      <c r="H70" s="2960">
        <v>15</v>
      </c>
      <c r="I70" s="2960">
        <v>1502</v>
      </c>
      <c r="J70" s="2960">
        <v>122.35</v>
      </c>
      <c r="K70" s="2959" t="s">
        <v>3143</v>
      </c>
      <c r="M70" s="3016">
        <v>15</v>
      </c>
      <c r="N70" s="3016">
        <v>1503</v>
      </c>
      <c r="O70" s="3016">
        <v>109.24</v>
      </c>
      <c r="P70" s="2961" t="s">
        <v>3387</v>
      </c>
      <c r="R70" s="3016">
        <v>18</v>
      </c>
      <c r="S70" s="3016">
        <v>1803</v>
      </c>
      <c r="T70" s="3016">
        <v>109.32</v>
      </c>
      <c r="U70" s="2961" t="s">
        <v>3387</v>
      </c>
    </row>
    <row r="71" spans="3:21">
      <c r="C71" s="2960">
        <v>19</v>
      </c>
      <c r="D71" s="2960">
        <v>1901</v>
      </c>
      <c r="E71" s="2960">
        <v>123.43</v>
      </c>
      <c r="F71" s="2959" t="s">
        <v>3144</v>
      </c>
      <c r="H71" s="3016">
        <v>15</v>
      </c>
      <c r="I71" s="3016">
        <v>1503</v>
      </c>
      <c r="J71" s="3016">
        <v>99.69</v>
      </c>
      <c r="K71" s="2961" t="s">
        <v>3387</v>
      </c>
      <c r="M71" s="2960">
        <v>15</v>
      </c>
      <c r="N71" s="2960">
        <v>1504</v>
      </c>
      <c r="O71" s="2960">
        <v>137.91999999999999</v>
      </c>
      <c r="P71" s="2959" t="s">
        <v>3143</v>
      </c>
      <c r="R71" s="2960">
        <v>18</v>
      </c>
      <c r="S71" s="2960">
        <v>1804</v>
      </c>
      <c r="T71" s="2960">
        <v>144.26</v>
      </c>
      <c r="U71" s="2959" t="s">
        <v>3143</v>
      </c>
    </row>
    <row r="72" spans="3:21">
      <c r="C72" s="2960">
        <v>19</v>
      </c>
      <c r="D72" s="2960">
        <v>1902</v>
      </c>
      <c r="E72" s="2960">
        <v>123.43</v>
      </c>
      <c r="F72" s="2959" t="s">
        <v>3143</v>
      </c>
      <c r="H72" s="3016">
        <v>15</v>
      </c>
      <c r="I72" s="3016">
        <v>1504</v>
      </c>
      <c r="J72" s="3016">
        <v>99.69</v>
      </c>
      <c r="K72" s="2961" t="s">
        <v>3387</v>
      </c>
      <c r="M72" s="2960">
        <v>16</v>
      </c>
      <c r="N72" s="2960">
        <v>1601</v>
      </c>
      <c r="O72" s="2960">
        <v>137.91999999999999</v>
      </c>
      <c r="P72" s="2959" t="s">
        <v>3143</v>
      </c>
      <c r="R72" s="3016">
        <v>19</v>
      </c>
      <c r="S72" s="3016">
        <v>1901</v>
      </c>
      <c r="T72" s="3016">
        <v>144.26</v>
      </c>
      <c r="U72" s="2961" t="s">
        <v>3387</v>
      </c>
    </row>
    <row r="73" spans="3:21">
      <c r="C73" s="2960">
        <v>19</v>
      </c>
      <c r="D73" s="2960">
        <v>1903</v>
      </c>
      <c r="E73" s="2960">
        <v>100.56</v>
      </c>
      <c r="F73" s="2959" t="s">
        <v>3144</v>
      </c>
      <c r="H73" s="3016">
        <v>16</v>
      </c>
      <c r="I73" s="3016">
        <v>1601</v>
      </c>
      <c r="J73" s="3016">
        <v>122.35</v>
      </c>
      <c r="K73" s="2961" t="s">
        <v>3387</v>
      </c>
      <c r="M73" s="3016">
        <v>16</v>
      </c>
      <c r="N73" s="3016">
        <v>1602</v>
      </c>
      <c r="O73" s="3016">
        <v>109.24</v>
      </c>
      <c r="P73" s="2961" t="s">
        <v>3387</v>
      </c>
      <c r="R73" s="3016">
        <v>19</v>
      </c>
      <c r="S73" s="3016">
        <v>1902</v>
      </c>
      <c r="T73" s="3016">
        <v>109.32</v>
      </c>
      <c r="U73" s="2961" t="s">
        <v>3387</v>
      </c>
    </row>
    <row r="74" spans="3:21">
      <c r="C74" s="3016">
        <v>19</v>
      </c>
      <c r="D74" s="3016">
        <v>1904</v>
      </c>
      <c r="E74" s="3016">
        <v>100.56</v>
      </c>
      <c r="F74" s="2961" t="s">
        <v>3387</v>
      </c>
      <c r="H74" s="2960">
        <v>16</v>
      </c>
      <c r="I74" s="2960">
        <v>1602</v>
      </c>
      <c r="J74" s="2960">
        <v>122.35</v>
      </c>
      <c r="K74" s="2959" t="s">
        <v>3143</v>
      </c>
      <c r="M74" s="3016">
        <v>16</v>
      </c>
      <c r="N74" s="3016">
        <v>1603</v>
      </c>
      <c r="O74" s="3016">
        <v>109.24</v>
      </c>
      <c r="P74" s="2961" t="s">
        <v>3387</v>
      </c>
      <c r="R74" s="3016">
        <v>19</v>
      </c>
      <c r="S74" s="3016">
        <v>1903</v>
      </c>
      <c r="T74" s="3016">
        <v>109.32</v>
      </c>
      <c r="U74" s="2961" t="s">
        <v>3387</v>
      </c>
    </row>
    <row r="75" spans="3:21">
      <c r="C75" s="2960">
        <v>20</v>
      </c>
      <c r="D75" s="2960">
        <v>2001</v>
      </c>
      <c r="E75" s="2960">
        <v>123.43</v>
      </c>
      <c r="F75" s="2959" t="s">
        <v>3144</v>
      </c>
      <c r="H75" s="3016">
        <v>16</v>
      </c>
      <c r="I75" s="3016">
        <v>1603</v>
      </c>
      <c r="J75" s="3016">
        <v>99.69</v>
      </c>
      <c r="K75" s="2961" t="s">
        <v>3387</v>
      </c>
      <c r="M75" s="2960">
        <v>16</v>
      </c>
      <c r="N75" s="2960">
        <v>1604</v>
      </c>
      <c r="O75" s="2960">
        <v>137.91999999999999</v>
      </c>
      <c r="P75" s="2959" t="s">
        <v>3143</v>
      </c>
      <c r="R75" s="3016">
        <v>19</v>
      </c>
      <c r="S75" s="3016">
        <v>1904</v>
      </c>
      <c r="T75" s="3016">
        <v>144.26</v>
      </c>
      <c r="U75" s="2961" t="s">
        <v>3387</v>
      </c>
    </row>
    <row r="76" spans="3:21">
      <c r="C76" s="3016">
        <v>20</v>
      </c>
      <c r="D76" s="3016">
        <v>2002</v>
      </c>
      <c r="E76" s="3016">
        <v>123.43</v>
      </c>
      <c r="F76" s="3016" t="s">
        <v>3143</v>
      </c>
      <c r="H76" s="3016">
        <v>16</v>
      </c>
      <c r="I76" s="3016">
        <v>1604</v>
      </c>
      <c r="J76" s="3016">
        <v>99.69</v>
      </c>
      <c r="K76" s="2961" t="s">
        <v>3387</v>
      </c>
      <c r="M76" s="2960">
        <v>17</v>
      </c>
      <c r="N76" s="2960">
        <v>1701</v>
      </c>
      <c r="O76" s="2960">
        <v>137.91999999999999</v>
      </c>
      <c r="P76" s="2959" t="s">
        <v>3143</v>
      </c>
      <c r="R76" s="3016">
        <v>20</v>
      </c>
      <c r="S76" s="3016">
        <v>2001</v>
      </c>
      <c r="T76" s="3016">
        <v>144.26</v>
      </c>
      <c r="U76" s="2961" t="s">
        <v>3387</v>
      </c>
    </row>
    <row r="77" spans="3:21">
      <c r="C77" s="2960">
        <v>20</v>
      </c>
      <c r="D77" s="2960">
        <v>2003</v>
      </c>
      <c r="E77" s="2960">
        <v>100.56</v>
      </c>
      <c r="F77" s="2959" t="s">
        <v>3144</v>
      </c>
      <c r="H77" s="3016">
        <v>17</v>
      </c>
      <c r="I77" s="3016">
        <v>1701</v>
      </c>
      <c r="J77" s="3016">
        <v>122.35</v>
      </c>
      <c r="K77" s="2961" t="s">
        <v>3387</v>
      </c>
      <c r="M77" s="2960">
        <v>17</v>
      </c>
      <c r="N77" s="2960">
        <v>1702</v>
      </c>
      <c r="O77" s="2960">
        <v>109.24</v>
      </c>
      <c r="P77" s="2959" t="s">
        <v>3143</v>
      </c>
      <c r="R77" s="3016">
        <v>20</v>
      </c>
      <c r="S77" s="3016">
        <v>2002</v>
      </c>
      <c r="T77" s="3016">
        <v>109.32</v>
      </c>
      <c r="U77" s="2961" t="s">
        <v>3387</v>
      </c>
    </row>
    <row r="78" spans="3:21">
      <c r="C78" s="2960">
        <v>20</v>
      </c>
      <c r="D78" s="2960">
        <v>2004</v>
      </c>
      <c r="E78" s="2960">
        <v>100.56</v>
      </c>
      <c r="F78" s="2959" t="s">
        <v>3143</v>
      </c>
      <c r="H78" s="3016">
        <v>17</v>
      </c>
      <c r="I78" s="3016">
        <v>1702</v>
      </c>
      <c r="J78" s="3016">
        <v>122.35</v>
      </c>
      <c r="K78" s="2961" t="s">
        <v>3387</v>
      </c>
      <c r="M78" s="3016">
        <v>17</v>
      </c>
      <c r="N78" s="3016">
        <v>1703</v>
      </c>
      <c r="O78" s="3016">
        <v>109.24</v>
      </c>
      <c r="P78" s="2961" t="s">
        <v>3387</v>
      </c>
      <c r="R78" s="3016">
        <v>20</v>
      </c>
      <c r="S78" s="3016">
        <v>2003</v>
      </c>
      <c r="T78" s="3016">
        <v>109.32</v>
      </c>
      <c r="U78" s="2961" t="s">
        <v>3387</v>
      </c>
    </row>
    <row r="79" spans="3:21">
      <c r="C79" s="2960">
        <v>21</v>
      </c>
      <c r="D79" s="2960">
        <v>2101</v>
      </c>
      <c r="E79" s="2960">
        <v>123.43</v>
      </c>
      <c r="F79" s="2959" t="s">
        <v>3144</v>
      </c>
      <c r="H79" s="3016">
        <v>17</v>
      </c>
      <c r="I79" s="3016">
        <v>1703</v>
      </c>
      <c r="J79" s="3016">
        <v>99.69</v>
      </c>
      <c r="K79" s="2961" t="s">
        <v>3387</v>
      </c>
      <c r="M79" s="2960">
        <v>17</v>
      </c>
      <c r="N79" s="2960">
        <v>1704</v>
      </c>
      <c r="O79" s="2960">
        <v>137.91999999999999</v>
      </c>
      <c r="P79" s="2959" t="s">
        <v>3143</v>
      </c>
      <c r="R79" s="3016">
        <v>20</v>
      </c>
      <c r="S79" s="3016">
        <v>2004</v>
      </c>
      <c r="T79" s="3016">
        <v>144.26</v>
      </c>
      <c r="U79" s="2961" t="s">
        <v>3387</v>
      </c>
    </row>
    <row r="80" spans="3:21">
      <c r="C80" s="3016">
        <v>21</v>
      </c>
      <c r="D80" s="3016">
        <v>2102</v>
      </c>
      <c r="E80" s="3016">
        <v>123.43</v>
      </c>
      <c r="F80" s="2961" t="s">
        <v>3387</v>
      </c>
      <c r="H80" s="3016">
        <v>17</v>
      </c>
      <c r="I80" s="3016">
        <v>1704</v>
      </c>
      <c r="J80" s="3016">
        <v>99.69</v>
      </c>
      <c r="K80" s="2961" t="s">
        <v>3387</v>
      </c>
      <c r="M80" s="2960">
        <v>18</v>
      </c>
      <c r="N80" s="2960">
        <v>1801</v>
      </c>
      <c r="O80" s="2960">
        <v>137.91999999999999</v>
      </c>
      <c r="P80" s="2959" t="s">
        <v>3143</v>
      </c>
      <c r="R80" s="3016">
        <v>21</v>
      </c>
      <c r="S80" s="3016">
        <v>2101</v>
      </c>
      <c r="T80" s="3016">
        <v>144.26</v>
      </c>
      <c r="U80" s="2961" t="s">
        <v>3387</v>
      </c>
    </row>
    <row r="81" spans="3:21">
      <c r="C81" s="2960">
        <v>21</v>
      </c>
      <c r="D81" s="2960">
        <v>2103</v>
      </c>
      <c r="E81" s="2960">
        <v>100.56</v>
      </c>
      <c r="F81" s="2959" t="s">
        <v>3144</v>
      </c>
      <c r="H81" s="2960">
        <v>18</v>
      </c>
      <c r="I81" s="2960">
        <v>1801</v>
      </c>
      <c r="J81" s="2960">
        <v>122.35</v>
      </c>
      <c r="K81" s="2959" t="s">
        <v>3143</v>
      </c>
      <c r="M81" s="2960">
        <v>18</v>
      </c>
      <c r="N81" s="2960">
        <v>1802</v>
      </c>
      <c r="O81" s="2960">
        <v>109.24</v>
      </c>
      <c r="P81" s="2959" t="s">
        <v>3143</v>
      </c>
      <c r="R81" s="2960">
        <v>21</v>
      </c>
      <c r="S81" s="2960">
        <v>2102</v>
      </c>
      <c r="T81" s="2960">
        <v>109.32</v>
      </c>
      <c r="U81" s="2959" t="s">
        <v>3143</v>
      </c>
    </row>
    <row r="82" spans="3:21">
      <c r="C82" s="2960">
        <v>21</v>
      </c>
      <c r="D82" s="2960">
        <v>2104</v>
      </c>
      <c r="E82" s="2960">
        <v>100.56</v>
      </c>
      <c r="F82" s="2959" t="s">
        <v>3143</v>
      </c>
      <c r="H82" s="2960">
        <v>18</v>
      </c>
      <c r="I82" s="2960">
        <v>1802</v>
      </c>
      <c r="J82" s="2960">
        <v>122.35</v>
      </c>
      <c r="K82" s="2959" t="s">
        <v>3143</v>
      </c>
      <c r="M82" s="3016">
        <v>18</v>
      </c>
      <c r="N82" s="3016">
        <v>1803</v>
      </c>
      <c r="O82" s="3016">
        <v>109.24</v>
      </c>
      <c r="P82" s="2961" t="s">
        <v>3390</v>
      </c>
      <c r="R82" s="3016">
        <v>21</v>
      </c>
      <c r="S82" s="3016">
        <v>2103</v>
      </c>
      <c r="T82" s="3016">
        <v>109.32</v>
      </c>
      <c r="U82" s="2961" t="s">
        <v>3387</v>
      </c>
    </row>
    <row r="83" spans="3:21">
      <c r="C83" s="2960">
        <v>22</v>
      </c>
      <c r="D83" s="2960">
        <v>2201</v>
      </c>
      <c r="E83" s="2960">
        <v>123.43</v>
      </c>
      <c r="F83" s="2959" t="s">
        <v>3144</v>
      </c>
      <c r="H83" s="2960">
        <v>18</v>
      </c>
      <c r="I83" s="2960">
        <v>1803</v>
      </c>
      <c r="J83" s="2960">
        <v>99.69</v>
      </c>
      <c r="K83" s="2959" t="s">
        <v>3143</v>
      </c>
      <c r="M83" s="2960">
        <v>18</v>
      </c>
      <c r="N83" s="2960">
        <v>1804</v>
      </c>
      <c r="O83" s="2960">
        <v>137.91999999999999</v>
      </c>
      <c r="P83" s="2959" t="s">
        <v>3143</v>
      </c>
      <c r="R83" s="3016">
        <v>21</v>
      </c>
      <c r="S83" s="3016">
        <v>2104</v>
      </c>
      <c r="T83" s="3016">
        <v>144.26</v>
      </c>
      <c r="U83" s="2961" t="s">
        <v>3387</v>
      </c>
    </row>
    <row r="84" spans="3:21">
      <c r="C84" s="3016">
        <v>22</v>
      </c>
      <c r="D84" s="3016">
        <v>2202</v>
      </c>
      <c r="E84" s="3016">
        <v>123.43</v>
      </c>
      <c r="F84" s="2961" t="s">
        <v>3387</v>
      </c>
      <c r="H84" s="2960">
        <v>18</v>
      </c>
      <c r="I84" s="2960">
        <v>1804</v>
      </c>
      <c r="J84" s="2960">
        <v>99.69</v>
      </c>
      <c r="K84" s="2959" t="s">
        <v>3143</v>
      </c>
      <c r="M84" s="2960">
        <v>19</v>
      </c>
      <c r="N84" s="2960">
        <v>1901</v>
      </c>
      <c r="O84" s="2960">
        <v>137.91999999999999</v>
      </c>
      <c r="P84" s="2959" t="s">
        <v>3143</v>
      </c>
      <c r="R84" s="3016">
        <v>22</v>
      </c>
      <c r="S84" s="3016">
        <v>2201</v>
      </c>
      <c r="T84" s="3016">
        <v>144.26</v>
      </c>
      <c r="U84" s="2961" t="s">
        <v>3387</v>
      </c>
    </row>
    <row r="85" spans="3:21">
      <c r="C85" s="2960">
        <v>22</v>
      </c>
      <c r="D85" s="2960">
        <v>2203</v>
      </c>
      <c r="E85" s="2960">
        <v>100.56</v>
      </c>
      <c r="F85" s="2959" t="s">
        <v>3144</v>
      </c>
      <c r="H85" s="3016">
        <v>19</v>
      </c>
      <c r="I85" s="3016">
        <v>1901</v>
      </c>
      <c r="J85" s="3016">
        <v>122.35</v>
      </c>
      <c r="K85" s="2961" t="s">
        <v>3387</v>
      </c>
      <c r="M85" s="2960">
        <v>19</v>
      </c>
      <c r="N85" s="2960">
        <v>1902</v>
      </c>
      <c r="O85" s="2960">
        <v>109.24</v>
      </c>
      <c r="P85" s="2959" t="s">
        <v>3143</v>
      </c>
      <c r="R85" s="3016">
        <v>22</v>
      </c>
      <c r="S85" s="3016">
        <v>2202</v>
      </c>
      <c r="T85" s="3016">
        <v>109.32</v>
      </c>
      <c r="U85" s="2961" t="s">
        <v>3387</v>
      </c>
    </row>
    <row r="86" spans="3:21">
      <c r="C86" s="3016">
        <v>22</v>
      </c>
      <c r="D86" s="3016">
        <v>2204</v>
      </c>
      <c r="E86" s="3016">
        <v>100.56</v>
      </c>
      <c r="F86" s="2961" t="s">
        <v>3387</v>
      </c>
      <c r="H86" s="3016">
        <v>19</v>
      </c>
      <c r="I86" s="3016">
        <v>1902</v>
      </c>
      <c r="J86" s="3016">
        <v>122.35</v>
      </c>
      <c r="K86" s="2961" t="s">
        <v>3387</v>
      </c>
      <c r="M86" s="2960">
        <v>19</v>
      </c>
      <c r="N86" s="2960">
        <v>1903</v>
      </c>
      <c r="O86" s="2960">
        <v>109.24</v>
      </c>
      <c r="P86" s="2959" t="s">
        <v>3143</v>
      </c>
      <c r="R86" s="3016">
        <v>22</v>
      </c>
      <c r="S86" s="3016">
        <v>2203</v>
      </c>
      <c r="T86" s="3016">
        <v>109.32</v>
      </c>
      <c r="U86" s="2961" t="s">
        <v>3387</v>
      </c>
    </row>
    <row r="87" spans="3:21">
      <c r="C87" s="2960">
        <v>23</v>
      </c>
      <c r="D87" s="2960">
        <v>2301</v>
      </c>
      <c r="E87" s="2960">
        <v>123.43</v>
      </c>
      <c r="F87" s="2959" t="s">
        <v>3144</v>
      </c>
      <c r="H87" s="2960">
        <v>19</v>
      </c>
      <c r="I87" s="2960">
        <v>1903</v>
      </c>
      <c r="J87" s="2960">
        <v>99.69</v>
      </c>
      <c r="K87" s="2959" t="s">
        <v>3143</v>
      </c>
      <c r="M87" s="2960">
        <v>19</v>
      </c>
      <c r="N87" s="2960">
        <v>1904</v>
      </c>
      <c r="O87" s="2960">
        <v>137.91999999999999</v>
      </c>
      <c r="P87" s="2959" t="s">
        <v>3143</v>
      </c>
      <c r="R87" s="3018">
        <v>22</v>
      </c>
      <c r="S87" s="3018">
        <v>2204</v>
      </c>
      <c r="T87" s="3018">
        <v>144.26</v>
      </c>
      <c r="U87" s="3019" t="s">
        <v>3387</v>
      </c>
    </row>
    <row r="88" spans="3:21">
      <c r="C88" s="2960">
        <v>23</v>
      </c>
      <c r="D88" s="2960">
        <v>2302</v>
      </c>
      <c r="E88" s="2960">
        <v>123.43</v>
      </c>
      <c r="F88" s="2959" t="s">
        <v>3143</v>
      </c>
      <c r="H88" s="3016">
        <v>19</v>
      </c>
      <c r="I88" s="3016">
        <v>1904</v>
      </c>
      <c r="J88" s="3016">
        <v>99.69</v>
      </c>
      <c r="K88" s="2961" t="s">
        <v>3387</v>
      </c>
      <c r="M88" s="2960">
        <v>20</v>
      </c>
      <c r="N88" s="2960">
        <v>2001</v>
      </c>
      <c r="O88" s="2960">
        <v>137.91999999999999</v>
      </c>
      <c r="P88" s="2959" t="s">
        <v>3143</v>
      </c>
      <c r="R88" s="2960">
        <v>23</v>
      </c>
      <c r="S88" s="2960">
        <v>2301</v>
      </c>
      <c r="T88" s="2960">
        <v>144.26</v>
      </c>
      <c r="U88" s="2959" t="s">
        <v>3143</v>
      </c>
    </row>
    <row r="89" spans="3:21">
      <c r="C89" s="2960">
        <v>23</v>
      </c>
      <c r="D89" s="2960">
        <v>2303</v>
      </c>
      <c r="E89" s="2960">
        <v>100.56</v>
      </c>
      <c r="F89" s="2959" t="s">
        <v>3144</v>
      </c>
      <c r="H89" s="3016">
        <v>20</v>
      </c>
      <c r="I89" s="3016">
        <v>2001</v>
      </c>
      <c r="J89" s="3016">
        <v>122.35</v>
      </c>
      <c r="K89" s="2961" t="s">
        <v>3387</v>
      </c>
      <c r="M89" s="2960">
        <v>20</v>
      </c>
      <c r="N89" s="2960">
        <v>2002</v>
      </c>
      <c r="O89" s="2960">
        <v>109.24</v>
      </c>
      <c r="P89" s="2959" t="s">
        <v>3143</v>
      </c>
      <c r="R89" s="2960">
        <v>23</v>
      </c>
      <c r="S89" s="2960">
        <v>2302</v>
      </c>
      <c r="T89" s="2960">
        <v>109.32</v>
      </c>
      <c r="U89" s="2959" t="s">
        <v>3143</v>
      </c>
    </row>
    <row r="90" spans="3:21">
      <c r="C90" s="2960">
        <v>23</v>
      </c>
      <c r="D90" s="2960">
        <v>2304</v>
      </c>
      <c r="E90" s="2960">
        <v>100.56</v>
      </c>
      <c r="F90" s="2959" t="s">
        <v>3143</v>
      </c>
      <c r="H90" s="2960">
        <v>20</v>
      </c>
      <c r="I90" s="2960">
        <v>2002</v>
      </c>
      <c r="J90" s="2960">
        <v>122.35</v>
      </c>
      <c r="K90" s="2959" t="s">
        <v>3143</v>
      </c>
      <c r="M90" s="3016">
        <v>20</v>
      </c>
      <c r="N90" s="3016">
        <v>2003</v>
      </c>
      <c r="O90" s="3016">
        <v>109.24</v>
      </c>
      <c r="P90" s="2961" t="s">
        <v>3387</v>
      </c>
      <c r="R90" s="3016">
        <v>23</v>
      </c>
      <c r="S90" s="3016">
        <v>2303</v>
      </c>
      <c r="T90" s="3016">
        <v>109.32</v>
      </c>
      <c r="U90" s="2961" t="s">
        <v>3143</v>
      </c>
    </row>
    <row r="91" spans="3:21">
      <c r="C91" s="3016">
        <v>24</v>
      </c>
      <c r="D91" s="3016">
        <v>2401</v>
      </c>
      <c r="E91" s="3016">
        <v>123.43</v>
      </c>
      <c r="F91" s="2961" t="s">
        <v>3387</v>
      </c>
      <c r="H91" s="2960">
        <v>20</v>
      </c>
      <c r="I91" s="2960">
        <v>2003</v>
      </c>
      <c r="J91" s="2960">
        <v>99.69</v>
      </c>
      <c r="K91" s="2959" t="s">
        <v>3143</v>
      </c>
      <c r="M91" s="2960">
        <v>20</v>
      </c>
      <c r="N91" s="2960">
        <v>2004</v>
      </c>
      <c r="O91" s="2960">
        <v>137.91999999999999</v>
      </c>
      <c r="P91" s="2959" t="s">
        <v>3143</v>
      </c>
      <c r="R91" s="2960">
        <v>23</v>
      </c>
      <c r="S91" s="2960">
        <v>2304</v>
      </c>
      <c r="T91" s="2960">
        <v>144.26</v>
      </c>
      <c r="U91" s="2959" t="s">
        <v>3143</v>
      </c>
    </row>
    <row r="92" spans="3:21">
      <c r="C92" s="3016">
        <v>24</v>
      </c>
      <c r="D92" s="3016">
        <v>2402</v>
      </c>
      <c r="E92" s="3016">
        <v>123.43</v>
      </c>
      <c r="F92" s="2961" t="s">
        <v>3387</v>
      </c>
      <c r="H92" s="3016">
        <v>20</v>
      </c>
      <c r="I92" s="3016">
        <v>2004</v>
      </c>
      <c r="J92" s="3016">
        <v>99.69</v>
      </c>
      <c r="K92" s="2961" t="s">
        <v>3387</v>
      </c>
      <c r="M92" s="2960">
        <v>21</v>
      </c>
      <c r="N92" s="2960">
        <v>2101</v>
      </c>
      <c r="O92" s="2960">
        <v>137.91999999999999</v>
      </c>
      <c r="P92" s="2959" t="s">
        <v>3143</v>
      </c>
      <c r="R92" s="2960">
        <v>24</v>
      </c>
      <c r="S92" s="2960">
        <v>2401</v>
      </c>
      <c r="T92" s="2960">
        <v>144.26</v>
      </c>
      <c r="U92" s="2959" t="s">
        <v>3143</v>
      </c>
    </row>
    <row r="93" spans="3:21">
      <c r="C93" s="2960">
        <v>24</v>
      </c>
      <c r="D93" s="2960">
        <v>2403</v>
      </c>
      <c r="E93" s="2960">
        <v>100.56</v>
      </c>
      <c r="F93" s="2959" t="s">
        <v>3144</v>
      </c>
      <c r="H93" s="3016">
        <v>21</v>
      </c>
      <c r="I93" s="3016">
        <v>2101</v>
      </c>
      <c r="J93" s="3016">
        <v>122.35</v>
      </c>
      <c r="K93" s="2961" t="s">
        <v>3387</v>
      </c>
      <c r="M93" s="2960">
        <v>21</v>
      </c>
      <c r="N93" s="2960">
        <v>2102</v>
      </c>
      <c r="O93" s="2960">
        <v>109.24</v>
      </c>
      <c r="P93" s="2959" t="s">
        <v>3143</v>
      </c>
      <c r="R93" s="2960">
        <v>24</v>
      </c>
      <c r="S93" s="2960">
        <v>2402</v>
      </c>
      <c r="T93" s="2960">
        <v>109.32</v>
      </c>
      <c r="U93" s="2959" t="s">
        <v>3143</v>
      </c>
    </row>
    <row r="94" spans="3:21">
      <c r="C94" s="2960">
        <v>24</v>
      </c>
      <c r="D94" s="2960">
        <v>2404</v>
      </c>
      <c r="E94" s="2960">
        <v>100.56</v>
      </c>
      <c r="F94" s="2959" t="s">
        <v>3143</v>
      </c>
      <c r="H94" s="3016">
        <v>21</v>
      </c>
      <c r="I94" s="3016">
        <v>2102</v>
      </c>
      <c r="J94" s="3016">
        <v>122.35</v>
      </c>
      <c r="K94" s="2961" t="s">
        <v>3387</v>
      </c>
      <c r="M94" s="2960">
        <v>21</v>
      </c>
      <c r="N94" s="2960">
        <v>2103</v>
      </c>
      <c r="O94" s="2960">
        <v>109.24</v>
      </c>
      <c r="P94" s="2959" t="s">
        <v>3143</v>
      </c>
      <c r="R94" s="2960">
        <v>24</v>
      </c>
      <c r="S94" s="2960">
        <v>2403</v>
      </c>
      <c r="T94" s="2960">
        <v>109.32</v>
      </c>
      <c r="U94" s="2959" t="s">
        <v>3143</v>
      </c>
    </row>
    <row r="95" spans="3:21">
      <c r="C95" s="2960">
        <v>25</v>
      </c>
      <c r="D95" s="2960">
        <v>2501</v>
      </c>
      <c r="E95" s="2960">
        <v>123.43</v>
      </c>
      <c r="F95" s="2959" t="s">
        <v>3144</v>
      </c>
      <c r="H95" s="2960">
        <v>21</v>
      </c>
      <c r="I95" s="2960">
        <v>2103</v>
      </c>
      <c r="J95" s="2960">
        <v>99.69</v>
      </c>
      <c r="K95" s="2959" t="s">
        <v>3143</v>
      </c>
      <c r="M95" s="2960">
        <v>21</v>
      </c>
      <c r="N95" s="2960">
        <v>2104</v>
      </c>
      <c r="O95" s="2960">
        <v>137.91999999999999</v>
      </c>
      <c r="P95" s="2959" t="s">
        <v>3143</v>
      </c>
      <c r="R95" s="3016">
        <v>24</v>
      </c>
      <c r="S95" s="3016">
        <v>2404</v>
      </c>
      <c r="T95" s="3016">
        <v>144.26</v>
      </c>
      <c r="U95" s="2961" t="s">
        <v>3387</v>
      </c>
    </row>
    <row r="96" spans="3:21">
      <c r="C96" s="3016">
        <v>25</v>
      </c>
      <c r="D96" s="3016">
        <v>2502</v>
      </c>
      <c r="E96" s="3016">
        <v>123.43</v>
      </c>
      <c r="F96" s="2961" t="s">
        <v>3387</v>
      </c>
      <c r="H96" s="3016">
        <v>21</v>
      </c>
      <c r="I96" s="3016">
        <v>2104</v>
      </c>
      <c r="J96" s="3016">
        <v>99.69</v>
      </c>
      <c r="K96" s="2961" t="s">
        <v>3387</v>
      </c>
      <c r="M96" s="3016">
        <v>22</v>
      </c>
      <c r="N96" s="3016">
        <v>2201</v>
      </c>
      <c r="O96" s="3016">
        <v>137.91999999999999</v>
      </c>
      <c r="P96" s="2961" t="s">
        <v>3387</v>
      </c>
      <c r="R96" s="2960">
        <v>25</v>
      </c>
      <c r="S96" s="2960">
        <v>2501</v>
      </c>
      <c r="T96" s="2960">
        <v>144.26</v>
      </c>
      <c r="U96" s="2959" t="s">
        <v>3143</v>
      </c>
    </row>
    <row r="97" spans="3:21">
      <c r="C97" s="2960">
        <v>25</v>
      </c>
      <c r="D97" s="2960">
        <v>2503</v>
      </c>
      <c r="E97" s="2960">
        <v>100.56</v>
      </c>
      <c r="F97" s="2959" t="s">
        <v>3144</v>
      </c>
      <c r="H97" s="2960">
        <v>22</v>
      </c>
      <c r="I97" s="2960">
        <v>2201</v>
      </c>
      <c r="J97" s="2960">
        <v>122.35</v>
      </c>
      <c r="K97" s="2959" t="s">
        <v>3143</v>
      </c>
      <c r="M97" s="3016">
        <v>22</v>
      </c>
      <c r="N97" s="3016">
        <v>2202</v>
      </c>
      <c r="O97" s="3016">
        <v>109.24</v>
      </c>
      <c r="P97" s="2961" t="s">
        <v>3387</v>
      </c>
      <c r="R97" s="2960">
        <v>25</v>
      </c>
      <c r="S97" s="2960">
        <v>2502</v>
      </c>
      <c r="T97" s="2960">
        <v>109.32</v>
      </c>
      <c r="U97" s="2959" t="s">
        <v>3143</v>
      </c>
    </row>
    <row r="98" spans="3:21">
      <c r="C98" s="2960">
        <v>25</v>
      </c>
      <c r="D98" s="2960">
        <v>2504</v>
      </c>
      <c r="E98" s="2960">
        <v>100.56</v>
      </c>
      <c r="F98" s="2959" t="s">
        <v>3143</v>
      </c>
      <c r="H98" s="2960">
        <v>22</v>
      </c>
      <c r="I98" s="2960">
        <v>2202</v>
      </c>
      <c r="J98" s="2960">
        <v>122.35</v>
      </c>
      <c r="K98" s="2959" t="s">
        <v>3143</v>
      </c>
      <c r="M98" s="2960">
        <v>22</v>
      </c>
      <c r="N98" s="2960">
        <v>2203</v>
      </c>
      <c r="O98" s="2960">
        <v>109.24</v>
      </c>
      <c r="P98" s="2959" t="s">
        <v>3143</v>
      </c>
      <c r="R98" s="2960">
        <v>25</v>
      </c>
      <c r="S98" s="2960">
        <v>2503</v>
      </c>
      <c r="T98" s="2960">
        <v>109.32</v>
      </c>
      <c r="U98" s="2959" t="s">
        <v>3143</v>
      </c>
    </row>
    <row r="99" spans="3:21">
      <c r="C99" s="2960">
        <v>26</v>
      </c>
      <c r="D99" s="2960">
        <v>2601</v>
      </c>
      <c r="E99" s="2960">
        <v>123.43</v>
      </c>
      <c r="F99" s="2959" t="s">
        <v>3144</v>
      </c>
      <c r="H99" s="2960">
        <v>22</v>
      </c>
      <c r="I99" s="2960">
        <v>2203</v>
      </c>
      <c r="J99" s="2960">
        <v>99.69</v>
      </c>
      <c r="K99" s="2959" t="s">
        <v>3143</v>
      </c>
      <c r="M99" s="2960">
        <v>22</v>
      </c>
      <c r="N99" s="2960">
        <v>2204</v>
      </c>
      <c r="O99" s="2960">
        <v>137.91999999999999</v>
      </c>
      <c r="P99" s="2959" t="s">
        <v>3143</v>
      </c>
      <c r="R99" s="2960">
        <v>25</v>
      </c>
      <c r="S99" s="2960">
        <v>2504</v>
      </c>
      <c r="T99" s="2960">
        <v>144.26</v>
      </c>
      <c r="U99" s="2959" t="s">
        <v>3143</v>
      </c>
    </row>
    <row r="100" spans="3:21">
      <c r="C100" s="3016">
        <v>26</v>
      </c>
      <c r="D100" s="3016">
        <v>2602</v>
      </c>
      <c r="E100" s="3016">
        <v>123.43</v>
      </c>
      <c r="F100" s="2961" t="s">
        <v>3387</v>
      </c>
      <c r="H100" s="3016">
        <v>22</v>
      </c>
      <c r="I100" s="3016">
        <v>2204</v>
      </c>
      <c r="J100" s="3016">
        <v>99.69</v>
      </c>
      <c r="K100" s="2961" t="s">
        <v>3387</v>
      </c>
      <c r="M100" s="2960">
        <v>23</v>
      </c>
      <c r="N100" s="2960">
        <v>2301</v>
      </c>
      <c r="O100" s="2960">
        <v>137.91999999999999</v>
      </c>
      <c r="P100" s="2959" t="s">
        <v>3143</v>
      </c>
      <c r="R100" s="3016">
        <v>26</v>
      </c>
      <c r="S100" s="3016">
        <v>2601</v>
      </c>
      <c r="T100" s="3016">
        <v>144.26</v>
      </c>
      <c r="U100" s="2961" t="s">
        <v>3387</v>
      </c>
    </row>
    <row r="101" spans="3:21">
      <c r="C101" s="2960">
        <v>26</v>
      </c>
      <c r="D101" s="2960">
        <v>2603</v>
      </c>
      <c r="E101" s="2960">
        <v>100.56</v>
      </c>
      <c r="F101" s="2959" t="s">
        <v>3144</v>
      </c>
      <c r="H101" s="3016">
        <v>23</v>
      </c>
      <c r="I101" s="3016">
        <v>2301</v>
      </c>
      <c r="J101" s="3016">
        <v>122.35</v>
      </c>
      <c r="K101" s="2961" t="s">
        <v>3387</v>
      </c>
      <c r="M101" s="2960">
        <v>23</v>
      </c>
      <c r="N101" s="2960">
        <v>2302</v>
      </c>
      <c r="O101" s="2960">
        <v>109.24</v>
      </c>
      <c r="P101" s="2959" t="s">
        <v>3143</v>
      </c>
      <c r="R101" s="2960">
        <v>26</v>
      </c>
      <c r="S101" s="2960">
        <v>2602</v>
      </c>
      <c r="T101" s="2960">
        <v>109.32</v>
      </c>
      <c r="U101" s="2959" t="s">
        <v>3143</v>
      </c>
    </row>
    <row r="102" spans="3:21">
      <c r="C102" s="2960">
        <v>26</v>
      </c>
      <c r="D102" s="2960">
        <v>2604</v>
      </c>
      <c r="E102" s="2960">
        <v>100.56</v>
      </c>
      <c r="F102" s="2959" t="s">
        <v>3143</v>
      </c>
      <c r="H102" s="3016">
        <v>23</v>
      </c>
      <c r="I102" s="3016">
        <v>2302</v>
      </c>
      <c r="J102" s="3016">
        <v>122.35</v>
      </c>
      <c r="K102" s="2961" t="s">
        <v>3387</v>
      </c>
      <c r="M102" s="3016">
        <v>23</v>
      </c>
      <c r="N102" s="3016">
        <v>2303</v>
      </c>
      <c r="O102" s="3016">
        <v>109.24</v>
      </c>
      <c r="P102" s="2961" t="s">
        <v>3387</v>
      </c>
      <c r="R102" s="3016">
        <v>26</v>
      </c>
      <c r="S102" s="3016">
        <v>2603</v>
      </c>
      <c r="T102" s="3016">
        <v>109.32</v>
      </c>
      <c r="U102" s="2961" t="s">
        <v>3387</v>
      </c>
    </row>
    <row r="103" spans="3:21">
      <c r="C103" s="3016">
        <v>27</v>
      </c>
      <c r="D103" s="3016">
        <v>2701</v>
      </c>
      <c r="E103" s="3016">
        <v>123.43</v>
      </c>
      <c r="F103" s="2961" t="s">
        <v>3387</v>
      </c>
      <c r="H103" s="2960">
        <v>23</v>
      </c>
      <c r="I103" s="2960">
        <v>2303</v>
      </c>
      <c r="J103" s="2960">
        <v>99.69</v>
      </c>
      <c r="K103" s="2959" t="s">
        <v>3143</v>
      </c>
      <c r="M103" s="2960">
        <v>23</v>
      </c>
      <c r="N103" s="2960">
        <v>2304</v>
      </c>
      <c r="O103" s="2960">
        <v>137.91999999999999</v>
      </c>
      <c r="P103" s="2959" t="s">
        <v>3143</v>
      </c>
      <c r="R103" s="2960">
        <v>26</v>
      </c>
      <c r="S103" s="2960">
        <v>2604</v>
      </c>
      <c r="T103" s="2960">
        <v>144.26</v>
      </c>
      <c r="U103" s="2959" t="s">
        <v>3143</v>
      </c>
    </row>
    <row r="104" spans="3:21">
      <c r="C104" s="3016">
        <v>27</v>
      </c>
      <c r="D104" s="3016">
        <v>2702</v>
      </c>
      <c r="E104" s="3016">
        <v>123.43</v>
      </c>
      <c r="F104" s="2961" t="s">
        <v>3387</v>
      </c>
      <c r="H104" s="3016">
        <v>23</v>
      </c>
      <c r="I104" s="3016">
        <v>2304</v>
      </c>
      <c r="J104" s="3016">
        <v>99.69</v>
      </c>
      <c r="K104" s="2961" t="s">
        <v>3387</v>
      </c>
      <c r="M104" s="2960">
        <v>24</v>
      </c>
      <c r="N104" s="2960">
        <v>2401</v>
      </c>
      <c r="O104" s="2960">
        <v>137.91999999999999</v>
      </c>
      <c r="P104" s="2959" t="s">
        <v>3143</v>
      </c>
      <c r="R104" s="2960">
        <v>27</v>
      </c>
      <c r="S104" s="2960">
        <v>2701</v>
      </c>
      <c r="T104" s="2960">
        <v>144.26</v>
      </c>
      <c r="U104" s="2959" t="s">
        <v>3143</v>
      </c>
    </row>
    <row r="105" spans="3:21">
      <c r="C105" s="2960">
        <v>27</v>
      </c>
      <c r="D105" s="2960">
        <v>2703</v>
      </c>
      <c r="E105" s="2960">
        <v>100.56</v>
      </c>
      <c r="F105" s="2959" t="s">
        <v>3144</v>
      </c>
      <c r="H105" s="3016">
        <v>24</v>
      </c>
      <c r="I105" s="3016">
        <v>2401</v>
      </c>
      <c r="J105" s="3016">
        <v>122.35</v>
      </c>
      <c r="K105" s="2961" t="s">
        <v>3387</v>
      </c>
      <c r="M105" s="2960">
        <v>24</v>
      </c>
      <c r="N105" s="2960">
        <v>2402</v>
      </c>
      <c r="O105" s="2960">
        <v>109.24</v>
      </c>
      <c r="P105" s="2959" t="s">
        <v>3143</v>
      </c>
      <c r="R105" s="2960">
        <v>27</v>
      </c>
      <c r="S105" s="2960">
        <v>2702</v>
      </c>
      <c r="T105" s="2960">
        <v>109.32</v>
      </c>
      <c r="U105" s="2959" t="s">
        <v>3143</v>
      </c>
    </row>
    <row r="106" spans="3:21">
      <c r="C106" s="2960">
        <v>27</v>
      </c>
      <c r="D106" s="2960">
        <v>2704</v>
      </c>
      <c r="E106" s="2960">
        <v>100.56</v>
      </c>
      <c r="F106" s="2959" t="s">
        <v>3143</v>
      </c>
      <c r="H106" s="2960">
        <v>24</v>
      </c>
      <c r="I106" s="2960">
        <v>2402</v>
      </c>
      <c r="J106" s="2960">
        <v>122.35</v>
      </c>
      <c r="K106" s="2959" t="s">
        <v>3143</v>
      </c>
      <c r="M106" s="2960">
        <v>24</v>
      </c>
      <c r="N106" s="2960">
        <v>2403</v>
      </c>
      <c r="O106" s="2960">
        <v>109.24</v>
      </c>
      <c r="P106" s="2959" t="s">
        <v>3143</v>
      </c>
      <c r="R106" s="2960">
        <v>27</v>
      </c>
      <c r="S106" s="2960">
        <v>2703</v>
      </c>
      <c r="T106" s="2960">
        <v>109.32</v>
      </c>
      <c r="U106" s="2959" t="s">
        <v>3143</v>
      </c>
    </row>
    <row r="107" spans="3:21">
      <c r="C107" s="2960">
        <v>28</v>
      </c>
      <c r="D107" s="2960">
        <v>2801</v>
      </c>
      <c r="E107" s="2960">
        <v>123.43</v>
      </c>
      <c r="F107" s="2959" t="s">
        <v>3144</v>
      </c>
      <c r="H107" s="2960">
        <v>24</v>
      </c>
      <c r="I107" s="2960">
        <v>2403</v>
      </c>
      <c r="J107" s="2960">
        <v>99.69</v>
      </c>
      <c r="K107" s="2959" t="s">
        <v>3143</v>
      </c>
      <c r="M107" s="2960">
        <v>24</v>
      </c>
      <c r="N107" s="2960">
        <v>2404</v>
      </c>
      <c r="O107" s="2960">
        <v>137.91999999999999</v>
      </c>
      <c r="P107" s="2959" t="s">
        <v>3143</v>
      </c>
      <c r="R107" s="2960">
        <v>27</v>
      </c>
      <c r="S107" s="2960">
        <v>2704</v>
      </c>
      <c r="T107" s="2960">
        <v>144.26</v>
      </c>
      <c r="U107" s="2959" t="s">
        <v>3143</v>
      </c>
    </row>
    <row r="108" spans="3:21">
      <c r="C108" s="3016">
        <v>28</v>
      </c>
      <c r="D108" s="3016">
        <v>2802</v>
      </c>
      <c r="E108" s="3016">
        <v>123.43</v>
      </c>
      <c r="F108" s="2961" t="s">
        <v>3388</v>
      </c>
      <c r="H108" s="2960">
        <v>24</v>
      </c>
      <c r="I108" s="2960">
        <v>2404</v>
      </c>
      <c r="J108" s="2960">
        <v>99.69</v>
      </c>
      <c r="K108" s="2959" t="s">
        <v>3143</v>
      </c>
      <c r="M108" s="2960">
        <v>25</v>
      </c>
      <c r="N108" s="2960">
        <v>2501</v>
      </c>
      <c r="O108" s="2960">
        <v>137.91999999999999</v>
      </c>
      <c r="P108" s="2959" t="s">
        <v>3143</v>
      </c>
      <c r="R108" s="2960">
        <v>28</v>
      </c>
      <c r="S108" s="2960">
        <v>2801</v>
      </c>
      <c r="T108" s="2960">
        <v>144.26</v>
      </c>
      <c r="U108" s="2959" t="s">
        <v>3143</v>
      </c>
    </row>
    <row r="109" spans="3:21">
      <c r="C109" s="2960">
        <v>28</v>
      </c>
      <c r="D109" s="2960">
        <v>2803</v>
      </c>
      <c r="E109" s="2960">
        <v>100.56</v>
      </c>
      <c r="F109" s="2959" t="s">
        <v>3144</v>
      </c>
      <c r="H109" s="3016">
        <v>25</v>
      </c>
      <c r="I109" s="3016">
        <v>2501</v>
      </c>
      <c r="J109" s="3016">
        <v>122.35</v>
      </c>
      <c r="K109" s="2961" t="s">
        <v>3387</v>
      </c>
      <c r="M109" s="2960">
        <v>25</v>
      </c>
      <c r="N109" s="2960">
        <v>2502</v>
      </c>
      <c r="O109" s="2960">
        <v>109.24</v>
      </c>
      <c r="P109" s="2959" t="s">
        <v>3143</v>
      </c>
      <c r="R109" s="2960">
        <v>28</v>
      </c>
      <c r="S109" s="2960">
        <v>2802</v>
      </c>
      <c r="T109" s="2960">
        <v>109.32</v>
      </c>
      <c r="U109" s="2959" t="s">
        <v>3143</v>
      </c>
    </row>
    <row r="110" spans="3:21">
      <c r="C110" s="3016">
        <v>28</v>
      </c>
      <c r="D110" s="3016">
        <v>2804</v>
      </c>
      <c r="E110" s="3016">
        <v>100.56</v>
      </c>
      <c r="F110" s="2961" t="s">
        <v>3387</v>
      </c>
      <c r="H110" s="2960">
        <v>25</v>
      </c>
      <c r="I110" s="2960">
        <v>2502</v>
      </c>
      <c r="J110" s="2960">
        <v>122.35</v>
      </c>
      <c r="K110" s="2959" t="s">
        <v>3143</v>
      </c>
      <c r="M110" s="2960">
        <v>25</v>
      </c>
      <c r="N110" s="2960">
        <v>2503</v>
      </c>
      <c r="O110" s="2960">
        <v>109.24</v>
      </c>
      <c r="P110" s="2959" t="s">
        <v>3143</v>
      </c>
      <c r="R110" s="3016">
        <v>28</v>
      </c>
      <c r="S110" s="3016">
        <v>2803</v>
      </c>
      <c r="T110" s="3016">
        <v>109.32</v>
      </c>
      <c r="U110" s="2961" t="s">
        <v>3387</v>
      </c>
    </row>
    <row r="111" spans="3:21">
      <c r="C111" s="2960">
        <v>29</v>
      </c>
      <c r="D111" s="2960">
        <v>2901</v>
      </c>
      <c r="E111" s="2960">
        <v>123.43</v>
      </c>
      <c r="F111" s="2959" t="s">
        <v>3387</v>
      </c>
      <c r="H111" s="2960">
        <v>25</v>
      </c>
      <c r="I111" s="2960">
        <v>2503</v>
      </c>
      <c r="J111" s="2960">
        <v>99.69</v>
      </c>
      <c r="K111" s="2959" t="s">
        <v>3143</v>
      </c>
      <c r="M111" s="2960">
        <v>25</v>
      </c>
      <c r="N111" s="2960">
        <v>2504</v>
      </c>
      <c r="O111" s="2960">
        <v>137.91999999999999</v>
      </c>
      <c r="P111" s="2959" t="s">
        <v>3143</v>
      </c>
      <c r="R111" s="3016">
        <v>28</v>
      </c>
      <c r="S111" s="3016">
        <v>2804</v>
      </c>
      <c r="T111" s="3016">
        <v>144.26</v>
      </c>
      <c r="U111" s="2961" t="s">
        <v>3387</v>
      </c>
    </row>
    <row r="112" spans="3:21">
      <c r="C112" s="3016">
        <v>29</v>
      </c>
      <c r="D112" s="3016">
        <v>2902</v>
      </c>
      <c r="E112" s="3016">
        <v>123.43</v>
      </c>
      <c r="F112" s="2961" t="s">
        <v>3387</v>
      </c>
      <c r="H112" s="3016">
        <v>25</v>
      </c>
      <c r="I112" s="3016">
        <v>2504</v>
      </c>
      <c r="J112" s="3016">
        <v>99.69</v>
      </c>
      <c r="K112" s="2961" t="s">
        <v>3387</v>
      </c>
      <c r="M112" s="2960">
        <v>26</v>
      </c>
      <c r="N112" s="2960">
        <v>2601</v>
      </c>
      <c r="O112" s="2960">
        <v>137.91999999999999</v>
      </c>
      <c r="P112" s="2959" t="s">
        <v>3143</v>
      </c>
      <c r="R112" s="2960">
        <v>29</v>
      </c>
      <c r="S112" s="2960">
        <v>2901</v>
      </c>
      <c r="T112" s="2960">
        <v>144.26</v>
      </c>
      <c r="U112" s="2959" t="s">
        <v>3143</v>
      </c>
    </row>
    <row r="113" spans="3:21">
      <c r="C113" s="2960">
        <v>29</v>
      </c>
      <c r="D113" s="2960">
        <v>2903</v>
      </c>
      <c r="E113" s="2960">
        <v>100.56</v>
      </c>
      <c r="F113" s="2959" t="s">
        <v>3144</v>
      </c>
      <c r="H113" s="3016">
        <v>26</v>
      </c>
      <c r="I113" s="3016">
        <v>2601</v>
      </c>
      <c r="J113" s="3016">
        <v>122.35</v>
      </c>
      <c r="K113" s="2961" t="s">
        <v>3387</v>
      </c>
      <c r="M113" s="2960">
        <v>26</v>
      </c>
      <c r="N113" s="2960">
        <v>2602</v>
      </c>
      <c r="O113" s="2960">
        <v>109.24</v>
      </c>
      <c r="P113" s="2959" t="s">
        <v>3143</v>
      </c>
      <c r="R113" s="2960">
        <v>29</v>
      </c>
      <c r="S113" s="2960">
        <v>2902</v>
      </c>
      <c r="T113" s="2960">
        <v>109.32</v>
      </c>
      <c r="U113" s="2959" t="s">
        <v>3143</v>
      </c>
    </row>
    <row r="114" spans="3:21">
      <c r="C114" s="2960">
        <v>29</v>
      </c>
      <c r="D114" s="2960">
        <v>2904</v>
      </c>
      <c r="E114" s="2960">
        <v>100.56</v>
      </c>
      <c r="F114" s="2959" t="s">
        <v>3143</v>
      </c>
      <c r="H114" s="2960">
        <v>26</v>
      </c>
      <c r="I114" s="2960">
        <v>2602</v>
      </c>
      <c r="J114" s="2960">
        <v>122.35</v>
      </c>
      <c r="K114" s="2959" t="s">
        <v>3143</v>
      </c>
      <c r="M114" s="2960">
        <v>26</v>
      </c>
      <c r="N114" s="2960">
        <v>2603</v>
      </c>
      <c r="O114" s="2960">
        <v>109.24</v>
      </c>
      <c r="P114" s="2959" t="s">
        <v>3143</v>
      </c>
      <c r="R114" s="2960">
        <v>29</v>
      </c>
      <c r="S114" s="2960">
        <v>2903</v>
      </c>
      <c r="T114" s="2960">
        <v>109.32</v>
      </c>
      <c r="U114" s="2959" t="s">
        <v>3143</v>
      </c>
    </row>
    <row r="115" spans="3:21">
      <c r="C115" s="2960">
        <v>30</v>
      </c>
      <c r="D115" s="2960">
        <v>3001</v>
      </c>
      <c r="E115" s="2960">
        <v>123.43</v>
      </c>
      <c r="F115" s="2959" t="s">
        <v>3144</v>
      </c>
      <c r="H115" s="2960">
        <v>26</v>
      </c>
      <c r="I115" s="2960">
        <v>2603</v>
      </c>
      <c r="J115" s="2960">
        <v>99.69</v>
      </c>
      <c r="K115" s="2959" t="s">
        <v>3143</v>
      </c>
      <c r="M115" s="3016">
        <v>26</v>
      </c>
      <c r="N115" s="3016">
        <v>2604</v>
      </c>
      <c r="O115" s="3016">
        <v>137.91999999999999</v>
      </c>
      <c r="P115" s="2961" t="s">
        <v>3387</v>
      </c>
      <c r="R115" s="2960">
        <v>29</v>
      </c>
      <c r="S115" s="2960">
        <v>2904</v>
      </c>
      <c r="T115" s="2960">
        <v>144.26</v>
      </c>
      <c r="U115" s="2959" t="s">
        <v>3143</v>
      </c>
    </row>
    <row r="116" spans="3:21">
      <c r="C116" s="3016">
        <v>30</v>
      </c>
      <c r="D116" s="3016">
        <v>3002</v>
      </c>
      <c r="E116" s="3016">
        <v>123.43</v>
      </c>
      <c r="F116" s="2961" t="s">
        <v>3387</v>
      </c>
      <c r="H116" s="3016">
        <v>26</v>
      </c>
      <c r="I116" s="3016">
        <v>2604</v>
      </c>
      <c r="J116" s="3016">
        <v>99.69</v>
      </c>
      <c r="K116" s="2961" t="s">
        <v>3387</v>
      </c>
      <c r="M116" s="2960">
        <v>27</v>
      </c>
      <c r="N116" s="2960">
        <v>2701</v>
      </c>
      <c r="O116" s="2960">
        <v>137.91999999999999</v>
      </c>
      <c r="P116" s="2959" t="s">
        <v>3143</v>
      </c>
      <c r="R116" s="2960">
        <v>30</v>
      </c>
      <c r="S116" s="2960">
        <v>3001</v>
      </c>
      <c r="T116" s="2960">
        <v>144.26</v>
      </c>
      <c r="U116" s="2959" t="s">
        <v>3143</v>
      </c>
    </row>
    <row r="117" spans="3:21">
      <c r="C117" s="2960">
        <v>30</v>
      </c>
      <c r="D117" s="2960">
        <v>3003</v>
      </c>
      <c r="E117" s="2960">
        <v>100.56</v>
      </c>
      <c r="F117" s="2959" t="s">
        <v>3144</v>
      </c>
      <c r="H117" s="3016">
        <v>27</v>
      </c>
      <c r="I117" s="3016">
        <v>2701</v>
      </c>
      <c r="J117" s="3016">
        <v>122.35</v>
      </c>
      <c r="K117" s="2961" t="s">
        <v>3387</v>
      </c>
      <c r="M117" s="2960">
        <v>27</v>
      </c>
      <c r="N117" s="2960">
        <v>2702</v>
      </c>
      <c r="O117" s="2960">
        <v>109.24</v>
      </c>
      <c r="P117" s="2959" t="s">
        <v>3143</v>
      </c>
      <c r="R117" s="2960">
        <v>30</v>
      </c>
      <c r="S117" s="2960">
        <v>3002</v>
      </c>
      <c r="T117" s="2960">
        <v>109.32</v>
      </c>
      <c r="U117" s="2959" t="s">
        <v>3143</v>
      </c>
    </row>
    <row r="118" spans="3:21">
      <c r="C118" s="2960">
        <v>30</v>
      </c>
      <c r="D118" s="2960">
        <v>3004</v>
      </c>
      <c r="E118" s="2960">
        <v>100.56</v>
      </c>
      <c r="F118" s="2959" t="s">
        <v>3143</v>
      </c>
      <c r="H118" s="2960">
        <v>27</v>
      </c>
      <c r="I118" s="2960">
        <v>2702</v>
      </c>
      <c r="J118" s="2960">
        <v>122.35</v>
      </c>
      <c r="K118" s="2959" t="s">
        <v>3143</v>
      </c>
      <c r="M118" s="2960">
        <v>27</v>
      </c>
      <c r="N118" s="2960">
        <v>2703</v>
      </c>
      <c r="O118" s="2960">
        <v>109.24</v>
      </c>
      <c r="P118" s="2959" t="s">
        <v>3143</v>
      </c>
      <c r="R118" s="2960">
        <v>30</v>
      </c>
      <c r="S118" s="2960">
        <v>3003</v>
      </c>
      <c r="T118" s="2960">
        <v>109.32</v>
      </c>
      <c r="U118" s="2959" t="s">
        <v>3143</v>
      </c>
    </row>
    <row r="119" spans="3:21">
      <c r="C119" s="2960">
        <v>31</v>
      </c>
      <c r="D119" s="2960">
        <v>3101</v>
      </c>
      <c r="E119" s="2960">
        <v>123.43</v>
      </c>
      <c r="F119" s="2959" t="s">
        <v>3144</v>
      </c>
      <c r="H119" s="3016">
        <v>27</v>
      </c>
      <c r="I119" s="3016">
        <v>2703</v>
      </c>
      <c r="J119" s="3016">
        <v>99.69</v>
      </c>
      <c r="K119" s="2961" t="s">
        <v>3389</v>
      </c>
      <c r="M119" s="2960">
        <v>27</v>
      </c>
      <c r="N119" s="2960">
        <v>2704</v>
      </c>
      <c r="O119" s="2960">
        <v>137.91999999999999</v>
      </c>
      <c r="P119" s="2959" t="s">
        <v>3143</v>
      </c>
      <c r="R119" s="2960">
        <v>30</v>
      </c>
      <c r="S119" s="2960">
        <v>3004</v>
      </c>
      <c r="T119" s="2960">
        <v>144.26</v>
      </c>
      <c r="U119" s="2959" t="s">
        <v>3143</v>
      </c>
    </row>
    <row r="120" spans="3:21">
      <c r="C120" s="2960">
        <v>31</v>
      </c>
      <c r="D120" s="2960">
        <v>3102</v>
      </c>
      <c r="E120" s="2960">
        <v>123.43</v>
      </c>
      <c r="F120" s="2959" t="s">
        <v>3143</v>
      </c>
      <c r="H120" s="3016">
        <v>27</v>
      </c>
      <c r="I120" s="3016">
        <v>2704</v>
      </c>
      <c r="J120" s="3016">
        <v>99.69</v>
      </c>
      <c r="K120" s="2961" t="s">
        <v>3389</v>
      </c>
      <c r="M120" s="2960">
        <v>28</v>
      </c>
      <c r="N120" s="2960">
        <v>2801</v>
      </c>
      <c r="O120" s="2960">
        <v>137.91999999999999</v>
      </c>
      <c r="P120" s="2959" t="s">
        <v>3143</v>
      </c>
      <c r="R120" s="2960">
        <v>31</v>
      </c>
      <c r="S120" s="2960">
        <v>3101</v>
      </c>
      <c r="T120" s="2960">
        <v>144.26</v>
      </c>
      <c r="U120" s="2959" t="s">
        <v>3143</v>
      </c>
    </row>
    <row r="121" spans="3:21">
      <c r="C121" s="2960">
        <v>31</v>
      </c>
      <c r="D121" s="2960">
        <v>3103</v>
      </c>
      <c r="E121" s="2960">
        <v>100.56</v>
      </c>
      <c r="F121" s="2959" t="s">
        <v>3144</v>
      </c>
      <c r="H121" s="3016">
        <v>28</v>
      </c>
      <c r="I121" s="3016">
        <v>2801</v>
      </c>
      <c r="J121" s="3016">
        <v>122.35</v>
      </c>
      <c r="K121" s="2961" t="s">
        <v>3387</v>
      </c>
      <c r="M121" s="2960">
        <v>28</v>
      </c>
      <c r="N121" s="2960">
        <v>2802</v>
      </c>
      <c r="O121" s="2960">
        <v>109.24</v>
      </c>
      <c r="P121" s="2959" t="s">
        <v>3143</v>
      </c>
      <c r="R121" s="2960">
        <v>31</v>
      </c>
      <c r="S121" s="2960">
        <v>3102</v>
      </c>
      <c r="T121" s="2960">
        <v>109.32</v>
      </c>
      <c r="U121" s="2959" t="s">
        <v>3143</v>
      </c>
    </row>
    <row r="122" spans="3:21">
      <c r="C122" s="2960">
        <v>31</v>
      </c>
      <c r="D122" s="2960">
        <v>3104</v>
      </c>
      <c r="E122" s="2960">
        <v>100.56</v>
      </c>
      <c r="F122" s="2959" t="s">
        <v>3143</v>
      </c>
      <c r="H122" s="2960">
        <v>28</v>
      </c>
      <c r="I122" s="2960">
        <v>2802</v>
      </c>
      <c r="J122" s="2960">
        <v>122.35</v>
      </c>
      <c r="K122" s="2959" t="s">
        <v>3143</v>
      </c>
      <c r="M122" s="2960">
        <v>28</v>
      </c>
      <c r="N122" s="2960">
        <v>2803</v>
      </c>
      <c r="O122" s="2960">
        <v>109.24</v>
      </c>
      <c r="P122" s="2959" t="s">
        <v>3143</v>
      </c>
      <c r="R122" s="2960">
        <v>31</v>
      </c>
      <c r="S122" s="2960">
        <v>3103</v>
      </c>
      <c r="T122" s="2960">
        <v>109.32</v>
      </c>
      <c r="U122" s="2959" t="s">
        <v>3143</v>
      </c>
    </row>
    <row r="123" spans="3:21">
      <c r="C123" s="2960">
        <v>32</v>
      </c>
      <c r="D123" s="2960">
        <v>3201</v>
      </c>
      <c r="E123" s="2960">
        <v>123.43</v>
      </c>
      <c r="F123" s="2959" t="s">
        <v>3144</v>
      </c>
      <c r="H123" s="2960">
        <v>28</v>
      </c>
      <c r="I123" s="2960">
        <v>2803</v>
      </c>
      <c r="J123" s="2960">
        <v>99.69</v>
      </c>
      <c r="K123" s="2959" t="s">
        <v>3143</v>
      </c>
      <c r="M123" s="2960">
        <v>28</v>
      </c>
      <c r="N123" s="2960">
        <v>2804</v>
      </c>
      <c r="O123" s="2960">
        <v>137.91999999999999</v>
      </c>
      <c r="P123" s="2959" t="s">
        <v>3143</v>
      </c>
      <c r="R123" s="2960">
        <v>31</v>
      </c>
      <c r="S123" s="2960">
        <v>3104</v>
      </c>
      <c r="T123" s="2960">
        <v>144.26</v>
      </c>
      <c r="U123" s="2959" t="s">
        <v>3143</v>
      </c>
    </row>
    <row r="124" spans="3:21">
      <c r="C124" s="2960">
        <v>32</v>
      </c>
      <c r="D124" s="2960">
        <v>3202</v>
      </c>
      <c r="E124" s="2960">
        <v>123.43</v>
      </c>
      <c r="F124" s="2959" t="s">
        <v>3143</v>
      </c>
      <c r="H124" s="3016">
        <v>28</v>
      </c>
      <c r="I124" s="3016">
        <v>2804</v>
      </c>
      <c r="J124" s="3016">
        <v>99.69</v>
      </c>
      <c r="K124" s="2961" t="s">
        <v>3387</v>
      </c>
      <c r="M124" s="2960">
        <v>29</v>
      </c>
      <c r="N124" s="2960">
        <v>2901</v>
      </c>
      <c r="O124" s="2960">
        <v>137.91999999999999</v>
      </c>
      <c r="P124" s="2959" t="s">
        <v>3143</v>
      </c>
      <c r="R124" s="3016">
        <v>32</v>
      </c>
      <c r="S124" s="3016">
        <v>3201</v>
      </c>
      <c r="T124" s="3016">
        <v>144.26</v>
      </c>
      <c r="U124" s="2961" t="s">
        <v>3387</v>
      </c>
    </row>
    <row r="125" spans="3:21">
      <c r="C125" s="2960">
        <v>32</v>
      </c>
      <c r="D125" s="2960">
        <v>3203</v>
      </c>
      <c r="E125" s="2960">
        <v>100.56</v>
      </c>
      <c r="F125" s="2959" t="s">
        <v>3144</v>
      </c>
      <c r="H125" s="3016">
        <v>29</v>
      </c>
      <c r="I125" s="3016">
        <v>2901</v>
      </c>
      <c r="J125" s="3016">
        <v>122.35</v>
      </c>
      <c r="K125" s="2961" t="s">
        <v>3387</v>
      </c>
      <c r="M125" s="3016">
        <v>29</v>
      </c>
      <c r="N125" s="3016">
        <v>2902</v>
      </c>
      <c r="O125" s="3016">
        <v>109.24</v>
      </c>
      <c r="P125" s="2961" t="s">
        <v>3387</v>
      </c>
      <c r="R125" s="2960">
        <v>32</v>
      </c>
      <c r="S125" s="2960">
        <v>3202</v>
      </c>
      <c r="T125" s="2960">
        <v>109.32</v>
      </c>
      <c r="U125" s="2959" t="s">
        <v>3143</v>
      </c>
    </row>
    <row r="126" spans="3:21">
      <c r="C126" s="2960">
        <v>32</v>
      </c>
      <c r="D126" s="2960">
        <v>3204</v>
      </c>
      <c r="E126" s="2960">
        <v>100.56</v>
      </c>
      <c r="F126" s="2959" t="s">
        <v>3143</v>
      </c>
      <c r="H126" s="2960">
        <v>29</v>
      </c>
      <c r="I126" s="2960">
        <v>2902</v>
      </c>
      <c r="J126" s="2960">
        <v>122.35</v>
      </c>
      <c r="K126" s="2959" t="s">
        <v>3143</v>
      </c>
      <c r="M126" s="2960">
        <v>29</v>
      </c>
      <c r="N126" s="2960">
        <v>2903</v>
      </c>
      <c r="O126" s="2960">
        <v>109.24</v>
      </c>
      <c r="P126" s="2959" t="s">
        <v>3143</v>
      </c>
      <c r="R126" s="2960">
        <v>32</v>
      </c>
      <c r="S126" s="2960">
        <v>3203</v>
      </c>
      <c r="T126" s="2960">
        <v>109.32</v>
      </c>
      <c r="U126" s="2959" t="s">
        <v>3143</v>
      </c>
    </row>
    <row r="127" spans="3:21">
      <c r="C127" s="2960">
        <v>33</v>
      </c>
      <c r="D127" s="2960">
        <v>3301</v>
      </c>
      <c r="E127" s="2960">
        <v>123.43</v>
      </c>
      <c r="F127" s="2959" t="s">
        <v>3144</v>
      </c>
      <c r="H127" s="3016">
        <v>29</v>
      </c>
      <c r="I127" s="3016">
        <v>2903</v>
      </c>
      <c r="J127" s="3016">
        <v>99.69</v>
      </c>
      <c r="K127" s="2961" t="s">
        <v>3387</v>
      </c>
      <c r="M127" s="2960">
        <v>29</v>
      </c>
      <c r="N127" s="2960">
        <v>2904</v>
      </c>
      <c r="O127" s="2960">
        <v>137.91999999999999</v>
      </c>
      <c r="P127" s="2959" t="s">
        <v>3143</v>
      </c>
      <c r="R127" s="2960">
        <v>32</v>
      </c>
      <c r="S127" s="2960">
        <v>3204</v>
      </c>
      <c r="T127" s="2960">
        <v>144.26</v>
      </c>
      <c r="U127" s="2959" t="s">
        <v>3143</v>
      </c>
    </row>
    <row r="128" spans="3:21">
      <c r="C128" s="2960">
        <v>33</v>
      </c>
      <c r="D128" s="2960">
        <v>3302</v>
      </c>
      <c r="E128" s="2960">
        <v>123.43</v>
      </c>
      <c r="F128" s="2959" t="s">
        <v>3143</v>
      </c>
      <c r="H128" s="2960">
        <v>29</v>
      </c>
      <c r="I128" s="2960">
        <v>2904</v>
      </c>
      <c r="J128" s="2960">
        <v>99.69</v>
      </c>
      <c r="K128" s="2959" t="s">
        <v>3143</v>
      </c>
      <c r="M128" s="2960">
        <v>30</v>
      </c>
      <c r="N128" s="2960">
        <v>3001</v>
      </c>
      <c r="O128" s="2960">
        <v>137.91999999999999</v>
      </c>
      <c r="P128" s="2959" t="s">
        <v>3143</v>
      </c>
      <c r="R128" s="2960">
        <v>33</v>
      </c>
      <c r="S128" s="2960">
        <v>3301</v>
      </c>
      <c r="T128" s="2960">
        <v>144.26</v>
      </c>
      <c r="U128" s="2959" t="s">
        <v>3143</v>
      </c>
    </row>
    <row r="129" spans="3:21">
      <c r="C129" s="2960">
        <v>33</v>
      </c>
      <c r="D129" s="2960">
        <v>3303</v>
      </c>
      <c r="E129" s="2960">
        <v>100.56</v>
      </c>
      <c r="F129" s="2959" t="s">
        <v>3144</v>
      </c>
      <c r="H129" s="2960">
        <v>30</v>
      </c>
      <c r="I129" s="2960">
        <v>3001</v>
      </c>
      <c r="J129" s="2960">
        <v>122.35</v>
      </c>
      <c r="K129" s="2959" t="s">
        <v>3143</v>
      </c>
      <c r="M129" s="3016">
        <v>30</v>
      </c>
      <c r="N129" s="3016">
        <v>3002</v>
      </c>
      <c r="O129" s="3016">
        <v>109.24</v>
      </c>
      <c r="P129" s="2961" t="s">
        <v>3387</v>
      </c>
      <c r="R129" s="2960">
        <v>33</v>
      </c>
      <c r="S129" s="2960">
        <v>3302</v>
      </c>
      <c r="T129" s="2960">
        <v>109.32</v>
      </c>
      <c r="U129" s="2959" t="s">
        <v>3143</v>
      </c>
    </row>
    <row r="130" spans="3:21">
      <c r="C130" s="2960">
        <v>33</v>
      </c>
      <c r="D130" s="2960">
        <v>3304</v>
      </c>
      <c r="E130" s="2960">
        <v>100.56</v>
      </c>
      <c r="F130" s="2959" t="s">
        <v>3143</v>
      </c>
      <c r="H130" s="2960">
        <v>30</v>
      </c>
      <c r="I130" s="2960">
        <v>3002</v>
      </c>
      <c r="J130" s="2960">
        <v>122.35</v>
      </c>
      <c r="K130" s="2959" t="s">
        <v>3143</v>
      </c>
      <c r="M130" s="2960">
        <v>30</v>
      </c>
      <c r="N130" s="2960">
        <v>3003</v>
      </c>
      <c r="O130" s="2960">
        <v>109.24</v>
      </c>
      <c r="P130" s="2959" t="s">
        <v>3143</v>
      </c>
      <c r="R130" s="2960">
        <v>33</v>
      </c>
      <c r="S130" s="2960">
        <v>3303</v>
      </c>
      <c r="T130" s="2960">
        <v>109.32</v>
      </c>
      <c r="U130" s="2959" t="s">
        <v>3143</v>
      </c>
    </row>
    <row r="131" spans="3:21">
      <c r="C131" s="2960">
        <v>34</v>
      </c>
      <c r="D131" s="2960">
        <v>3401</v>
      </c>
      <c r="E131" s="2960">
        <v>123.43</v>
      </c>
      <c r="F131" s="2959" t="s">
        <v>3144</v>
      </c>
      <c r="H131" s="3016">
        <v>30</v>
      </c>
      <c r="I131" s="3016">
        <v>3003</v>
      </c>
      <c r="J131" s="3016">
        <v>99.69</v>
      </c>
      <c r="K131" s="2961" t="s">
        <v>3387</v>
      </c>
      <c r="M131" s="2960">
        <v>30</v>
      </c>
      <c r="N131" s="2960">
        <v>3004</v>
      </c>
      <c r="O131" s="2960">
        <v>137.91999999999999</v>
      </c>
      <c r="P131" s="2959" t="s">
        <v>3143</v>
      </c>
      <c r="R131" s="2960">
        <v>33</v>
      </c>
      <c r="S131" s="2960">
        <v>3304</v>
      </c>
      <c r="T131" s="2960">
        <v>144.26</v>
      </c>
      <c r="U131" s="2959" t="s">
        <v>3143</v>
      </c>
    </row>
    <row r="132" spans="3:21">
      <c r="C132" s="2960">
        <v>34</v>
      </c>
      <c r="D132" s="2960">
        <v>3402</v>
      </c>
      <c r="E132" s="2960">
        <v>123.43</v>
      </c>
      <c r="F132" s="2959" t="s">
        <v>3143</v>
      </c>
      <c r="H132" s="3016">
        <v>30</v>
      </c>
      <c r="I132" s="3016">
        <v>3004</v>
      </c>
      <c r="J132" s="3016">
        <v>99.69</v>
      </c>
      <c r="K132" s="2961" t="s">
        <v>3387</v>
      </c>
      <c r="M132" s="2960">
        <v>31</v>
      </c>
      <c r="N132" s="2960">
        <v>3101</v>
      </c>
      <c r="O132" s="2960">
        <v>137.91999999999999</v>
      </c>
      <c r="P132" s="2959" t="s">
        <v>3143</v>
      </c>
      <c r="R132" s="2960">
        <v>34</v>
      </c>
      <c r="S132" s="2960">
        <v>3401</v>
      </c>
      <c r="T132" s="2960">
        <v>144.26</v>
      </c>
      <c r="U132" s="2959" t="s">
        <v>3143</v>
      </c>
    </row>
    <row r="133" spans="3:21">
      <c r="C133" s="2960">
        <v>34</v>
      </c>
      <c r="D133" s="2960">
        <v>3403</v>
      </c>
      <c r="E133" s="2960">
        <v>100.56</v>
      </c>
      <c r="F133" s="2959" t="s">
        <v>3144</v>
      </c>
      <c r="H133" s="2960">
        <v>31</v>
      </c>
      <c r="I133" s="2960">
        <v>3101</v>
      </c>
      <c r="J133" s="2960">
        <v>122.35</v>
      </c>
      <c r="K133" s="2959" t="s">
        <v>3143</v>
      </c>
      <c r="M133" s="2960">
        <v>31</v>
      </c>
      <c r="N133" s="2960">
        <v>3102</v>
      </c>
      <c r="O133" s="2960">
        <v>109.24</v>
      </c>
      <c r="P133" s="2959" t="s">
        <v>3143</v>
      </c>
      <c r="R133" s="2960">
        <v>34</v>
      </c>
      <c r="S133" s="2960">
        <v>3402</v>
      </c>
      <c r="T133" s="2960">
        <v>109.32</v>
      </c>
      <c r="U133" s="2959" t="s">
        <v>3143</v>
      </c>
    </row>
    <row r="134" spans="3:21">
      <c r="C134" s="2960">
        <v>34</v>
      </c>
      <c r="D134" s="2960">
        <v>3404</v>
      </c>
      <c r="E134" s="2960">
        <v>100.56</v>
      </c>
      <c r="F134" s="2959" t="s">
        <v>3143</v>
      </c>
      <c r="H134" s="3016">
        <v>31</v>
      </c>
      <c r="I134" s="3016">
        <v>3102</v>
      </c>
      <c r="J134" s="3016">
        <v>122.35</v>
      </c>
      <c r="K134" s="2961" t="s">
        <v>3387</v>
      </c>
      <c r="M134" s="2960">
        <v>31</v>
      </c>
      <c r="N134" s="2960">
        <v>3103</v>
      </c>
      <c r="O134" s="2960">
        <v>109.24</v>
      </c>
      <c r="P134" s="2959" t="s">
        <v>3143</v>
      </c>
      <c r="R134" s="2960">
        <v>34</v>
      </c>
      <c r="S134" s="2960">
        <v>3403</v>
      </c>
      <c r="T134" s="2960">
        <v>109.32</v>
      </c>
      <c r="U134" s="2959" t="s">
        <v>3143</v>
      </c>
    </row>
    <row r="135" spans="3:21">
      <c r="C135" s="2959" t="s">
        <v>3145</v>
      </c>
      <c r="D135" s="2959" t="s">
        <v>3146</v>
      </c>
      <c r="E135" s="2960">
        <f>SUM(E4:E134)</f>
        <v>15126.660000000003</v>
      </c>
      <c r="F135" s="2959" t="s">
        <v>3146</v>
      </c>
      <c r="H135" s="2960">
        <v>31</v>
      </c>
      <c r="I135" s="2960">
        <v>3103</v>
      </c>
      <c r="J135" s="2960">
        <v>99.69</v>
      </c>
      <c r="K135" s="2959" t="s">
        <v>3387</v>
      </c>
      <c r="M135" s="2960">
        <v>31</v>
      </c>
      <c r="N135" s="2960">
        <v>3104</v>
      </c>
      <c r="O135" s="2960">
        <v>137.91999999999999</v>
      </c>
      <c r="P135" s="2959" t="s">
        <v>3143</v>
      </c>
      <c r="R135" s="2960">
        <v>34</v>
      </c>
      <c r="S135" s="2960">
        <v>3404</v>
      </c>
      <c r="T135" s="2960">
        <v>144.26</v>
      </c>
      <c r="U135" s="2959" t="s">
        <v>3143</v>
      </c>
    </row>
    <row r="136" spans="3:21">
      <c r="D136" s="3017" t="s">
        <v>3391</v>
      </c>
      <c r="E136" s="2958">
        <f>E135-E116-E112-E110-E108-E104-E103-E100-E96-E92-E91-E86-E84-E80-E76-E74-E70-E68-E66-E62-E58-E54-E50-E46-E44-E42-E34-E22</f>
        <v>12091.360000000006</v>
      </c>
      <c r="H136" s="2960">
        <v>31</v>
      </c>
      <c r="I136" s="2960">
        <v>3104</v>
      </c>
      <c r="J136" s="2960">
        <v>99.69</v>
      </c>
      <c r="K136" s="2959" t="s">
        <v>3143</v>
      </c>
      <c r="M136" s="2960">
        <v>32</v>
      </c>
      <c r="N136" s="2960">
        <v>3201</v>
      </c>
      <c r="O136" s="2960">
        <v>137.91999999999999</v>
      </c>
      <c r="P136" s="2959" t="s">
        <v>3143</v>
      </c>
      <c r="R136" s="2959" t="s">
        <v>3145</v>
      </c>
      <c r="S136" s="2959" t="s">
        <v>3146</v>
      </c>
      <c r="T136" s="2959">
        <f>SUM(T4:T135)</f>
        <v>16736.28</v>
      </c>
      <c r="U136" s="2959" t="s">
        <v>3146</v>
      </c>
    </row>
    <row r="137" spans="3:21">
      <c r="H137" s="2960">
        <v>32</v>
      </c>
      <c r="I137" s="2960">
        <v>3201</v>
      </c>
      <c r="J137" s="2960">
        <v>122.35</v>
      </c>
      <c r="K137" s="2959" t="s">
        <v>3143</v>
      </c>
      <c r="M137" s="2960">
        <v>32</v>
      </c>
      <c r="N137" s="2960">
        <v>3202</v>
      </c>
      <c r="O137" s="2960">
        <v>109.24</v>
      </c>
      <c r="P137" s="2959" t="s">
        <v>3143</v>
      </c>
      <c r="R137" s="3017" t="s">
        <v>3391</v>
      </c>
      <c r="T137" s="2958">
        <f>T136-T34-T95-T124-T111-T110-T102-T100-T90-T86-T85-T84-T83-T82-T80-T79-T78-T77-T76-T75-T74-T73-T72-T70-T67-T66-T65-T64-T63-T62-T61-T60-T59-T58-T57-T56-T53-T51-T50-T49-T46-T45-T42-T38-T30-T25-T9</f>
        <v>11078.640000000005</v>
      </c>
    </row>
    <row r="138" spans="3:21">
      <c r="H138" s="3016">
        <v>32</v>
      </c>
      <c r="I138" s="3016">
        <v>3202</v>
      </c>
      <c r="J138" s="3016">
        <v>122.35</v>
      </c>
      <c r="K138" s="2961" t="s">
        <v>3387</v>
      </c>
      <c r="M138" s="2960">
        <v>32</v>
      </c>
      <c r="N138" s="2960">
        <v>3203</v>
      </c>
      <c r="O138" s="2960">
        <v>109.24</v>
      </c>
      <c r="P138" s="2959" t="s">
        <v>3143</v>
      </c>
    </row>
    <row r="139" spans="3:21">
      <c r="H139" s="2960">
        <v>32</v>
      </c>
      <c r="I139" s="2960">
        <v>3203</v>
      </c>
      <c r="J139" s="2960">
        <v>99.69</v>
      </c>
      <c r="K139" s="2959" t="s">
        <v>3143</v>
      </c>
      <c r="M139" s="2960">
        <v>32</v>
      </c>
      <c r="N139" s="2960">
        <v>3204</v>
      </c>
      <c r="O139" s="2960">
        <v>137.91999999999999</v>
      </c>
      <c r="P139" s="2959" t="s">
        <v>3143</v>
      </c>
    </row>
    <row r="140" spans="3:21">
      <c r="H140" s="2960">
        <v>32</v>
      </c>
      <c r="I140" s="2960">
        <v>3204</v>
      </c>
      <c r="J140" s="2960">
        <v>99.69</v>
      </c>
      <c r="K140" s="2959" t="s">
        <v>3143</v>
      </c>
      <c r="M140" s="2960">
        <v>33</v>
      </c>
      <c r="N140" s="2960">
        <v>3301</v>
      </c>
      <c r="O140" s="2960">
        <v>137.91999999999999</v>
      </c>
      <c r="P140" s="2959" t="s">
        <v>3143</v>
      </c>
    </row>
    <row r="141" spans="3:21">
      <c r="H141" s="2960">
        <v>33</v>
      </c>
      <c r="I141" s="2960">
        <v>3301</v>
      </c>
      <c r="J141" s="2960">
        <v>122.35</v>
      </c>
      <c r="K141" s="2959" t="s">
        <v>3143</v>
      </c>
      <c r="M141" s="2960">
        <v>33</v>
      </c>
      <c r="N141" s="2960">
        <v>3302</v>
      </c>
      <c r="O141" s="2960">
        <v>109.24</v>
      </c>
      <c r="P141" s="2959" t="s">
        <v>3143</v>
      </c>
    </row>
    <row r="142" spans="3:21">
      <c r="H142" s="2960">
        <v>33</v>
      </c>
      <c r="I142" s="2960">
        <v>3302</v>
      </c>
      <c r="J142" s="2960">
        <v>122.35</v>
      </c>
      <c r="K142" s="2959" t="s">
        <v>3143</v>
      </c>
      <c r="M142" s="2960">
        <v>33</v>
      </c>
      <c r="N142" s="2960">
        <v>3303</v>
      </c>
      <c r="O142" s="2960">
        <v>109.24</v>
      </c>
      <c r="P142" s="2959" t="s">
        <v>3143</v>
      </c>
    </row>
    <row r="143" spans="3:21">
      <c r="H143" s="2960">
        <v>33</v>
      </c>
      <c r="I143" s="2960">
        <v>3303</v>
      </c>
      <c r="J143" s="2960">
        <v>99.69</v>
      </c>
      <c r="K143" s="2959" t="s">
        <v>3143</v>
      </c>
      <c r="M143" s="2960">
        <v>33</v>
      </c>
      <c r="N143" s="2960">
        <v>3304</v>
      </c>
      <c r="O143" s="2960">
        <v>137.91999999999999</v>
      </c>
      <c r="P143" s="2959" t="s">
        <v>3143</v>
      </c>
    </row>
    <row r="144" spans="3:21">
      <c r="H144" s="2960">
        <v>33</v>
      </c>
      <c r="I144" s="2960">
        <v>3304</v>
      </c>
      <c r="J144" s="2960">
        <v>99.69</v>
      </c>
      <c r="K144" s="2959" t="s">
        <v>3143</v>
      </c>
      <c r="M144" s="2959" t="s">
        <v>3149</v>
      </c>
      <c r="N144" s="2959" t="s">
        <v>3146</v>
      </c>
      <c r="O144" s="2960">
        <f>SUM(O4:O143)</f>
        <v>16938.51999999999</v>
      </c>
      <c r="P144" s="2959" t="s">
        <v>3146</v>
      </c>
    </row>
    <row r="145" spans="2:15">
      <c r="H145" s="2959" t="s">
        <v>3149</v>
      </c>
      <c r="I145" s="2959" t="s">
        <v>3146</v>
      </c>
      <c r="J145" s="2960">
        <f>SUM(J4:J144)</f>
        <v>15270.760000000026</v>
      </c>
      <c r="K145" s="2959" t="s">
        <v>3146</v>
      </c>
      <c r="M145" s="3017" t="s">
        <v>3393</v>
      </c>
      <c r="O145" s="2958">
        <f>O144-O129-O125-O115-O102-O97-O96-O90-O82-O78-O74-O73-O70-O69-O62-O61-O58-O57-O54-O53-O50-O49-O46-O38-O34-O14-O30</f>
        <v>14040.919999999991</v>
      </c>
    </row>
    <row r="146" spans="2:15">
      <c r="H146" s="3017" t="s">
        <v>3392</v>
      </c>
      <c r="J146" s="2958">
        <f>J145-J112-J138-J134-J132-J131-J127-J125-J124-J121-J120-J119-J117-J116-J113-J109-J105-J104-J102-J101-J100-J96-J94-J93-J92-J89-J88-J86-J85-J80-J79-J78-J77-J76-J75-J73-J72-J71-J69-J68-J65-J64-J63-J62-J61-J60-J59-J58-J57-J56-J55-J53-J52-J51-J48-J47-J44-J43-J41-J40-J39-J37-J36-J35-J33-J32-J31-J24-J20-J19-J17-J16-J15-J14-J13</f>
        <v>7201.5300000000007</v>
      </c>
    </row>
    <row r="149" spans="2:15">
      <c r="B149" s="2958">
        <v>1</v>
      </c>
    </row>
    <row r="150" spans="2:15">
      <c r="B150" s="2958">
        <v>2</v>
      </c>
    </row>
    <row r="151" spans="2:15">
      <c r="B151" s="2958">
        <v>3</v>
      </c>
    </row>
    <row r="152" spans="2:15">
      <c r="B152" s="2958">
        <v>4</v>
      </c>
    </row>
    <row r="153" spans="2:15">
      <c r="B153" s="2958">
        <v>5</v>
      </c>
    </row>
    <row r="154" spans="2:15">
      <c r="B154" s="2958">
        <v>6</v>
      </c>
    </row>
    <row r="155" spans="2:15">
      <c r="B155" s="2958">
        <v>7</v>
      </c>
    </row>
    <row r="156" spans="2:15">
      <c r="B156" s="2958">
        <v>8</v>
      </c>
    </row>
    <row r="157" spans="2:15">
      <c r="B157" s="2958">
        <v>9</v>
      </c>
    </row>
    <row r="158" spans="2:15">
      <c r="B158" s="2958">
        <v>10</v>
      </c>
    </row>
    <row r="159" spans="2:15">
      <c r="B159" s="2958">
        <v>11</v>
      </c>
    </row>
    <row r="160" spans="2:15">
      <c r="B160" s="2958">
        <v>12</v>
      </c>
    </row>
    <row r="161" spans="2:2">
      <c r="B161" s="2958">
        <v>13</v>
      </c>
    </row>
    <row r="162" spans="2:2">
      <c r="B162" s="2958">
        <v>14</v>
      </c>
    </row>
    <row r="163" spans="2:2">
      <c r="B163" s="2958">
        <v>15</v>
      </c>
    </row>
    <row r="164" spans="2:2">
      <c r="B164" s="2958">
        <v>16</v>
      </c>
    </row>
    <row r="165" spans="2:2">
      <c r="B165" s="2958">
        <v>17</v>
      </c>
    </row>
    <row r="166" spans="2:2">
      <c r="B166" s="2958">
        <v>18</v>
      </c>
    </row>
    <row r="167" spans="2:2">
      <c r="B167" s="2958">
        <v>19</v>
      </c>
    </row>
    <row r="168" spans="2:2">
      <c r="B168" s="2958">
        <v>20</v>
      </c>
    </row>
    <row r="169" spans="2:2">
      <c r="B169" s="2958">
        <v>21</v>
      </c>
    </row>
    <row r="170" spans="2:2">
      <c r="B170" s="2958">
        <v>22</v>
      </c>
    </row>
    <row r="171" spans="2:2">
      <c r="B171" s="2958">
        <v>23</v>
      </c>
    </row>
    <row r="172" spans="2:2">
      <c r="B172" s="2958">
        <v>24</v>
      </c>
    </row>
    <row r="173" spans="2:2">
      <c r="B173" s="2958">
        <v>25</v>
      </c>
    </row>
    <row r="174" spans="2:2">
      <c r="B174" s="2958">
        <v>26</v>
      </c>
    </row>
    <row r="175" spans="2:2">
      <c r="B175" s="2958">
        <v>27</v>
      </c>
    </row>
    <row r="176" spans="2:2">
      <c r="B176" s="2958">
        <v>28</v>
      </c>
    </row>
    <row r="177" spans="2:2">
      <c r="B177" s="2958">
        <v>29</v>
      </c>
    </row>
    <row r="178" spans="2:2">
      <c r="B178" s="2958">
        <v>30</v>
      </c>
    </row>
    <row r="179" spans="2:2">
      <c r="B179" s="2958">
        <v>31</v>
      </c>
    </row>
    <row r="180" spans="2:2">
      <c r="B180" s="2958">
        <v>32</v>
      </c>
    </row>
    <row r="181" spans="2:2">
      <c r="B181" s="2958">
        <v>33</v>
      </c>
    </row>
    <row r="182" spans="2:2">
      <c r="B182" s="2958">
        <v>34</v>
      </c>
    </row>
    <row r="183" spans="2:2">
      <c r="B183" s="2958">
        <v>35</v>
      </c>
    </row>
    <row r="184" spans="2:2">
      <c r="B184" s="2958">
        <v>36</v>
      </c>
    </row>
    <row r="185" spans="2:2">
      <c r="B185" s="2958">
        <v>37</v>
      </c>
    </row>
    <row r="186" spans="2:2">
      <c r="B186" s="2958">
        <v>38</v>
      </c>
    </row>
    <row r="187" spans="2:2">
      <c r="B187" s="2958">
        <v>39</v>
      </c>
    </row>
    <row r="188" spans="2:2">
      <c r="B188" s="2958">
        <v>40</v>
      </c>
    </row>
    <row r="189" spans="2:2">
      <c r="B189" s="2958">
        <v>41</v>
      </c>
    </row>
    <row r="190" spans="2:2">
      <c r="B190" s="2958">
        <v>42</v>
      </c>
    </row>
    <row r="191" spans="2:2">
      <c r="B191" s="2958">
        <v>43</v>
      </c>
    </row>
    <row r="192" spans="2:2">
      <c r="B192" s="2958">
        <v>44</v>
      </c>
    </row>
    <row r="193" spans="2:2">
      <c r="B193" s="2958">
        <v>45</v>
      </c>
    </row>
    <row r="194" spans="2:2">
      <c r="B194" s="2958">
        <v>46</v>
      </c>
    </row>
    <row r="195" spans="2:2">
      <c r="B195" s="2958">
        <v>47</v>
      </c>
    </row>
    <row r="196" spans="2:2">
      <c r="B196" s="2958">
        <v>48</v>
      </c>
    </row>
    <row r="197" spans="2:2">
      <c r="B197" s="2958">
        <v>49</v>
      </c>
    </row>
    <row r="198" spans="2:2">
      <c r="B198" s="2958">
        <v>50</v>
      </c>
    </row>
    <row r="199" spans="2:2">
      <c r="B199" s="2958">
        <v>51</v>
      </c>
    </row>
    <row r="200" spans="2:2">
      <c r="B200" s="2958">
        <v>52</v>
      </c>
    </row>
    <row r="201" spans="2:2">
      <c r="B201" s="2958">
        <v>53</v>
      </c>
    </row>
    <row r="202" spans="2:2">
      <c r="B202" s="2958">
        <v>54</v>
      </c>
    </row>
    <row r="203" spans="2:2">
      <c r="B203" s="2958">
        <v>55</v>
      </c>
    </row>
    <row r="204" spans="2:2">
      <c r="B204" s="2958">
        <v>56</v>
      </c>
    </row>
    <row r="205" spans="2:2">
      <c r="B205" s="2958">
        <v>57</v>
      </c>
    </row>
    <row r="206" spans="2:2">
      <c r="B206" s="2958">
        <v>58</v>
      </c>
    </row>
    <row r="207" spans="2:2">
      <c r="B207" s="2958">
        <v>59</v>
      </c>
    </row>
    <row r="208" spans="2:2">
      <c r="B208" s="2958">
        <v>60</v>
      </c>
    </row>
    <row r="209" spans="2:2">
      <c r="B209" s="2958">
        <v>61</v>
      </c>
    </row>
    <row r="210" spans="2:2">
      <c r="B210" s="2958">
        <v>62</v>
      </c>
    </row>
    <row r="211" spans="2:2">
      <c r="B211" s="2958">
        <v>63</v>
      </c>
    </row>
    <row r="212" spans="2:2">
      <c r="B212" s="2958">
        <v>64</v>
      </c>
    </row>
    <row r="213" spans="2:2">
      <c r="B213" s="2958">
        <v>65</v>
      </c>
    </row>
    <row r="214" spans="2:2">
      <c r="B214" s="2958">
        <v>66</v>
      </c>
    </row>
    <row r="215" spans="2:2">
      <c r="B215" s="2958">
        <v>67</v>
      </c>
    </row>
    <row r="216" spans="2:2">
      <c r="B216" s="2958">
        <v>68</v>
      </c>
    </row>
    <row r="217" spans="2:2">
      <c r="B217" s="2958">
        <v>69</v>
      </c>
    </row>
    <row r="218" spans="2:2">
      <c r="B218" s="2958">
        <v>70</v>
      </c>
    </row>
    <row r="219" spans="2:2">
      <c r="B219" s="2958">
        <v>71</v>
      </c>
    </row>
    <row r="220" spans="2:2">
      <c r="B220" s="2958">
        <v>72</v>
      </c>
    </row>
    <row r="221" spans="2:2">
      <c r="B221" s="2958">
        <v>73</v>
      </c>
    </row>
    <row r="222" spans="2:2">
      <c r="B222" s="2958">
        <v>74</v>
      </c>
    </row>
    <row r="223" spans="2:2">
      <c r="B223" s="2958">
        <v>75</v>
      </c>
    </row>
    <row r="224" spans="2:2">
      <c r="B224" s="2958">
        <v>76</v>
      </c>
    </row>
    <row r="225" spans="2:2">
      <c r="B225" s="2958">
        <v>77</v>
      </c>
    </row>
    <row r="226" spans="2:2">
      <c r="B226" s="2958">
        <v>78</v>
      </c>
    </row>
    <row r="227" spans="2:2">
      <c r="B227" s="2958">
        <v>79</v>
      </c>
    </row>
    <row r="228" spans="2:2">
      <c r="B228" s="2958">
        <v>80</v>
      </c>
    </row>
    <row r="229" spans="2:2">
      <c r="B229" s="2958">
        <v>81</v>
      </c>
    </row>
    <row r="230" spans="2:2">
      <c r="B230" s="2958">
        <v>82</v>
      </c>
    </row>
    <row r="231" spans="2:2">
      <c r="B231" s="2958">
        <v>83</v>
      </c>
    </row>
    <row r="232" spans="2:2">
      <c r="B232" s="2958">
        <v>84</v>
      </c>
    </row>
    <row r="233" spans="2:2">
      <c r="B233" s="2958">
        <v>85</v>
      </c>
    </row>
    <row r="234" spans="2:2">
      <c r="B234" s="2958">
        <v>86</v>
      </c>
    </row>
    <row r="235" spans="2:2">
      <c r="B235" s="2958">
        <v>87</v>
      </c>
    </row>
    <row r="236" spans="2:2">
      <c r="B236" s="2958">
        <v>88</v>
      </c>
    </row>
    <row r="237" spans="2:2">
      <c r="B237" s="2958">
        <v>89</v>
      </c>
    </row>
    <row r="238" spans="2:2">
      <c r="B238" s="2958">
        <v>90</v>
      </c>
    </row>
    <row r="239" spans="2:2">
      <c r="B239" s="2958">
        <v>91</v>
      </c>
    </row>
    <row r="240" spans="2:2">
      <c r="B240" s="2958">
        <v>92</v>
      </c>
    </row>
    <row r="241" spans="2:2">
      <c r="B241" s="2958">
        <v>93</v>
      </c>
    </row>
    <row r="242" spans="2:2">
      <c r="B242" s="2958">
        <v>94</v>
      </c>
    </row>
    <row r="243" spans="2:2">
      <c r="B243" s="2958">
        <v>95</v>
      </c>
    </row>
    <row r="244" spans="2:2">
      <c r="B244" s="2958">
        <v>96</v>
      </c>
    </row>
    <row r="245" spans="2:2">
      <c r="B245" s="2958">
        <v>97</v>
      </c>
    </row>
    <row r="246" spans="2:2">
      <c r="B246" s="2958">
        <v>98</v>
      </c>
    </row>
    <row r="247" spans="2:2">
      <c r="B247" s="2958">
        <v>99</v>
      </c>
    </row>
    <row r="248" spans="2:2">
      <c r="B248" s="2958">
        <v>100</v>
      </c>
    </row>
    <row r="249" spans="2:2">
      <c r="B249" s="2958">
        <v>101</v>
      </c>
    </row>
    <row r="250" spans="2:2">
      <c r="B250" s="2958">
        <v>102</v>
      </c>
    </row>
    <row r="251" spans="2:2">
      <c r="B251" s="2958">
        <v>103</v>
      </c>
    </row>
    <row r="252" spans="2:2">
      <c r="B252" s="2958">
        <v>104</v>
      </c>
    </row>
    <row r="253" spans="2:2">
      <c r="B253" s="2958">
        <v>105</v>
      </c>
    </row>
    <row r="254" spans="2:2">
      <c r="B254" s="2958">
        <v>106</v>
      </c>
    </row>
    <row r="255" spans="2:2">
      <c r="B255" s="2958">
        <v>107</v>
      </c>
    </row>
    <row r="256" spans="2:2">
      <c r="B256" s="2958">
        <v>108</v>
      </c>
    </row>
    <row r="257" spans="2:2">
      <c r="B257" s="2958">
        <v>109</v>
      </c>
    </row>
    <row r="258" spans="2:2">
      <c r="B258" s="2958">
        <v>110</v>
      </c>
    </row>
    <row r="259" spans="2:2">
      <c r="B259" s="2958">
        <v>111</v>
      </c>
    </row>
    <row r="260" spans="2:2">
      <c r="B260" s="2958">
        <v>112</v>
      </c>
    </row>
    <row r="261" spans="2:2">
      <c r="B261" s="2958">
        <v>113</v>
      </c>
    </row>
    <row r="262" spans="2:2">
      <c r="B262" s="2958">
        <v>114</v>
      </c>
    </row>
    <row r="263" spans="2:2">
      <c r="B263" s="2958">
        <v>115</v>
      </c>
    </row>
    <row r="264" spans="2:2">
      <c r="B264" s="2958">
        <v>116</v>
      </c>
    </row>
    <row r="265" spans="2:2">
      <c r="B265" s="2958">
        <v>117</v>
      </c>
    </row>
    <row r="266" spans="2:2">
      <c r="B266" s="2958">
        <v>118</v>
      </c>
    </row>
    <row r="267" spans="2:2">
      <c r="B267" s="2958">
        <v>119</v>
      </c>
    </row>
    <row r="268" spans="2:2">
      <c r="B268" s="2958">
        <v>120</v>
      </c>
    </row>
    <row r="269" spans="2:2">
      <c r="B269" s="2958">
        <v>121</v>
      </c>
    </row>
    <row r="270" spans="2:2">
      <c r="B270" s="2958">
        <v>122</v>
      </c>
    </row>
    <row r="271" spans="2:2">
      <c r="B271" s="2958">
        <v>123</v>
      </c>
    </row>
    <row r="272" spans="2:2">
      <c r="B272" s="2958">
        <v>124</v>
      </c>
    </row>
    <row r="273" spans="2:2">
      <c r="B273" s="2958">
        <v>125</v>
      </c>
    </row>
    <row r="274" spans="2:2">
      <c r="B274" s="2958">
        <v>126</v>
      </c>
    </row>
    <row r="275" spans="2:2">
      <c r="B275" s="2958">
        <v>127</v>
      </c>
    </row>
    <row r="276" spans="2:2">
      <c r="B276" s="2958">
        <v>128</v>
      </c>
    </row>
    <row r="277" spans="2:2">
      <c r="B277" s="2958">
        <v>129</v>
      </c>
    </row>
    <row r="278" spans="2:2">
      <c r="B278" s="2958">
        <v>130</v>
      </c>
    </row>
    <row r="279" spans="2:2">
      <c r="B279" s="2958">
        <v>131</v>
      </c>
    </row>
    <row r="280" spans="2:2">
      <c r="B280" s="2958">
        <v>132</v>
      </c>
    </row>
    <row r="281" spans="2:2">
      <c r="B281" s="2958">
        <v>133</v>
      </c>
    </row>
    <row r="282" spans="2:2">
      <c r="B282" s="2958">
        <v>134</v>
      </c>
    </row>
    <row r="283" spans="2:2">
      <c r="B283" s="2958">
        <v>135</v>
      </c>
    </row>
    <row r="284" spans="2:2">
      <c r="B284" s="2958">
        <v>136</v>
      </c>
    </row>
    <row r="285" spans="2:2">
      <c r="B285" s="2958">
        <v>137</v>
      </c>
    </row>
    <row r="286" spans="2:2">
      <c r="B286" s="2958">
        <v>138</v>
      </c>
    </row>
    <row r="287" spans="2:2">
      <c r="B287" s="2958">
        <v>139</v>
      </c>
    </row>
    <row r="288" spans="2:2">
      <c r="B288" s="2958">
        <v>140</v>
      </c>
    </row>
    <row r="289" spans="2:2">
      <c r="B289" s="2958">
        <v>141</v>
      </c>
    </row>
    <row r="290" spans="2:2">
      <c r="B290" s="2958">
        <v>142</v>
      </c>
    </row>
    <row r="291" spans="2:2">
      <c r="B291" s="2958">
        <v>143</v>
      </c>
    </row>
    <row r="292" spans="2:2">
      <c r="B292" s="2958">
        <v>144</v>
      </c>
    </row>
    <row r="293" spans="2:2">
      <c r="B293" s="2958">
        <v>145</v>
      </c>
    </row>
    <row r="294" spans="2:2">
      <c r="B294" s="2958">
        <v>146</v>
      </c>
    </row>
    <row r="295" spans="2:2">
      <c r="B295" s="2958">
        <v>147</v>
      </c>
    </row>
    <row r="296" spans="2:2">
      <c r="B296" s="2958">
        <v>148</v>
      </c>
    </row>
    <row r="297" spans="2:2">
      <c r="B297" s="2958">
        <v>149</v>
      </c>
    </row>
    <row r="298" spans="2:2">
      <c r="B298" s="2958">
        <v>150</v>
      </c>
    </row>
    <row r="299" spans="2:2">
      <c r="B299" s="2958">
        <v>151</v>
      </c>
    </row>
    <row r="300" spans="2:2">
      <c r="B300" s="2958">
        <v>152</v>
      </c>
    </row>
    <row r="301" spans="2:2">
      <c r="B301" s="2958">
        <v>153</v>
      </c>
    </row>
    <row r="302" spans="2:2">
      <c r="B302" s="2958">
        <v>154</v>
      </c>
    </row>
    <row r="303" spans="2:2">
      <c r="B303" s="2958">
        <v>155</v>
      </c>
    </row>
    <row r="304" spans="2:2">
      <c r="B304" s="2958">
        <v>156</v>
      </c>
    </row>
    <row r="305" spans="2:2">
      <c r="B305" s="2958">
        <v>157</v>
      </c>
    </row>
    <row r="306" spans="2:2">
      <c r="B306" s="2958">
        <v>158</v>
      </c>
    </row>
    <row r="307" spans="2:2">
      <c r="B307" s="2958">
        <v>159</v>
      </c>
    </row>
    <row r="308" spans="2:2">
      <c r="B308" s="2958">
        <v>160</v>
      </c>
    </row>
    <row r="309" spans="2:2">
      <c r="B309" s="2958">
        <v>161</v>
      </c>
    </row>
    <row r="310" spans="2:2">
      <c r="B310" s="2958">
        <v>162</v>
      </c>
    </row>
    <row r="311" spans="2:2">
      <c r="B311" s="2958">
        <v>163</v>
      </c>
    </row>
    <row r="312" spans="2:2">
      <c r="B312" s="2958">
        <v>164</v>
      </c>
    </row>
    <row r="313" spans="2:2">
      <c r="B313" s="2958">
        <v>165</v>
      </c>
    </row>
    <row r="314" spans="2:2">
      <c r="B314" s="2958">
        <v>166</v>
      </c>
    </row>
    <row r="315" spans="2:2">
      <c r="B315" s="2958">
        <v>167</v>
      </c>
    </row>
    <row r="316" spans="2:2">
      <c r="B316" s="2958">
        <v>168</v>
      </c>
    </row>
    <row r="317" spans="2:2">
      <c r="B317" s="2958">
        <v>169</v>
      </c>
    </row>
    <row r="318" spans="2:2">
      <c r="B318" s="2958">
        <v>170</v>
      </c>
    </row>
    <row r="319" spans="2:2">
      <c r="B319" s="2958">
        <v>171</v>
      </c>
    </row>
    <row r="320" spans="2:2">
      <c r="B320" s="2958">
        <v>172</v>
      </c>
    </row>
    <row r="321" spans="2:2">
      <c r="B321" s="2958">
        <v>173</v>
      </c>
    </row>
    <row r="322" spans="2:2">
      <c r="B322" s="2958">
        <v>174</v>
      </c>
    </row>
    <row r="323" spans="2:2">
      <c r="B323" s="2958">
        <v>175</v>
      </c>
    </row>
    <row r="324" spans="2:2">
      <c r="B324" s="2958">
        <v>176</v>
      </c>
    </row>
    <row r="325" spans="2:2">
      <c r="B325" s="2958">
        <v>177</v>
      </c>
    </row>
    <row r="326" spans="2:2">
      <c r="B326" s="2958">
        <v>178</v>
      </c>
    </row>
    <row r="327" spans="2:2">
      <c r="B327" s="2958">
        <v>179</v>
      </c>
    </row>
    <row r="328" spans="2:2">
      <c r="B328" s="2958">
        <v>180</v>
      </c>
    </row>
    <row r="329" spans="2:2">
      <c r="B329" s="2958">
        <v>181</v>
      </c>
    </row>
    <row r="330" spans="2:2">
      <c r="B330" s="2958">
        <v>182</v>
      </c>
    </row>
    <row r="331" spans="2:2">
      <c r="B331" s="2958">
        <v>183</v>
      </c>
    </row>
    <row r="332" spans="2:2">
      <c r="B332" s="2958">
        <v>184</v>
      </c>
    </row>
    <row r="333" spans="2:2">
      <c r="B333" s="2958">
        <v>185</v>
      </c>
    </row>
    <row r="334" spans="2:2">
      <c r="B334" s="2958">
        <v>186</v>
      </c>
    </row>
    <row r="335" spans="2:2">
      <c r="B335" s="2958">
        <v>187</v>
      </c>
    </row>
    <row r="336" spans="2:2">
      <c r="B336" s="2958">
        <v>188</v>
      </c>
    </row>
    <row r="337" spans="2:2">
      <c r="B337" s="2958">
        <v>189</v>
      </c>
    </row>
    <row r="338" spans="2:2">
      <c r="B338" s="2958">
        <v>190</v>
      </c>
    </row>
    <row r="339" spans="2:2">
      <c r="B339" s="2958">
        <v>191</v>
      </c>
    </row>
    <row r="340" spans="2:2">
      <c r="B340" s="2958">
        <v>192</v>
      </c>
    </row>
    <row r="341" spans="2:2">
      <c r="B341" s="2958">
        <v>193</v>
      </c>
    </row>
    <row r="342" spans="2:2">
      <c r="B342" s="2958">
        <v>194</v>
      </c>
    </row>
    <row r="343" spans="2:2">
      <c r="B343" s="2958">
        <v>195</v>
      </c>
    </row>
    <row r="344" spans="2:2">
      <c r="B344" s="2958">
        <v>196</v>
      </c>
    </row>
    <row r="345" spans="2:2">
      <c r="B345" s="2958">
        <v>197</v>
      </c>
    </row>
    <row r="346" spans="2:2">
      <c r="B346" s="2958">
        <v>198</v>
      </c>
    </row>
    <row r="347" spans="2:2">
      <c r="B347" s="2958">
        <v>199</v>
      </c>
    </row>
    <row r="348" spans="2:2">
      <c r="B348" s="2958">
        <v>200</v>
      </c>
    </row>
    <row r="349" spans="2:2">
      <c r="B349" s="2958">
        <v>201</v>
      </c>
    </row>
    <row r="350" spans="2:2">
      <c r="B350" s="2958">
        <v>202</v>
      </c>
    </row>
    <row r="351" spans="2:2">
      <c r="B351" s="2958">
        <v>203</v>
      </c>
    </row>
    <row r="352" spans="2:2">
      <c r="B352" s="2958">
        <v>204</v>
      </c>
    </row>
    <row r="353" spans="2:2">
      <c r="B353" s="2958">
        <v>205</v>
      </c>
    </row>
    <row r="354" spans="2:2">
      <c r="B354" s="2958">
        <v>206</v>
      </c>
    </row>
    <row r="355" spans="2:2">
      <c r="B355" s="2958">
        <v>207</v>
      </c>
    </row>
    <row r="356" spans="2:2">
      <c r="B356" s="2958">
        <v>208</v>
      </c>
    </row>
    <row r="357" spans="2:2">
      <c r="B357" s="2958">
        <v>209</v>
      </c>
    </row>
    <row r="358" spans="2:2">
      <c r="B358" s="2958">
        <v>210</v>
      </c>
    </row>
    <row r="359" spans="2:2">
      <c r="B359" s="2958">
        <v>211</v>
      </c>
    </row>
    <row r="360" spans="2:2">
      <c r="B360" s="2958">
        <v>212</v>
      </c>
    </row>
    <row r="361" spans="2:2">
      <c r="B361" s="2958">
        <v>213</v>
      </c>
    </row>
    <row r="362" spans="2:2">
      <c r="B362" s="2958">
        <v>214</v>
      </c>
    </row>
    <row r="363" spans="2:2">
      <c r="B363" s="2958">
        <v>215</v>
      </c>
    </row>
    <row r="364" spans="2:2">
      <c r="B364" s="2958">
        <v>216</v>
      </c>
    </row>
    <row r="365" spans="2:2">
      <c r="B365" s="2958">
        <v>217</v>
      </c>
    </row>
    <row r="366" spans="2:2">
      <c r="B366" s="2958">
        <v>218</v>
      </c>
    </row>
    <row r="367" spans="2:2">
      <c r="B367" s="2958">
        <v>219</v>
      </c>
    </row>
    <row r="368" spans="2:2">
      <c r="B368" s="2958">
        <v>220</v>
      </c>
    </row>
    <row r="369" spans="2:2">
      <c r="B369" s="2958">
        <v>221</v>
      </c>
    </row>
    <row r="370" spans="2:2">
      <c r="B370" s="2958">
        <v>222</v>
      </c>
    </row>
    <row r="371" spans="2:2">
      <c r="B371" s="2958">
        <v>223</v>
      </c>
    </row>
    <row r="372" spans="2:2">
      <c r="B372" s="2958">
        <v>224</v>
      </c>
    </row>
    <row r="373" spans="2:2">
      <c r="B373" s="2958">
        <v>225</v>
      </c>
    </row>
    <row r="374" spans="2:2">
      <c r="B374" s="2958">
        <v>226</v>
      </c>
    </row>
    <row r="375" spans="2:2">
      <c r="B375" s="2958">
        <v>227</v>
      </c>
    </row>
    <row r="376" spans="2:2">
      <c r="B376" s="2958">
        <v>228</v>
      </c>
    </row>
    <row r="377" spans="2:2">
      <c r="B377" s="2958">
        <v>229</v>
      </c>
    </row>
    <row r="378" spans="2:2">
      <c r="B378" s="2958">
        <v>230</v>
      </c>
    </row>
    <row r="379" spans="2:2">
      <c r="B379" s="2958">
        <v>231</v>
      </c>
    </row>
    <row r="380" spans="2:2">
      <c r="B380" s="2958">
        <v>232</v>
      </c>
    </row>
    <row r="381" spans="2:2">
      <c r="B381" s="2958">
        <v>233</v>
      </c>
    </row>
    <row r="382" spans="2:2">
      <c r="B382" s="2958">
        <v>234</v>
      </c>
    </row>
    <row r="383" spans="2:2">
      <c r="B383" s="2958">
        <v>235</v>
      </c>
    </row>
    <row r="384" spans="2:2">
      <c r="B384" s="2958">
        <v>236</v>
      </c>
    </row>
    <row r="385" spans="2:2">
      <c r="B385" s="2958">
        <v>237</v>
      </c>
    </row>
    <row r="386" spans="2:2">
      <c r="B386" s="2958">
        <v>238</v>
      </c>
    </row>
    <row r="387" spans="2:2">
      <c r="B387" s="2958">
        <v>239</v>
      </c>
    </row>
    <row r="388" spans="2:2">
      <c r="B388" s="2958">
        <v>240</v>
      </c>
    </row>
    <row r="389" spans="2:2">
      <c r="B389" s="2958">
        <v>241</v>
      </c>
    </row>
    <row r="390" spans="2:2">
      <c r="B390" s="2958">
        <v>242</v>
      </c>
    </row>
    <row r="391" spans="2:2">
      <c r="B391" s="2958">
        <v>243</v>
      </c>
    </row>
    <row r="392" spans="2:2">
      <c r="B392" s="2958">
        <v>244</v>
      </c>
    </row>
    <row r="393" spans="2:2">
      <c r="B393" s="2958">
        <v>245</v>
      </c>
    </row>
    <row r="394" spans="2:2">
      <c r="B394" s="2958">
        <v>246</v>
      </c>
    </row>
    <row r="395" spans="2:2">
      <c r="B395" s="2958">
        <v>247</v>
      </c>
    </row>
    <row r="396" spans="2:2">
      <c r="B396" s="2958">
        <v>248</v>
      </c>
    </row>
    <row r="397" spans="2:2">
      <c r="B397" s="2958">
        <v>249</v>
      </c>
    </row>
    <row r="398" spans="2:2">
      <c r="B398" s="2958">
        <v>250</v>
      </c>
    </row>
    <row r="399" spans="2:2">
      <c r="B399" s="2958">
        <v>251</v>
      </c>
    </row>
    <row r="400" spans="2:2">
      <c r="B400" s="2958">
        <v>252</v>
      </c>
    </row>
    <row r="401" spans="2:2">
      <c r="B401" s="2958">
        <v>253</v>
      </c>
    </row>
    <row r="402" spans="2:2">
      <c r="B402" s="2958">
        <v>254</v>
      </c>
    </row>
    <row r="403" spans="2:2">
      <c r="B403" s="2958">
        <v>255</v>
      </c>
    </row>
    <row r="404" spans="2:2">
      <c r="B404" s="2958">
        <v>256</v>
      </c>
    </row>
    <row r="405" spans="2:2">
      <c r="B405" s="2958">
        <v>257</v>
      </c>
    </row>
    <row r="406" spans="2:2">
      <c r="B406" s="2958">
        <v>258</v>
      </c>
    </row>
    <row r="407" spans="2:2">
      <c r="B407" s="2958">
        <v>259</v>
      </c>
    </row>
    <row r="408" spans="2:2">
      <c r="B408" s="2958">
        <v>260</v>
      </c>
    </row>
    <row r="409" spans="2:2">
      <c r="B409" s="2958">
        <v>261</v>
      </c>
    </row>
    <row r="410" spans="2:2">
      <c r="B410" s="2958">
        <v>262</v>
      </c>
    </row>
    <row r="411" spans="2:2">
      <c r="B411" s="2958">
        <v>263</v>
      </c>
    </row>
    <row r="412" spans="2:2">
      <c r="B412" s="2958">
        <v>264</v>
      </c>
    </row>
    <row r="413" spans="2:2">
      <c r="B413" s="2958">
        <v>265</v>
      </c>
    </row>
    <row r="414" spans="2:2">
      <c r="B414" s="2958">
        <v>266</v>
      </c>
    </row>
    <row r="415" spans="2:2">
      <c r="B415" s="2958">
        <v>267</v>
      </c>
    </row>
    <row r="416" spans="2:2">
      <c r="B416" s="2958">
        <v>268</v>
      </c>
    </row>
    <row r="417" spans="2:2">
      <c r="B417" s="2958">
        <v>269</v>
      </c>
    </row>
    <row r="418" spans="2:2">
      <c r="B418" s="2958">
        <v>270</v>
      </c>
    </row>
    <row r="419" spans="2:2">
      <c r="B419" s="2958">
        <v>271</v>
      </c>
    </row>
    <row r="420" spans="2:2">
      <c r="B420" s="2958">
        <v>272</v>
      </c>
    </row>
    <row r="421" spans="2:2">
      <c r="B421" s="2958">
        <v>273</v>
      </c>
    </row>
    <row r="422" spans="2:2">
      <c r="B422" s="2958">
        <v>274</v>
      </c>
    </row>
    <row r="423" spans="2:2">
      <c r="B423" s="2958">
        <v>275</v>
      </c>
    </row>
    <row r="424" spans="2:2">
      <c r="B424" s="2958">
        <v>276</v>
      </c>
    </row>
    <row r="425" spans="2:2">
      <c r="B425" s="2958">
        <v>277</v>
      </c>
    </row>
    <row r="426" spans="2:2">
      <c r="B426" s="2958">
        <v>278</v>
      </c>
    </row>
    <row r="427" spans="2:2">
      <c r="B427" s="2958">
        <v>279</v>
      </c>
    </row>
    <row r="428" spans="2:2">
      <c r="B428" s="2958">
        <v>280</v>
      </c>
    </row>
    <row r="429" spans="2:2">
      <c r="B429" s="2958">
        <v>281</v>
      </c>
    </row>
    <row r="430" spans="2:2">
      <c r="B430" s="2958">
        <v>282</v>
      </c>
    </row>
    <row r="431" spans="2:2">
      <c r="B431" s="2958">
        <v>283</v>
      </c>
    </row>
    <row r="432" spans="2:2">
      <c r="B432" s="2958">
        <v>284</v>
      </c>
    </row>
    <row r="433" spans="2:2">
      <c r="B433" s="2958">
        <v>285</v>
      </c>
    </row>
    <row r="434" spans="2:2">
      <c r="B434" s="2958">
        <v>286</v>
      </c>
    </row>
    <row r="435" spans="2:2">
      <c r="B435" s="2958">
        <v>287</v>
      </c>
    </row>
    <row r="436" spans="2:2">
      <c r="B436" s="2958">
        <v>288</v>
      </c>
    </row>
    <row r="437" spans="2:2">
      <c r="B437" s="2958">
        <v>289</v>
      </c>
    </row>
    <row r="438" spans="2:2">
      <c r="B438" s="2958">
        <v>290</v>
      </c>
    </row>
    <row r="439" spans="2:2">
      <c r="B439" s="2958">
        <v>291</v>
      </c>
    </row>
    <row r="440" spans="2:2">
      <c r="B440" s="2958">
        <v>292</v>
      </c>
    </row>
    <row r="441" spans="2:2">
      <c r="B441" s="2958">
        <v>293</v>
      </c>
    </row>
    <row r="442" spans="2:2">
      <c r="B442" s="2958">
        <v>294</v>
      </c>
    </row>
    <row r="443" spans="2:2">
      <c r="B443" s="2958">
        <v>295</v>
      </c>
    </row>
    <row r="444" spans="2:2">
      <c r="B444" s="2958">
        <v>296</v>
      </c>
    </row>
    <row r="445" spans="2:2">
      <c r="B445" s="2958">
        <v>297</v>
      </c>
    </row>
    <row r="446" spans="2:2">
      <c r="B446" s="2958">
        <v>298</v>
      </c>
    </row>
    <row r="447" spans="2:2">
      <c r="B447" s="2958">
        <v>299</v>
      </c>
    </row>
    <row r="448" spans="2:2">
      <c r="B448" s="2958">
        <v>300</v>
      </c>
    </row>
    <row r="449" spans="2:2">
      <c r="B449" s="2958">
        <v>301</v>
      </c>
    </row>
    <row r="450" spans="2:2">
      <c r="B450" s="2958">
        <v>302</v>
      </c>
    </row>
    <row r="451" spans="2:2">
      <c r="B451" s="2958">
        <v>303</v>
      </c>
    </row>
    <row r="452" spans="2:2">
      <c r="B452" s="2958">
        <v>304</v>
      </c>
    </row>
    <row r="453" spans="2:2">
      <c r="B453" s="2958">
        <v>305</v>
      </c>
    </row>
    <row r="454" spans="2:2">
      <c r="B454" s="2958">
        <v>306</v>
      </c>
    </row>
    <row r="455" spans="2:2">
      <c r="B455" s="2958">
        <v>307</v>
      </c>
    </row>
    <row r="456" spans="2:2">
      <c r="B456" s="2958">
        <v>308</v>
      </c>
    </row>
    <row r="457" spans="2:2">
      <c r="B457" s="2958">
        <v>309</v>
      </c>
    </row>
    <row r="458" spans="2:2">
      <c r="B458" s="2958">
        <v>310</v>
      </c>
    </row>
    <row r="459" spans="2:2">
      <c r="B459" s="2958">
        <v>311</v>
      </c>
    </row>
    <row r="460" spans="2:2">
      <c r="B460" s="2958">
        <v>312</v>
      </c>
    </row>
    <row r="461" spans="2:2">
      <c r="B461" s="2958">
        <v>313</v>
      </c>
    </row>
    <row r="462" spans="2:2">
      <c r="B462" s="2958">
        <v>314</v>
      </c>
    </row>
    <row r="463" spans="2:2">
      <c r="B463" s="2958">
        <v>315</v>
      </c>
    </row>
    <row r="464" spans="2:2">
      <c r="B464" s="2958">
        <v>316</v>
      </c>
    </row>
    <row r="465" spans="2:2">
      <c r="B465" s="2958">
        <v>317</v>
      </c>
    </row>
    <row r="466" spans="2:2">
      <c r="B466" s="2958">
        <v>318</v>
      </c>
    </row>
    <row r="467" spans="2:2">
      <c r="B467" s="2958">
        <v>319</v>
      </c>
    </row>
    <row r="468" spans="2:2">
      <c r="B468" s="2958">
        <v>320</v>
      </c>
    </row>
    <row r="469" spans="2:2">
      <c r="B469" s="2958">
        <v>321</v>
      </c>
    </row>
    <row r="470" spans="2:2">
      <c r="B470" s="2958">
        <v>322</v>
      </c>
    </row>
    <row r="471" spans="2:2">
      <c r="B471" s="2958">
        <v>323</v>
      </c>
    </row>
    <row r="472" spans="2:2">
      <c r="B472" s="2958">
        <v>324</v>
      </c>
    </row>
    <row r="473" spans="2:2">
      <c r="B473" s="2958">
        <v>325</v>
      </c>
    </row>
    <row r="474" spans="2:2">
      <c r="B474" s="2958">
        <v>326</v>
      </c>
    </row>
    <row r="475" spans="2:2">
      <c r="B475" s="2958">
        <v>327</v>
      </c>
    </row>
    <row r="476" spans="2:2">
      <c r="B476" s="2958">
        <v>328</v>
      </c>
    </row>
    <row r="477" spans="2:2">
      <c r="B477" s="2958">
        <v>329</v>
      </c>
    </row>
    <row r="478" spans="2:2">
      <c r="B478" s="2958">
        <v>330</v>
      </c>
    </row>
    <row r="479" spans="2:2">
      <c r="B479" s="2958">
        <v>331</v>
      </c>
    </row>
    <row r="480" spans="2:2">
      <c r="B480" s="2958">
        <v>332</v>
      </c>
    </row>
    <row r="481" spans="2:2">
      <c r="B481" s="2958">
        <v>333</v>
      </c>
    </row>
    <row r="482" spans="2:2">
      <c r="B482" s="2958">
        <v>334</v>
      </c>
    </row>
    <row r="483" spans="2:2">
      <c r="B483" s="2958">
        <v>335</v>
      </c>
    </row>
    <row r="484" spans="2:2">
      <c r="B484" s="2958">
        <v>336</v>
      </c>
    </row>
    <row r="485" spans="2:2">
      <c r="B485" s="2958">
        <v>337</v>
      </c>
    </row>
    <row r="486" spans="2:2">
      <c r="B486" s="2958">
        <v>338</v>
      </c>
    </row>
    <row r="487" spans="2:2">
      <c r="B487" s="2958">
        <v>339</v>
      </c>
    </row>
    <row r="488" spans="2:2">
      <c r="B488" s="2958">
        <v>340</v>
      </c>
    </row>
    <row r="489" spans="2:2">
      <c r="B489" s="2958">
        <v>341</v>
      </c>
    </row>
    <row r="490" spans="2:2">
      <c r="B490" s="2958">
        <v>342</v>
      </c>
    </row>
    <row r="491" spans="2:2">
      <c r="B491" s="2958">
        <v>343</v>
      </c>
    </row>
    <row r="492" spans="2:2">
      <c r="B492" s="2958">
        <v>344</v>
      </c>
    </row>
    <row r="493" spans="2:2">
      <c r="B493" s="2958">
        <v>345</v>
      </c>
    </row>
    <row r="494" spans="2:2">
      <c r="B494" s="2958">
        <v>346</v>
      </c>
    </row>
    <row r="495" spans="2:2">
      <c r="B495" s="2958">
        <v>347</v>
      </c>
    </row>
    <row r="496" spans="2:2">
      <c r="B496" s="2958">
        <v>348</v>
      </c>
    </row>
    <row r="497" spans="2:2">
      <c r="B497" s="2958">
        <v>349</v>
      </c>
    </row>
    <row r="498" spans="2:2">
      <c r="B498" s="2958">
        <v>350</v>
      </c>
    </row>
    <row r="499" spans="2:2">
      <c r="B499" s="2958">
        <v>351</v>
      </c>
    </row>
    <row r="500" spans="2:2">
      <c r="B500" s="2958">
        <v>352</v>
      </c>
    </row>
    <row r="501" spans="2:2">
      <c r="B501" s="2958">
        <v>353</v>
      </c>
    </row>
    <row r="502" spans="2:2">
      <c r="B502" s="2958">
        <v>354</v>
      </c>
    </row>
    <row r="503" spans="2:2">
      <c r="B503" s="2958">
        <v>355</v>
      </c>
    </row>
    <row r="504" spans="2:2">
      <c r="B504" s="2958">
        <v>356</v>
      </c>
    </row>
    <row r="505" spans="2:2">
      <c r="B505" s="2958">
        <v>357</v>
      </c>
    </row>
    <row r="506" spans="2:2">
      <c r="B506" s="2958">
        <v>358</v>
      </c>
    </row>
    <row r="507" spans="2:2">
      <c r="B507" s="2958">
        <v>359</v>
      </c>
    </row>
    <row r="508" spans="2:2">
      <c r="B508" s="2958">
        <v>360</v>
      </c>
    </row>
    <row r="509" spans="2:2">
      <c r="B509" s="2958">
        <v>361</v>
      </c>
    </row>
    <row r="510" spans="2:2">
      <c r="B510" s="2958">
        <v>362</v>
      </c>
    </row>
    <row r="511" spans="2:2">
      <c r="B511" s="2958">
        <v>363</v>
      </c>
    </row>
    <row r="512" spans="2:2">
      <c r="B512" s="2958">
        <v>364</v>
      </c>
    </row>
    <row r="513" spans="2:2">
      <c r="B513" s="2958">
        <v>365</v>
      </c>
    </row>
    <row r="514" spans="2:2">
      <c r="B514" s="2958">
        <v>366</v>
      </c>
    </row>
    <row r="515" spans="2:2">
      <c r="B515" s="2958">
        <v>367</v>
      </c>
    </row>
    <row r="516" spans="2:2">
      <c r="B516" s="2958">
        <v>368</v>
      </c>
    </row>
    <row r="517" spans="2:2">
      <c r="B517" s="2958">
        <v>369</v>
      </c>
    </row>
    <row r="518" spans="2:2">
      <c r="B518" s="2958">
        <v>370</v>
      </c>
    </row>
    <row r="519" spans="2:2">
      <c r="B519" s="2958">
        <v>371</v>
      </c>
    </row>
    <row r="520" spans="2:2">
      <c r="B520" s="2958">
        <v>372</v>
      </c>
    </row>
    <row r="521" spans="2:2">
      <c r="B521" s="2958">
        <v>373</v>
      </c>
    </row>
    <row r="522" spans="2:2">
      <c r="B522" s="2958">
        <v>374</v>
      </c>
    </row>
    <row r="523" spans="2:2">
      <c r="B523" s="2958">
        <v>375</v>
      </c>
    </row>
    <row r="524" spans="2:2">
      <c r="B524" s="2958">
        <v>376</v>
      </c>
    </row>
    <row r="525" spans="2:2">
      <c r="B525" s="2958">
        <v>377</v>
      </c>
    </row>
    <row r="526" spans="2:2">
      <c r="B526" s="2958">
        <v>378</v>
      </c>
    </row>
    <row r="527" spans="2:2">
      <c r="B527" s="2958">
        <v>379</v>
      </c>
    </row>
    <row r="528" spans="2:2">
      <c r="B528" s="2958">
        <v>380</v>
      </c>
    </row>
    <row r="529" spans="2:2">
      <c r="B529" s="2958">
        <v>381</v>
      </c>
    </row>
    <row r="530" spans="2:2">
      <c r="B530" s="2958">
        <v>382</v>
      </c>
    </row>
    <row r="531" spans="2:2">
      <c r="B531" s="2958">
        <v>383</v>
      </c>
    </row>
    <row r="532" spans="2:2">
      <c r="B532" s="2958">
        <v>384</v>
      </c>
    </row>
    <row r="533" spans="2:2">
      <c r="B533" s="2958">
        <v>385</v>
      </c>
    </row>
    <row r="534" spans="2:2">
      <c r="B534" s="2958">
        <v>386</v>
      </c>
    </row>
    <row r="535" spans="2:2">
      <c r="B535" s="2958">
        <v>387</v>
      </c>
    </row>
  </sheetData>
  <autoFilter ref="B3:U136"/>
  <mergeCells count="4">
    <mergeCell ref="C2:F2"/>
    <mergeCell ref="H2:K2"/>
    <mergeCell ref="M2:P2"/>
    <mergeCell ref="R2:U2"/>
  </mergeCells>
  <phoneticPr fontId="14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78"/>
  <sheetViews>
    <sheetView topLeftCell="A3" workbookViewId="0">
      <selection activeCell="U32" sqref="U32"/>
    </sheetView>
  </sheetViews>
  <sheetFormatPr defaultRowHeight="13.5"/>
  <cols>
    <col min="19" max="19" width="10.125" customWidth="1"/>
  </cols>
  <sheetData>
    <row r="2" spans="2:19" ht="20.25">
      <c r="B2" s="3347" t="s">
        <v>3152</v>
      </c>
      <c r="C2" s="3347"/>
      <c r="D2" s="3347"/>
      <c r="E2" s="3347"/>
      <c r="F2" s="3347"/>
      <c r="G2" s="3347"/>
      <c r="H2" s="3347"/>
      <c r="I2" s="3347"/>
      <c r="J2" s="3347"/>
      <c r="K2" s="3347"/>
      <c r="L2" s="3347"/>
      <c r="M2" s="3347"/>
    </row>
    <row r="3" spans="2:19" ht="24">
      <c r="B3" s="2962" t="s">
        <v>3153</v>
      </c>
      <c r="C3" s="2962" t="s">
        <v>3154</v>
      </c>
      <c r="D3" s="2962" t="s">
        <v>3155</v>
      </c>
      <c r="E3" s="2963" t="s">
        <v>3156</v>
      </c>
      <c r="F3" s="2964" t="s">
        <v>3157</v>
      </c>
      <c r="G3" s="2965" t="s">
        <v>3158</v>
      </c>
      <c r="H3" s="2966" t="s">
        <v>3159</v>
      </c>
      <c r="I3" s="2967" t="s">
        <v>3160</v>
      </c>
      <c r="J3" s="2968" t="s">
        <v>3161</v>
      </c>
      <c r="K3" s="2969" t="s">
        <v>3162</v>
      </c>
      <c r="L3" s="2969" t="s">
        <v>3163</v>
      </c>
      <c r="M3" s="2970" t="s">
        <v>3164</v>
      </c>
    </row>
    <row r="4" spans="2:19">
      <c r="B4" s="2971"/>
      <c r="C4" s="2971"/>
      <c r="D4" s="2971"/>
      <c r="E4" s="2971"/>
      <c r="F4" s="2972">
        <v>17</v>
      </c>
      <c r="G4" s="2973" t="s">
        <v>3165</v>
      </c>
      <c r="H4" s="2971"/>
      <c r="I4" s="2971"/>
      <c r="J4" s="2971">
        <v>100.56</v>
      </c>
      <c r="K4" s="2971"/>
      <c r="L4" s="2971"/>
      <c r="M4" s="2971"/>
      <c r="R4" s="2974"/>
      <c r="S4" s="2975" t="s">
        <v>3166</v>
      </c>
    </row>
    <row r="5" spans="2:19">
      <c r="B5" s="2976" t="s">
        <v>3167</v>
      </c>
      <c r="C5" s="2977">
        <v>1</v>
      </c>
      <c r="D5" s="2977" t="s">
        <v>3034</v>
      </c>
      <c r="E5" s="2978">
        <v>43300</v>
      </c>
      <c r="F5" s="2979">
        <v>17</v>
      </c>
      <c r="G5" s="2980" t="s">
        <v>3168</v>
      </c>
      <c r="H5" s="2980" t="s">
        <v>3169</v>
      </c>
      <c r="I5" s="2980" t="s">
        <v>3170</v>
      </c>
      <c r="J5" s="2981">
        <v>123.43</v>
      </c>
      <c r="K5" s="2980">
        <v>356713</v>
      </c>
      <c r="L5" s="2980">
        <v>356713</v>
      </c>
      <c r="M5" s="2982">
        <f>K5-L5</f>
        <v>0</v>
      </c>
      <c r="R5" s="2975" t="s">
        <v>3171</v>
      </c>
      <c r="S5" s="2974">
        <f>SUM(J4:J30)</f>
        <v>3035.2999999999993</v>
      </c>
    </row>
    <row r="6" spans="2:19">
      <c r="B6" s="2971"/>
      <c r="C6" s="2971"/>
      <c r="D6" s="2971"/>
      <c r="E6" s="2971"/>
      <c r="F6" s="2972">
        <v>17</v>
      </c>
      <c r="G6" s="2973" t="s">
        <v>3172</v>
      </c>
      <c r="H6" s="2971"/>
      <c r="I6" s="2971"/>
      <c r="J6" s="2971">
        <v>100.56</v>
      </c>
      <c r="K6" s="2971"/>
      <c r="L6" s="2971"/>
      <c r="M6" s="2971"/>
      <c r="R6" s="2975" t="s">
        <v>3173</v>
      </c>
      <c r="S6" s="2974">
        <f>SUM(J31:J104)</f>
        <v>8069.2299999999959</v>
      </c>
    </row>
    <row r="7" spans="2:19">
      <c r="B7" s="2971"/>
      <c r="C7" s="2971"/>
      <c r="D7" s="2971"/>
      <c r="E7" s="2971"/>
      <c r="F7" s="2972">
        <v>17</v>
      </c>
      <c r="G7" s="2973" t="s">
        <v>3174</v>
      </c>
      <c r="H7" s="2983"/>
      <c r="I7" s="2984"/>
      <c r="J7" s="2984">
        <v>100.56</v>
      </c>
      <c r="K7" s="2984"/>
      <c r="L7" s="2984"/>
      <c r="M7" s="2984"/>
      <c r="R7" s="2975" t="s">
        <v>3031</v>
      </c>
      <c r="S7" s="2985">
        <f>SUM(J105:J130)</f>
        <v>2897.5999999999985</v>
      </c>
    </row>
    <row r="8" spans="2:19">
      <c r="B8" s="2984"/>
      <c r="C8" s="2984"/>
      <c r="D8" s="2984"/>
      <c r="E8" s="2984"/>
      <c r="F8" s="2986">
        <v>17</v>
      </c>
      <c r="G8" s="2987" t="s">
        <v>3175</v>
      </c>
      <c r="H8" s="2984"/>
      <c r="I8" s="2984"/>
      <c r="J8" s="2984">
        <v>100.56</v>
      </c>
      <c r="K8" s="2984"/>
      <c r="L8" s="2984"/>
      <c r="M8" s="2984"/>
      <c r="R8" s="2975" t="s">
        <v>3176</v>
      </c>
      <c r="S8" s="2985">
        <f>SUM(J131:J176)</f>
        <v>5657.6399999999994</v>
      </c>
    </row>
    <row r="9" spans="2:19">
      <c r="B9" s="2984"/>
      <c r="C9" s="2984"/>
      <c r="D9" s="2984"/>
      <c r="E9" s="2984"/>
      <c r="F9" s="2986">
        <v>17</v>
      </c>
      <c r="G9" s="2987" t="s">
        <v>3177</v>
      </c>
      <c r="H9" s="2984"/>
      <c r="I9" s="2984"/>
      <c r="J9" s="2984">
        <v>100.56</v>
      </c>
      <c r="K9" s="2984"/>
      <c r="L9" s="2984"/>
      <c r="M9" s="2984"/>
      <c r="R9" s="2974"/>
      <c r="S9" s="2985">
        <f>S5+S6+S7+S8</f>
        <v>19659.769999999993</v>
      </c>
    </row>
    <row r="10" spans="2:19">
      <c r="B10" s="2984"/>
      <c r="C10" s="2984"/>
      <c r="D10" s="2984"/>
      <c r="E10" s="2984"/>
      <c r="F10" s="2986">
        <v>17</v>
      </c>
      <c r="G10" s="2987" t="s">
        <v>3178</v>
      </c>
      <c r="H10" s="2984"/>
      <c r="I10" s="2984"/>
      <c r="J10" s="2984">
        <v>100.56</v>
      </c>
      <c r="K10" s="2984"/>
      <c r="L10" s="2984"/>
      <c r="M10" s="2984"/>
    </row>
    <row r="11" spans="2:19">
      <c r="B11" s="2984"/>
      <c r="C11" s="2984"/>
      <c r="D11" s="2984"/>
      <c r="E11" s="2984"/>
      <c r="F11" s="2986">
        <v>17</v>
      </c>
      <c r="G11" s="2987" t="s">
        <v>3179</v>
      </c>
      <c r="H11" s="2984"/>
      <c r="I11" s="2984"/>
      <c r="J11" s="2984">
        <v>100.56</v>
      </c>
      <c r="K11" s="2984"/>
      <c r="L11" s="2984"/>
      <c r="M11" s="2984"/>
    </row>
    <row r="12" spans="2:19">
      <c r="B12" s="2988" t="s">
        <v>3180</v>
      </c>
      <c r="C12" s="2989">
        <v>2</v>
      </c>
      <c r="D12" s="2989" t="s">
        <v>3034</v>
      </c>
      <c r="E12" s="2990">
        <v>43301</v>
      </c>
      <c r="F12" s="2991">
        <v>17</v>
      </c>
      <c r="G12" s="2992" t="s">
        <v>3181</v>
      </c>
      <c r="H12" s="2992" t="s">
        <v>3182</v>
      </c>
      <c r="I12" s="2992" t="s">
        <v>3170</v>
      </c>
      <c r="J12" s="2993">
        <v>123.43</v>
      </c>
      <c r="K12" s="2992">
        <v>356713</v>
      </c>
      <c r="L12" s="2992">
        <v>356713</v>
      </c>
      <c r="M12" s="2994">
        <f>K12-L12</f>
        <v>0</v>
      </c>
    </row>
    <row r="13" spans="2:19">
      <c r="B13" s="2984"/>
      <c r="C13" s="2984"/>
      <c r="D13" s="2984"/>
      <c r="E13" s="2984"/>
      <c r="F13" s="2986">
        <v>17</v>
      </c>
      <c r="G13" s="2987" t="s">
        <v>3183</v>
      </c>
      <c r="H13" s="2984"/>
      <c r="I13" s="2984"/>
      <c r="J13" s="2984">
        <v>100.56</v>
      </c>
      <c r="K13" s="2984"/>
      <c r="L13" s="2984"/>
      <c r="M13" s="2984"/>
    </row>
    <row r="14" spans="2:19">
      <c r="B14" s="2984"/>
      <c r="C14" s="2984"/>
      <c r="D14" s="2984"/>
      <c r="E14" s="2984"/>
      <c r="F14" s="2986">
        <v>17</v>
      </c>
      <c r="G14" s="2987" t="s">
        <v>3184</v>
      </c>
      <c r="H14" s="2984"/>
      <c r="I14" s="2984"/>
      <c r="J14" s="2984">
        <v>100.56</v>
      </c>
      <c r="K14" s="2984"/>
      <c r="L14" s="2984"/>
      <c r="M14" s="2984"/>
    </row>
    <row r="15" spans="2:19">
      <c r="B15" s="2988" t="s">
        <v>3185</v>
      </c>
      <c r="C15" s="2989">
        <v>3</v>
      </c>
      <c r="D15" s="2989" t="s">
        <v>3034</v>
      </c>
      <c r="E15" s="2990">
        <v>43300</v>
      </c>
      <c r="F15" s="2986">
        <v>17</v>
      </c>
      <c r="G15" s="2992" t="s">
        <v>3186</v>
      </c>
      <c r="H15" s="2992" t="s">
        <v>3187</v>
      </c>
      <c r="I15" s="2992" t="s">
        <v>3170</v>
      </c>
      <c r="J15" s="2993">
        <v>123.43</v>
      </c>
      <c r="K15" s="2992">
        <v>356713</v>
      </c>
      <c r="L15" s="2992">
        <v>356713</v>
      </c>
      <c r="M15" s="2994">
        <f>K15-L15</f>
        <v>0</v>
      </c>
    </row>
    <row r="16" spans="2:19">
      <c r="B16" s="2988" t="s">
        <v>3185</v>
      </c>
      <c r="C16" s="2989">
        <v>4</v>
      </c>
      <c r="D16" s="2989" t="s">
        <v>3034</v>
      </c>
      <c r="E16" s="2990">
        <v>43306</v>
      </c>
      <c r="F16" s="2986">
        <v>17</v>
      </c>
      <c r="G16" s="2992" t="s">
        <v>3188</v>
      </c>
      <c r="H16" s="2995" t="s">
        <v>3189</v>
      </c>
      <c r="I16" s="2992" t="s">
        <v>3190</v>
      </c>
      <c r="J16" s="2993">
        <v>123.43</v>
      </c>
      <c r="K16" s="2992">
        <v>356713</v>
      </c>
      <c r="L16" s="2992">
        <v>356713</v>
      </c>
      <c r="M16" s="2994">
        <f>K16-L16</f>
        <v>0</v>
      </c>
    </row>
    <row r="17" spans="2:13">
      <c r="B17" s="2988" t="s">
        <v>3185</v>
      </c>
      <c r="C17" s="2989">
        <v>5</v>
      </c>
      <c r="D17" s="2989" t="s">
        <v>3034</v>
      </c>
      <c r="E17" s="2990">
        <v>43301</v>
      </c>
      <c r="F17" s="2986">
        <v>17</v>
      </c>
      <c r="G17" s="2992" t="s">
        <v>3191</v>
      </c>
      <c r="H17" s="2996" t="s">
        <v>3192</v>
      </c>
      <c r="I17" s="2992" t="s">
        <v>3170</v>
      </c>
      <c r="J17" s="2993">
        <v>123.43</v>
      </c>
      <c r="K17" s="2992">
        <v>356713</v>
      </c>
      <c r="L17" s="2992">
        <v>356713</v>
      </c>
      <c r="M17" s="2994">
        <f>K17-L17</f>
        <v>0</v>
      </c>
    </row>
    <row r="18" spans="2:13">
      <c r="B18" s="2984"/>
      <c r="C18" s="2984"/>
      <c r="D18" s="2984"/>
      <c r="E18" s="2984"/>
      <c r="F18" s="2986">
        <v>17</v>
      </c>
      <c r="G18" s="2987" t="s">
        <v>3193</v>
      </c>
      <c r="H18" s="2984"/>
      <c r="I18" s="2984"/>
      <c r="J18" s="2984">
        <v>100.56</v>
      </c>
      <c r="K18" s="2984"/>
      <c r="L18" s="2984"/>
      <c r="M18" s="2984"/>
    </row>
    <row r="19" spans="2:13">
      <c r="B19" s="2988" t="s">
        <v>3185</v>
      </c>
      <c r="C19" s="2989">
        <v>6</v>
      </c>
      <c r="D19" s="2989" t="s">
        <v>3034</v>
      </c>
      <c r="E19" s="2990">
        <v>43300</v>
      </c>
      <c r="F19" s="2986">
        <v>17</v>
      </c>
      <c r="G19" s="2992" t="s">
        <v>3194</v>
      </c>
      <c r="H19" s="2992" t="s">
        <v>3195</v>
      </c>
      <c r="I19" s="2992" t="s">
        <v>3170</v>
      </c>
      <c r="J19" s="2993">
        <v>123.43</v>
      </c>
      <c r="K19" s="2992">
        <v>356713</v>
      </c>
      <c r="L19" s="2992">
        <v>356713</v>
      </c>
      <c r="M19" s="2994">
        <f t="shared" ref="M19:M25" si="0">K19-L19</f>
        <v>0</v>
      </c>
    </row>
    <row r="20" spans="2:13">
      <c r="B20" s="2988" t="s">
        <v>3196</v>
      </c>
      <c r="C20" s="2989">
        <v>7</v>
      </c>
      <c r="D20" s="2989" t="s">
        <v>3034</v>
      </c>
      <c r="E20" s="2990">
        <v>43300</v>
      </c>
      <c r="F20" s="2986">
        <v>17</v>
      </c>
      <c r="G20" s="2992" t="s">
        <v>3197</v>
      </c>
      <c r="H20" s="2992" t="s">
        <v>3198</v>
      </c>
      <c r="I20" s="2992" t="s">
        <v>3170</v>
      </c>
      <c r="J20" s="2993">
        <v>123.43</v>
      </c>
      <c r="K20" s="2992">
        <v>356713</v>
      </c>
      <c r="L20" s="2992">
        <v>356713</v>
      </c>
      <c r="M20" s="2994">
        <f t="shared" si="0"/>
        <v>0</v>
      </c>
    </row>
    <row r="21" spans="2:13">
      <c r="B21" s="2988" t="s">
        <v>3196</v>
      </c>
      <c r="C21" s="2989">
        <v>8</v>
      </c>
      <c r="D21" s="2989" t="s">
        <v>3034</v>
      </c>
      <c r="E21" s="2990">
        <v>43300</v>
      </c>
      <c r="F21" s="2986">
        <v>17</v>
      </c>
      <c r="G21" s="2992" t="s">
        <v>3199</v>
      </c>
      <c r="H21" s="2992" t="s">
        <v>3200</v>
      </c>
      <c r="I21" s="2992" t="s">
        <v>3170</v>
      </c>
      <c r="J21" s="2993">
        <v>123.43</v>
      </c>
      <c r="K21" s="2992">
        <v>356713</v>
      </c>
      <c r="L21" s="2992">
        <v>356713</v>
      </c>
      <c r="M21" s="2994">
        <f t="shared" si="0"/>
        <v>0</v>
      </c>
    </row>
    <row r="22" spans="2:13">
      <c r="B22" s="2988" t="s">
        <v>3196</v>
      </c>
      <c r="C22" s="2989">
        <v>9</v>
      </c>
      <c r="D22" s="2989" t="s">
        <v>3034</v>
      </c>
      <c r="E22" s="2990">
        <v>43300</v>
      </c>
      <c r="F22" s="2986">
        <v>17</v>
      </c>
      <c r="G22" s="2992" t="s">
        <v>3201</v>
      </c>
      <c r="H22" s="2992" t="s">
        <v>3202</v>
      </c>
      <c r="I22" s="2992" t="s">
        <v>3170</v>
      </c>
      <c r="J22" s="2993">
        <v>123.43</v>
      </c>
      <c r="K22" s="2992">
        <v>356713</v>
      </c>
      <c r="L22" s="2992">
        <v>356713</v>
      </c>
      <c r="M22" s="2994">
        <f t="shared" si="0"/>
        <v>0</v>
      </c>
    </row>
    <row r="23" spans="2:13">
      <c r="B23" s="2988" t="s">
        <v>3196</v>
      </c>
      <c r="C23" s="2989">
        <v>10</v>
      </c>
      <c r="D23" s="2989" t="s">
        <v>3034</v>
      </c>
      <c r="E23" s="2990">
        <v>43304</v>
      </c>
      <c r="F23" s="2986">
        <v>17</v>
      </c>
      <c r="G23" s="2992" t="s">
        <v>3203</v>
      </c>
      <c r="H23" s="2992" t="s">
        <v>3204</v>
      </c>
      <c r="I23" s="2992" t="s">
        <v>3205</v>
      </c>
      <c r="J23" s="2993">
        <v>123.43</v>
      </c>
      <c r="K23" s="2992">
        <v>356713</v>
      </c>
      <c r="L23" s="2992">
        <v>356713</v>
      </c>
      <c r="M23" s="2994">
        <f t="shared" si="0"/>
        <v>0</v>
      </c>
    </row>
    <row r="24" spans="2:13">
      <c r="B24" s="2988" t="s">
        <v>3196</v>
      </c>
      <c r="C24" s="2989">
        <v>11</v>
      </c>
      <c r="D24" s="2989" t="s">
        <v>3034</v>
      </c>
      <c r="E24" s="2990">
        <v>43300</v>
      </c>
      <c r="F24" s="2986">
        <v>17</v>
      </c>
      <c r="G24" s="2992" t="s">
        <v>3206</v>
      </c>
      <c r="H24" s="2992" t="s">
        <v>3207</v>
      </c>
      <c r="I24" s="2992" t="s">
        <v>3170</v>
      </c>
      <c r="J24" s="2993">
        <v>123.43</v>
      </c>
      <c r="K24" s="2992">
        <v>356713</v>
      </c>
      <c r="L24" s="2992">
        <v>356713</v>
      </c>
      <c r="M24" s="2994">
        <f t="shared" si="0"/>
        <v>0</v>
      </c>
    </row>
    <row r="25" spans="2:13">
      <c r="B25" s="2988" t="s">
        <v>3208</v>
      </c>
      <c r="C25" s="2989">
        <v>12</v>
      </c>
      <c r="D25" s="2989" t="s">
        <v>3034</v>
      </c>
      <c r="E25" s="2990">
        <v>43301</v>
      </c>
      <c r="F25" s="2986">
        <v>17</v>
      </c>
      <c r="G25" s="2992" t="s">
        <v>3209</v>
      </c>
      <c r="H25" s="2992" t="s">
        <v>3210</v>
      </c>
      <c r="I25" s="2992" t="s">
        <v>3170</v>
      </c>
      <c r="J25" s="2993">
        <v>123.43</v>
      </c>
      <c r="K25" s="2992">
        <v>356713</v>
      </c>
      <c r="L25" s="2992">
        <v>356713</v>
      </c>
      <c r="M25" s="2994">
        <f t="shared" si="0"/>
        <v>0</v>
      </c>
    </row>
    <row r="26" spans="2:13">
      <c r="B26" s="2984"/>
      <c r="C26" s="2984"/>
      <c r="D26" s="2984"/>
      <c r="E26" s="2984"/>
      <c r="F26" s="2986">
        <v>17</v>
      </c>
      <c r="G26" s="2987" t="s">
        <v>3211</v>
      </c>
      <c r="H26" s="2984"/>
      <c r="I26" s="2984"/>
      <c r="J26" s="2984">
        <v>100.56</v>
      </c>
      <c r="K26" s="2984"/>
      <c r="L26" s="2984"/>
      <c r="M26" s="2984"/>
    </row>
    <row r="27" spans="2:13">
      <c r="B27" s="2988" t="s">
        <v>3208</v>
      </c>
      <c r="C27" s="2989">
        <v>13</v>
      </c>
      <c r="D27" s="2989" t="s">
        <v>3034</v>
      </c>
      <c r="E27" s="2990">
        <v>43301</v>
      </c>
      <c r="F27" s="2997">
        <v>17</v>
      </c>
      <c r="G27" s="2992" t="s">
        <v>3212</v>
      </c>
      <c r="H27" s="2992" t="s">
        <v>3213</v>
      </c>
      <c r="I27" s="2992" t="s">
        <v>3170</v>
      </c>
      <c r="J27" s="2993">
        <v>123.43</v>
      </c>
      <c r="K27" s="2992">
        <v>356713</v>
      </c>
      <c r="L27" s="2992">
        <v>356713</v>
      </c>
      <c r="M27" s="2994">
        <f>K27-L27</f>
        <v>0</v>
      </c>
    </row>
    <row r="28" spans="2:13">
      <c r="B28" s="2988" t="s">
        <v>3208</v>
      </c>
      <c r="C28" s="2989">
        <v>14</v>
      </c>
      <c r="D28" s="2989" t="s">
        <v>3034</v>
      </c>
      <c r="E28" s="2990">
        <v>43308</v>
      </c>
      <c r="F28" s="2997">
        <v>17</v>
      </c>
      <c r="G28" s="2992" t="s">
        <v>3214</v>
      </c>
      <c r="H28" s="2995" t="s">
        <v>3215</v>
      </c>
      <c r="I28" s="2992" t="s">
        <v>3216</v>
      </c>
      <c r="J28" s="2993">
        <v>123.43</v>
      </c>
      <c r="K28" s="2992">
        <v>356713</v>
      </c>
      <c r="L28" s="2992">
        <v>356713</v>
      </c>
      <c r="M28" s="2994">
        <f>K28-L28</f>
        <v>0</v>
      </c>
    </row>
    <row r="29" spans="2:13">
      <c r="B29" s="2984"/>
      <c r="C29" s="2984"/>
      <c r="D29" s="2984"/>
      <c r="E29" s="2984"/>
      <c r="F29" s="2986">
        <v>17</v>
      </c>
      <c r="G29" s="2987" t="s">
        <v>3217</v>
      </c>
      <c r="H29" s="2984"/>
      <c r="I29" s="2984"/>
      <c r="J29" s="2984">
        <v>100.56</v>
      </c>
      <c r="K29" s="2984"/>
      <c r="L29" s="2984"/>
      <c r="M29" s="2984"/>
    </row>
    <row r="30" spans="2:13">
      <c r="B30" s="2984"/>
      <c r="C30" s="2984"/>
      <c r="D30" s="2984"/>
      <c r="E30" s="2984"/>
      <c r="F30" s="2986">
        <v>17</v>
      </c>
      <c r="G30" s="2987" t="s">
        <v>3218</v>
      </c>
      <c r="H30" s="2984"/>
      <c r="I30" s="2984"/>
      <c r="J30" s="2984">
        <v>100.56</v>
      </c>
      <c r="K30" s="2984"/>
      <c r="L30" s="2984"/>
      <c r="M30" s="2984"/>
    </row>
    <row r="31" spans="2:13">
      <c r="B31" s="2984"/>
      <c r="C31" s="2984"/>
      <c r="D31" s="2984"/>
      <c r="E31" s="2984"/>
      <c r="F31" s="2986">
        <v>18</v>
      </c>
      <c r="G31" s="2987" t="s">
        <v>3219</v>
      </c>
      <c r="H31" s="2984"/>
      <c r="I31" s="2984"/>
      <c r="J31" s="2984">
        <v>99.69</v>
      </c>
      <c r="K31" s="2984"/>
      <c r="L31" s="2984"/>
      <c r="M31" s="2984"/>
    </row>
    <row r="32" spans="2:13">
      <c r="B32" s="2984"/>
      <c r="C32" s="2984"/>
      <c r="D32" s="2984"/>
      <c r="E32" s="2984"/>
      <c r="F32" s="2986">
        <v>18</v>
      </c>
      <c r="G32" s="2987" t="s">
        <v>3220</v>
      </c>
      <c r="H32" s="2984"/>
      <c r="I32" s="2984"/>
      <c r="J32" s="2984">
        <v>99.69</v>
      </c>
      <c r="K32" s="2984"/>
      <c r="L32" s="2984"/>
      <c r="M32" s="2984"/>
    </row>
    <row r="33" spans="2:13">
      <c r="B33" s="2984"/>
      <c r="C33" s="2984"/>
      <c r="D33" s="2984"/>
      <c r="E33" s="2984"/>
      <c r="F33" s="2986">
        <v>18</v>
      </c>
      <c r="G33" s="2987" t="s">
        <v>3221</v>
      </c>
      <c r="H33" s="2984"/>
      <c r="I33" s="2984"/>
      <c r="J33" s="2984">
        <v>118.86</v>
      </c>
      <c r="K33" s="2984"/>
      <c r="L33" s="2984"/>
      <c r="M33" s="2984"/>
    </row>
    <row r="34" spans="2:13">
      <c r="B34" s="2988" t="s">
        <v>3222</v>
      </c>
      <c r="C34" s="2989">
        <v>15</v>
      </c>
      <c r="D34" s="2989" t="s">
        <v>3034</v>
      </c>
      <c r="E34" s="2990">
        <v>43305</v>
      </c>
      <c r="F34" s="2986">
        <v>18</v>
      </c>
      <c r="G34" s="2992" t="s">
        <v>3223</v>
      </c>
      <c r="H34" s="2992" t="s">
        <v>3224</v>
      </c>
      <c r="I34" s="2992" t="s">
        <v>3225</v>
      </c>
      <c r="J34" s="2993">
        <v>118.86</v>
      </c>
      <c r="K34" s="2992">
        <v>343505</v>
      </c>
      <c r="L34" s="2992">
        <v>343505</v>
      </c>
      <c r="M34" s="2994">
        <f>K34-L34</f>
        <v>0</v>
      </c>
    </row>
    <row r="35" spans="2:13">
      <c r="B35" s="2984"/>
      <c r="C35" s="2984"/>
      <c r="D35" s="2984"/>
      <c r="E35" s="2984"/>
      <c r="F35" s="2986">
        <v>18</v>
      </c>
      <c r="G35" s="2987" t="s">
        <v>3226</v>
      </c>
      <c r="H35" s="2984"/>
      <c r="I35" s="2984"/>
      <c r="J35" s="2984">
        <v>99.69</v>
      </c>
      <c r="K35" s="2984"/>
      <c r="L35" s="2984"/>
      <c r="M35" s="2984"/>
    </row>
    <row r="36" spans="2:13">
      <c r="B36" s="2984"/>
      <c r="C36" s="2984"/>
      <c r="D36" s="2984"/>
      <c r="E36" s="2984"/>
      <c r="F36" s="2986">
        <v>18</v>
      </c>
      <c r="G36" s="2987" t="s">
        <v>3227</v>
      </c>
      <c r="H36" s="2984"/>
      <c r="I36" s="2984"/>
      <c r="J36" s="2984">
        <v>99.69</v>
      </c>
      <c r="K36" s="2984"/>
      <c r="L36" s="2984"/>
      <c r="M36" s="2984"/>
    </row>
    <row r="37" spans="2:13">
      <c r="B37" s="2984"/>
      <c r="C37" s="2984"/>
      <c r="D37" s="2984"/>
      <c r="E37" s="2984"/>
      <c r="F37" s="2986">
        <v>18</v>
      </c>
      <c r="G37" s="2987" t="s">
        <v>3228</v>
      </c>
      <c r="H37" s="2984"/>
      <c r="I37" s="2984"/>
      <c r="J37" s="2984">
        <v>122.35</v>
      </c>
      <c r="K37" s="2984"/>
      <c r="L37" s="2984"/>
      <c r="M37" s="2984"/>
    </row>
    <row r="38" spans="2:13">
      <c r="F38" s="2998">
        <v>18</v>
      </c>
      <c r="G38" s="2999" t="s">
        <v>3229</v>
      </c>
      <c r="J38" s="2984">
        <v>99.69</v>
      </c>
    </row>
    <row r="39" spans="2:13">
      <c r="F39" s="2998">
        <v>18</v>
      </c>
      <c r="G39" s="2999" t="s">
        <v>3230</v>
      </c>
      <c r="J39" s="2984">
        <v>99.69</v>
      </c>
    </row>
    <row r="40" spans="2:13">
      <c r="F40" s="2998">
        <v>18</v>
      </c>
      <c r="G40" s="2999" t="s">
        <v>3231</v>
      </c>
      <c r="J40" s="2984">
        <v>122.35</v>
      </c>
    </row>
    <row r="41" spans="2:13">
      <c r="B41" s="3000" t="s">
        <v>3222</v>
      </c>
      <c r="C41" s="3001">
        <v>16</v>
      </c>
      <c r="D41" s="3001" t="s">
        <v>3034</v>
      </c>
      <c r="E41" s="3002">
        <v>43301</v>
      </c>
      <c r="F41" s="2998">
        <v>18</v>
      </c>
      <c r="G41" s="3003" t="s">
        <v>3232</v>
      </c>
      <c r="H41" s="3003" t="s">
        <v>3233</v>
      </c>
      <c r="I41" s="3003" t="s">
        <v>3170</v>
      </c>
      <c r="J41" s="3004">
        <v>122.35</v>
      </c>
      <c r="K41" s="3003">
        <v>353592</v>
      </c>
      <c r="L41" s="3003">
        <v>353592</v>
      </c>
      <c r="M41" s="3005">
        <f>K41-L41</f>
        <v>0</v>
      </c>
    </row>
    <row r="42" spans="2:13">
      <c r="F42" s="2998">
        <v>18</v>
      </c>
      <c r="G42" s="2999" t="s">
        <v>3234</v>
      </c>
      <c r="J42" s="2984">
        <v>99.69</v>
      </c>
    </row>
    <row r="43" spans="2:13">
      <c r="F43" s="2998">
        <v>18</v>
      </c>
      <c r="G43" s="2999" t="s">
        <v>3235</v>
      </c>
      <c r="J43" s="2984">
        <v>99.69</v>
      </c>
    </row>
    <row r="44" spans="2:13">
      <c r="F44" s="2998">
        <v>18</v>
      </c>
      <c r="G44" s="2999" t="s">
        <v>3236</v>
      </c>
      <c r="J44" s="2984">
        <v>122.35</v>
      </c>
    </row>
    <row r="45" spans="2:13">
      <c r="B45" s="3000" t="s">
        <v>3222</v>
      </c>
      <c r="C45" s="3001">
        <v>17</v>
      </c>
      <c r="D45" s="3001" t="s">
        <v>3034</v>
      </c>
      <c r="E45" s="3002">
        <v>43301</v>
      </c>
      <c r="F45" s="2998">
        <v>18</v>
      </c>
      <c r="G45" s="3003" t="s">
        <v>3237</v>
      </c>
      <c r="H45" s="3003" t="s">
        <v>3238</v>
      </c>
      <c r="I45" s="3003" t="s">
        <v>3170</v>
      </c>
      <c r="J45" s="3004">
        <v>122.35</v>
      </c>
      <c r="K45" s="3003">
        <v>353592</v>
      </c>
      <c r="L45" s="3003">
        <v>353592</v>
      </c>
      <c r="M45" s="3005">
        <f>K45-L45</f>
        <v>0</v>
      </c>
    </row>
    <row r="46" spans="2:13">
      <c r="F46" s="2998">
        <v>18</v>
      </c>
      <c r="G46" s="2999" t="s">
        <v>3239</v>
      </c>
      <c r="J46" s="2984">
        <v>99.69</v>
      </c>
    </row>
    <row r="47" spans="2:13">
      <c r="F47" s="2998">
        <v>18</v>
      </c>
      <c r="G47" s="2999" t="s">
        <v>3240</v>
      </c>
      <c r="J47" s="2984">
        <v>99.69</v>
      </c>
    </row>
    <row r="48" spans="2:13">
      <c r="F48" s="2998">
        <v>18</v>
      </c>
      <c r="G48" s="2999" t="s">
        <v>3241</v>
      </c>
      <c r="J48" s="3004">
        <v>122.35</v>
      </c>
    </row>
    <row r="49" spans="2:13">
      <c r="F49" s="2998">
        <v>18</v>
      </c>
      <c r="G49" s="2999" t="s">
        <v>3242</v>
      </c>
      <c r="J49" s="2984">
        <v>99.69</v>
      </c>
    </row>
    <row r="50" spans="2:13">
      <c r="F50" s="2998">
        <v>18</v>
      </c>
      <c r="G50" s="2999" t="s">
        <v>3243</v>
      </c>
      <c r="J50" s="3004">
        <v>122.35</v>
      </c>
    </row>
    <row r="51" spans="2:13">
      <c r="F51" s="2998">
        <v>18</v>
      </c>
      <c r="G51" s="2999" t="s">
        <v>3244</v>
      </c>
      <c r="J51" s="2984">
        <v>99.69</v>
      </c>
    </row>
    <row r="52" spans="2:13">
      <c r="F52" s="2998">
        <v>18</v>
      </c>
      <c r="G52" s="2999" t="s">
        <v>3245</v>
      </c>
      <c r="J52" s="2984">
        <v>99.69</v>
      </c>
    </row>
    <row r="53" spans="2:13">
      <c r="F53" s="2998">
        <v>18</v>
      </c>
      <c r="G53" s="2999" t="s">
        <v>3246</v>
      </c>
      <c r="J53" s="3004">
        <v>122.35</v>
      </c>
    </row>
    <row r="54" spans="2:13">
      <c r="F54" s="2998">
        <v>18</v>
      </c>
      <c r="G54" s="2999" t="s">
        <v>3247</v>
      </c>
      <c r="J54" s="2984">
        <v>99.69</v>
      </c>
    </row>
    <row r="55" spans="2:13">
      <c r="F55" s="2998">
        <v>18</v>
      </c>
      <c r="G55" s="2999" t="s">
        <v>3248</v>
      </c>
      <c r="J55" s="2984">
        <v>99.69</v>
      </c>
    </row>
    <row r="56" spans="2:13">
      <c r="F56" s="2998">
        <v>18</v>
      </c>
      <c r="G56" s="2999" t="s">
        <v>3249</v>
      </c>
      <c r="J56" s="3004">
        <v>122.35</v>
      </c>
    </row>
    <row r="57" spans="2:13">
      <c r="B57" s="3000" t="s">
        <v>3196</v>
      </c>
      <c r="C57" s="3001">
        <v>18</v>
      </c>
      <c r="D57" s="3001" t="s">
        <v>3034</v>
      </c>
      <c r="E57" s="3002">
        <v>43300</v>
      </c>
      <c r="F57" s="2998">
        <v>18</v>
      </c>
      <c r="G57" s="3003" t="s">
        <v>3250</v>
      </c>
      <c r="H57" s="3003" t="s">
        <v>3251</v>
      </c>
      <c r="I57" s="3003" t="s">
        <v>3170</v>
      </c>
      <c r="J57" s="3004">
        <v>122.35</v>
      </c>
      <c r="K57" s="3003">
        <v>353592</v>
      </c>
      <c r="L57" s="3003">
        <v>353592</v>
      </c>
      <c r="M57" s="3005">
        <f>K57-L57</f>
        <v>0</v>
      </c>
    </row>
    <row r="58" spans="2:13">
      <c r="F58" s="2998">
        <v>18</v>
      </c>
      <c r="G58" s="2999" t="s">
        <v>3252</v>
      </c>
      <c r="J58" s="2984">
        <v>99.69</v>
      </c>
    </row>
    <row r="59" spans="2:13">
      <c r="F59" s="2998">
        <v>18</v>
      </c>
      <c r="G59" s="2999" t="s">
        <v>3253</v>
      </c>
      <c r="J59" s="2984">
        <v>99.69</v>
      </c>
    </row>
    <row r="60" spans="2:13">
      <c r="F60" s="2998">
        <v>18</v>
      </c>
      <c r="G60" s="2999" t="s">
        <v>3254</v>
      </c>
      <c r="J60" s="3004">
        <v>122.35</v>
      </c>
    </row>
    <row r="61" spans="2:13">
      <c r="B61" s="3000" t="s">
        <v>3196</v>
      </c>
      <c r="C61" s="3001">
        <v>19</v>
      </c>
      <c r="D61" s="3001" t="s">
        <v>3034</v>
      </c>
      <c r="E61" s="3002">
        <v>43301</v>
      </c>
      <c r="F61" s="2998">
        <v>18</v>
      </c>
      <c r="G61" s="3003" t="s">
        <v>3255</v>
      </c>
      <c r="H61" s="3003" t="s">
        <v>3256</v>
      </c>
      <c r="I61" s="3003" t="s">
        <v>3170</v>
      </c>
      <c r="J61" s="3004">
        <v>122.35</v>
      </c>
      <c r="K61" s="3003">
        <v>353592</v>
      </c>
      <c r="L61" s="3003">
        <v>353592</v>
      </c>
      <c r="M61" s="3005">
        <f>K61-L61</f>
        <v>0</v>
      </c>
    </row>
    <row r="62" spans="2:13">
      <c r="F62" s="2998">
        <v>18</v>
      </c>
      <c r="G62" s="2999" t="s">
        <v>3257</v>
      </c>
      <c r="J62" s="2984">
        <v>99.69</v>
      </c>
    </row>
    <row r="63" spans="2:13">
      <c r="F63" s="2998">
        <v>18</v>
      </c>
      <c r="G63" s="2999" t="s">
        <v>3258</v>
      </c>
      <c r="J63" s="3004">
        <v>122.35</v>
      </c>
    </row>
    <row r="64" spans="2:13">
      <c r="F64" s="2998">
        <v>18</v>
      </c>
      <c r="G64" s="2999" t="s">
        <v>3259</v>
      </c>
      <c r="J64" s="2984">
        <v>99.69</v>
      </c>
    </row>
    <row r="65" spans="2:14">
      <c r="F65" s="2998">
        <v>18</v>
      </c>
      <c r="G65" s="2999" t="s">
        <v>3260</v>
      </c>
      <c r="J65" s="3004">
        <v>119.04</v>
      </c>
    </row>
    <row r="66" spans="2:14">
      <c r="F66" s="2998">
        <v>18</v>
      </c>
      <c r="G66" s="2999" t="s">
        <v>3261</v>
      </c>
      <c r="J66" s="2984">
        <v>99.69</v>
      </c>
    </row>
    <row r="67" spans="2:14">
      <c r="F67" s="2998">
        <v>18</v>
      </c>
      <c r="G67" s="2999" t="s">
        <v>3262</v>
      </c>
      <c r="J67" s="2984">
        <v>99.69</v>
      </c>
    </row>
    <row r="68" spans="2:14">
      <c r="F68" s="2998">
        <v>18</v>
      </c>
      <c r="G68" s="2999" t="s">
        <v>3263</v>
      </c>
      <c r="J68" s="3004">
        <v>122.35</v>
      </c>
    </row>
    <row r="69" spans="2:14">
      <c r="B69" s="3000" t="s">
        <v>3222</v>
      </c>
      <c r="C69" s="3001">
        <v>20</v>
      </c>
      <c r="D69" s="3001" t="s">
        <v>3034</v>
      </c>
      <c r="E69" s="3002">
        <v>43300</v>
      </c>
      <c r="F69" s="2998">
        <v>18</v>
      </c>
      <c r="G69" s="3003" t="s">
        <v>3264</v>
      </c>
      <c r="H69" s="3003" t="s">
        <v>3265</v>
      </c>
      <c r="I69" s="3003" t="s">
        <v>3170</v>
      </c>
      <c r="J69" s="3004">
        <v>122.35</v>
      </c>
      <c r="K69" s="3003">
        <v>353592</v>
      </c>
      <c r="L69" s="3003">
        <v>353592</v>
      </c>
      <c r="M69" s="3005">
        <f>K69-L69</f>
        <v>0</v>
      </c>
    </row>
    <row r="70" spans="2:14">
      <c r="F70" s="2998">
        <v>18</v>
      </c>
      <c r="G70" s="2999" t="s">
        <v>3266</v>
      </c>
      <c r="J70" s="2984">
        <v>99.69</v>
      </c>
    </row>
    <row r="71" spans="2:14">
      <c r="F71" s="2998">
        <v>18</v>
      </c>
      <c r="G71" s="2999" t="s">
        <v>3267</v>
      </c>
      <c r="J71" s="2984">
        <v>99.69</v>
      </c>
    </row>
    <row r="72" spans="2:14">
      <c r="F72" s="2998">
        <v>18</v>
      </c>
      <c r="G72" s="2999" t="s">
        <v>3268</v>
      </c>
      <c r="J72" s="3004">
        <v>122.35</v>
      </c>
    </row>
    <row r="73" spans="2:14">
      <c r="B73" s="3000" t="s">
        <v>3222</v>
      </c>
      <c r="C73" s="3001">
        <v>21</v>
      </c>
      <c r="D73" s="3001" t="s">
        <v>3034</v>
      </c>
      <c r="E73" s="3002">
        <v>43301</v>
      </c>
      <c r="F73" s="2998">
        <v>18</v>
      </c>
      <c r="G73" s="3003" t="s">
        <v>3269</v>
      </c>
      <c r="H73" s="3003" t="s">
        <v>3270</v>
      </c>
      <c r="I73" s="3003" t="s">
        <v>3170</v>
      </c>
      <c r="J73" s="3004">
        <v>122.35</v>
      </c>
      <c r="K73" s="3003">
        <v>353592</v>
      </c>
      <c r="L73" s="3003">
        <v>353592</v>
      </c>
      <c r="M73" s="3005">
        <f>K73-L73</f>
        <v>0</v>
      </c>
    </row>
    <row r="74" spans="2:14">
      <c r="F74" s="2998">
        <v>18</v>
      </c>
      <c r="G74" s="2999" t="s">
        <v>3271</v>
      </c>
      <c r="J74" s="2984">
        <v>99.69</v>
      </c>
    </row>
    <row r="75" spans="2:14">
      <c r="F75" s="2998">
        <v>18</v>
      </c>
      <c r="G75" s="2999" t="s">
        <v>3272</v>
      </c>
      <c r="J75" s="3004">
        <v>122.35</v>
      </c>
    </row>
    <row r="76" spans="2:14">
      <c r="F76" s="2998">
        <v>18</v>
      </c>
      <c r="G76" s="2999" t="s">
        <v>3273</v>
      </c>
      <c r="J76" s="3004">
        <v>122.35</v>
      </c>
    </row>
    <row r="77" spans="2:14">
      <c r="F77" s="2998">
        <v>18</v>
      </c>
      <c r="G77" s="2999" t="s">
        <v>3274</v>
      </c>
      <c r="J77" s="2984">
        <v>99.69</v>
      </c>
    </row>
    <row r="78" spans="2:14">
      <c r="F78" s="2998">
        <v>18</v>
      </c>
      <c r="G78" s="2999" t="s">
        <v>3275</v>
      </c>
      <c r="J78" s="3004">
        <v>122.35</v>
      </c>
    </row>
    <row r="79" spans="2:14">
      <c r="F79" s="2998">
        <v>18</v>
      </c>
      <c r="G79" s="2999" t="s">
        <v>3276</v>
      </c>
      <c r="J79" s="2984">
        <v>99.69</v>
      </c>
    </row>
    <row r="80" spans="2:14">
      <c r="B80" s="3000" t="s">
        <v>3222</v>
      </c>
      <c r="C80" s="3001">
        <v>22</v>
      </c>
      <c r="D80" s="3001" t="s">
        <v>3034</v>
      </c>
      <c r="E80" s="3002">
        <v>43311</v>
      </c>
      <c r="F80" s="2998">
        <v>18</v>
      </c>
      <c r="G80" s="3003" t="s">
        <v>3277</v>
      </c>
      <c r="H80" s="3003" t="s">
        <v>3278</v>
      </c>
      <c r="I80" s="3003" t="s">
        <v>3225</v>
      </c>
      <c r="J80" s="3004">
        <v>122.35</v>
      </c>
      <c r="K80" s="3003">
        <v>944596</v>
      </c>
      <c r="L80" s="3003">
        <v>944596</v>
      </c>
      <c r="M80" s="3005">
        <f>K80-L80</f>
        <v>0</v>
      </c>
      <c r="N80" s="3006"/>
    </row>
    <row r="81" spans="2:13">
      <c r="F81" s="2998">
        <v>18</v>
      </c>
      <c r="G81" s="2999" t="s">
        <v>3279</v>
      </c>
      <c r="J81" s="2984">
        <v>99.69</v>
      </c>
    </row>
    <row r="82" spans="2:13">
      <c r="F82" s="2998">
        <v>18</v>
      </c>
      <c r="G82" s="2999" t="s">
        <v>3280</v>
      </c>
      <c r="J82" s="2984">
        <v>99.69</v>
      </c>
    </row>
    <row r="83" spans="2:13">
      <c r="F83" s="2998">
        <v>18</v>
      </c>
      <c r="G83" s="2999" t="s">
        <v>3281</v>
      </c>
      <c r="J83" s="3004">
        <v>122.35</v>
      </c>
    </row>
    <row r="84" spans="2:13">
      <c r="F84" s="2998">
        <v>18</v>
      </c>
      <c r="G84" s="2999" t="s">
        <v>3282</v>
      </c>
      <c r="J84" s="2984">
        <v>99.69</v>
      </c>
    </row>
    <row r="85" spans="2:13">
      <c r="F85" s="2998">
        <v>18</v>
      </c>
      <c r="G85" s="2999" t="s">
        <v>3283</v>
      </c>
      <c r="J85" s="3004">
        <v>122.35</v>
      </c>
    </row>
    <row r="86" spans="2:13">
      <c r="F86" s="2998">
        <v>18</v>
      </c>
      <c r="G86" s="2999" t="s">
        <v>3284</v>
      </c>
      <c r="J86" s="2984">
        <v>99.69</v>
      </c>
    </row>
    <row r="87" spans="2:13">
      <c r="F87" s="2998">
        <v>18</v>
      </c>
      <c r="G87" s="2999" t="s">
        <v>3285</v>
      </c>
      <c r="J87" s="2984">
        <v>99.69</v>
      </c>
    </row>
    <row r="88" spans="2:13">
      <c r="F88" s="2998">
        <v>18</v>
      </c>
      <c r="G88" s="2999" t="s">
        <v>3286</v>
      </c>
      <c r="J88" s="2984">
        <v>99.69</v>
      </c>
    </row>
    <row r="89" spans="2:13">
      <c r="F89" s="2998">
        <v>18</v>
      </c>
      <c r="G89" s="2999" t="s">
        <v>3287</v>
      </c>
      <c r="J89" s="2984">
        <v>99.69</v>
      </c>
    </row>
    <row r="90" spans="2:13">
      <c r="B90" s="3000" t="s">
        <v>3196</v>
      </c>
      <c r="C90" s="3001">
        <v>23</v>
      </c>
      <c r="D90" s="3001" t="s">
        <v>3034</v>
      </c>
      <c r="E90" s="3002">
        <v>43300</v>
      </c>
      <c r="F90" s="2998">
        <v>18</v>
      </c>
      <c r="G90" s="3003" t="s">
        <v>3288</v>
      </c>
      <c r="H90" s="3003" t="s">
        <v>3289</v>
      </c>
      <c r="I90" s="3003" t="s">
        <v>3170</v>
      </c>
      <c r="J90" s="3004">
        <v>122.35</v>
      </c>
      <c r="K90" s="3003">
        <v>353592</v>
      </c>
      <c r="L90" s="3003">
        <v>353592</v>
      </c>
      <c r="M90" s="3005">
        <f>K90-L90</f>
        <v>0</v>
      </c>
    </row>
    <row r="91" spans="2:13">
      <c r="B91" s="3000" t="s">
        <v>3196</v>
      </c>
      <c r="C91" s="3001">
        <v>24</v>
      </c>
      <c r="D91" s="3001" t="s">
        <v>3034</v>
      </c>
      <c r="E91" s="3002">
        <v>43300</v>
      </c>
      <c r="F91" s="2998">
        <v>18</v>
      </c>
      <c r="G91" s="3003" t="s">
        <v>3290</v>
      </c>
      <c r="H91" s="3003" t="s">
        <v>3291</v>
      </c>
      <c r="I91" s="3003" t="s">
        <v>3292</v>
      </c>
      <c r="J91" s="3004">
        <v>122.35</v>
      </c>
      <c r="K91" s="3003">
        <v>353592</v>
      </c>
      <c r="L91" s="3003">
        <v>213592</v>
      </c>
      <c r="M91" s="3005">
        <f>K91-L91</f>
        <v>140000</v>
      </c>
    </row>
    <row r="92" spans="2:13">
      <c r="F92" s="2998">
        <v>18</v>
      </c>
      <c r="G92" s="2999" t="s">
        <v>3293</v>
      </c>
      <c r="J92" s="2984">
        <v>99.69</v>
      </c>
    </row>
    <row r="93" spans="2:13">
      <c r="F93" s="2998">
        <v>18</v>
      </c>
      <c r="G93" s="2999" t="s">
        <v>3294</v>
      </c>
      <c r="J93" s="2984">
        <v>99.69</v>
      </c>
    </row>
    <row r="94" spans="2:13">
      <c r="F94" s="2998">
        <v>18</v>
      </c>
      <c r="G94" s="2999" t="s">
        <v>3295</v>
      </c>
      <c r="J94" s="3004">
        <v>122.35</v>
      </c>
    </row>
    <row r="95" spans="2:13">
      <c r="F95" s="2998">
        <v>18</v>
      </c>
      <c r="G95" s="2999" t="s">
        <v>3296</v>
      </c>
      <c r="J95" s="2984">
        <v>99.69</v>
      </c>
    </row>
    <row r="96" spans="2:13">
      <c r="F96" s="2998">
        <v>18</v>
      </c>
      <c r="G96" s="2999" t="s">
        <v>3297</v>
      </c>
      <c r="J96" s="2984">
        <v>99.69</v>
      </c>
    </row>
    <row r="97" spans="6:10">
      <c r="F97" s="2998">
        <v>18</v>
      </c>
      <c r="G97" s="2999" t="s">
        <v>3298</v>
      </c>
      <c r="J97" s="3004">
        <v>122.35</v>
      </c>
    </row>
    <row r="98" spans="6:10">
      <c r="F98" s="2998">
        <v>18</v>
      </c>
      <c r="G98" s="2999" t="s">
        <v>3299</v>
      </c>
      <c r="J98" s="2984">
        <v>99.69</v>
      </c>
    </row>
    <row r="99" spans="6:10">
      <c r="F99" s="2998">
        <v>18</v>
      </c>
      <c r="G99" s="2999" t="s">
        <v>3300</v>
      </c>
      <c r="J99" s="2984">
        <v>99.69</v>
      </c>
    </row>
    <row r="100" spans="6:10">
      <c r="F100" s="2998">
        <v>18</v>
      </c>
      <c r="G100" s="2999" t="s">
        <v>3301</v>
      </c>
      <c r="J100" s="3004">
        <v>122.35</v>
      </c>
    </row>
    <row r="101" spans="6:10">
      <c r="F101" s="2998">
        <v>18</v>
      </c>
      <c r="G101" s="2999" t="s">
        <v>3302</v>
      </c>
      <c r="J101" s="2984">
        <v>99.69</v>
      </c>
    </row>
    <row r="102" spans="6:10">
      <c r="F102" s="2998">
        <v>18</v>
      </c>
      <c r="G102" s="2999" t="s">
        <v>3303</v>
      </c>
      <c r="J102" s="2984">
        <v>99.69</v>
      </c>
    </row>
    <row r="103" spans="6:10">
      <c r="F103" s="2998">
        <v>18</v>
      </c>
      <c r="G103" s="2999" t="s">
        <v>3304</v>
      </c>
      <c r="J103" s="2984">
        <v>99.69</v>
      </c>
    </row>
    <row r="104" spans="6:10">
      <c r="F104" s="2998">
        <v>18</v>
      </c>
      <c r="G104" s="2999" t="s">
        <v>3305</v>
      </c>
      <c r="J104" s="2984">
        <v>99.69</v>
      </c>
    </row>
    <row r="105" spans="6:10">
      <c r="F105" s="2998">
        <v>19</v>
      </c>
      <c r="G105" s="2999" t="s">
        <v>3306</v>
      </c>
      <c r="J105" s="3004">
        <v>109.24</v>
      </c>
    </row>
    <row r="106" spans="6:10">
      <c r="F106" s="2998">
        <v>19</v>
      </c>
      <c r="G106" s="2999" t="s">
        <v>3307</v>
      </c>
      <c r="J106" s="3004">
        <v>109.24</v>
      </c>
    </row>
    <row r="107" spans="6:10">
      <c r="F107" s="2998">
        <v>19</v>
      </c>
      <c r="G107" s="2999" t="s">
        <v>3308</v>
      </c>
      <c r="J107" s="3004">
        <v>109.24</v>
      </c>
    </row>
    <row r="108" spans="6:10">
      <c r="F108" s="2998">
        <v>19</v>
      </c>
      <c r="G108" s="2999" t="s">
        <v>3309</v>
      </c>
      <c r="J108" s="3004">
        <v>109.24</v>
      </c>
    </row>
    <row r="109" spans="6:10">
      <c r="F109" s="2998">
        <v>19</v>
      </c>
      <c r="G109" s="2999" t="s">
        <v>3310</v>
      </c>
      <c r="J109" s="3004">
        <v>109.24</v>
      </c>
    </row>
    <row r="110" spans="6:10">
      <c r="F110" s="2998">
        <v>19</v>
      </c>
      <c r="G110" s="2999" t="s">
        <v>3311</v>
      </c>
      <c r="J110" s="3004">
        <v>109.24</v>
      </c>
    </row>
    <row r="111" spans="6:10">
      <c r="F111" s="2998">
        <v>19</v>
      </c>
      <c r="G111" s="2999" t="s">
        <v>3312</v>
      </c>
      <c r="J111" s="3004">
        <v>109.24</v>
      </c>
    </row>
    <row r="112" spans="6:10">
      <c r="F112" s="2998">
        <v>19</v>
      </c>
      <c r="G112" s="2999" t="s">
        <v>3313</v>
      </c>
      <c r="J112" s="3004">
        <v>109.24</v>
      </c>
    </row>
    <row r="113" spans="2:13">
      <c r="F113" s="2998">
        <v>19</v>
      </c>
      <c r="G113" s="2999" t="s">
        <v>3314</v>
      </c>
      <c r="J113" s="3004">
        <v>109.24</v>
      </c>
    </row>
    <row r="114" spans="2:13">
      <c r="F114" s="2998">
        <v>19</v>
      </c>
      <c r="G114" s="2999" t="s">
        <v>3315</v>
      </c>
      <c r="J114" s="3004">
        <v>109.24</v>
      </c>
    </row>
    <row r="115" spans="2:13">
      <c r="F115" s="2998">
        <v>19</v>
      </c>
      <c r="G115" s="2999" t="s">
        <v>3316</v>
      </c>
      <c r="J115" s="3004">
        <v>109.24</v>
      </c>
    </row>
    <row r="116" spans="2:13">
      <c r="F116" s="2998">
        <v>19</v>
      </c>
      <c r="G116" s="2999" t="s">
        <v>3317</v>
      </c>
      <c r="J116" s="3004">
        <v>109.24</v>
      </c>
    </row>
    <row r="117" spans="2:13">
      <c r="F117" s="2998">
        <v>19</v>
      </c>
      <c r="G117" s="2999" t="s">
        <v>3318</v>
      </c>
      <c r="J117" s="3004">
        <v>109.24</v>
      </c>
    </row>
    <row r="118" spans="2:13">
      <c r="F118" s="2998">
        <v>19</v>
      </c>
      <c r="G118" s="2999" t="s">
        <v>3319</v>
      </c>
      <c r="J118" s="3004">
        <v>109.24</v>
      </c>
    </row>
    <row r="119" spans="2:13">
      <c r="F119" s="2998">
        <v>19</v>
      </c>
      <c r="G119" s="2999" t="s">
        <v>3320</v>
      </c>
      <c r="J119" s="3004">
        <v>109.24</v>
      </c>
    </row>
    <row r="120" spans="2:13">
      <c r="F120" s="2998">
        <v>19</v>
      </c>
      <c r="G120" s="2999" t="s">
        <v>3321</v>
      </c>
      <c r="J120" s="3004">
        <v>109.24</v>
      </c>
    </row>
    <row r="121" spans="2:13">
      <c r="B121" s="3000" t="s">
        <v>3196</v>
      </c>
      <c r="C121" s="3001">
        <v>25</v>
      </c>
      <c r="D121" s="3001" t="s">
        <v>3034</v>
      </c>
      <c r="E121" s="3007">
        <v>43305</v>
      </c>
      <c r="F121" s="2998">
        <v>19</v>
      </c>
      <c r="G121" s="3008" t="s">
        <v>3322</v>
      </c>
      <c r="H121" s="3008" t="s">
        <v>3323</v>
      </c>
      <c r="I121" s="3008" t="s">
        <v>3205</v>
      </c>
      <c r="J121" s="3008">
        <v>137.91999999999999</v>
      </c>
      <c r="K121" s="3008">
        <v>398589</v>
      </c>
      <c r="L121" s="3008">
        <v>398589</v>
      </c>
      <c r="M121" s="3005">
        <f>K121-L121</f>
        <v>0</v>
      </c>
    </row>
    <row r="122" spans="2:13">
      <c r="F122" s="2998">
        <v>19</v>
      </c>
      <c r="G122" s="2999" t="s">
        <v>3324</v>
      </c>
      <c r="J122" s="3004">
        <v>109.24</v>
      </c>
    </row>
    <row r="123" spans="2:13">
      <c r="F123" s="2998">
        <v>19</v>
      </c>
      <c r="G123" s="2999" t="s">
        <v>3325</v>
      </c>
      <c r="J123" s="3004">
        <v>109.24</v>
      </c>
    </row>
    <row r="124" spans="2:13">
      <c r="B124" s="3000" t="s">
        <v>3196</v>
      </c>
      <c r="C124" s="3001">
        <v>26</v>
      </c>
      <c r="D124" s="3001" t="s">
        <v>3034</v>
      </c>
      <c r="E124" s="3007">
        <v>43300</v>
      </c>
      <c r="F124" s="2998">
        <v>19</v>
      </c>
      <c r="G124" s="3008" t="s">
        <v>3326</v>
      </c>
      <c r="H124" s="3008" t="s">
        <v>3327</v>
      </c>
      <c r="I124" s="3008" t="s">
        <v>3170</v>
      </c>
      <c r="J124" s="3008">
        <v>137.91999999999999</v>
      </c>
      <c r="K124" s="3008">
        <v>398589</v>
      </c>
      <c r="L124" s="3008">
        <v>398589</v>
      </c>
      <c r="M124" s="3005">
        <f>K124-L124</f>
        <v>0</v>
      </c>
    </row>
    <row r="125" spans="2:13">
      <c r="F125" s="2998">
        <v>19</v>
      </c>
      <c r="G125" s="2999" t="s">
        <v>3328</v>
      </c>
      <c r="J125" s="3004">
        <v>109.24</v>
      </c>
    </row>
    <row r="126" spans="2:13">
      <c r="F126" s="2998">
        <v>19</v>
      </c>
      <c r="G126" s="2999" t="s">
        <v>3329</v>
      </c>
      <c r="J126" s="3004">
        <v>109.24</v>
      </c>
    </row>
    <row r="127" spans="2:13">
      <c r="F127" s="2998">
        <v>19</v>
      </c>
      <c r="G127" s="2999" t="s">
        <v>3330</v>
      </c>
      <c r="J127" s="3004">
        <v>109.24</v>
      </c>
    </row>
    <row r="128" spans="2:13">
      <c r="F128" s="2998">
        <v>19</v>
      </c>
      <c r="G128" s="2999" t="s">
        <v>3331</v>
      </c>
      <c r="J128" s="3004">
        <v>109.24</v>
      </c>
    </row>
    <row r="129" spans="6:10">
      <c r="F129" s="2998">
        <v>19</v>
      </c>
      <c r="G129" s="2999" t="s">
        <v>3332</v>
      </c>
      <c r="J129" s="3004">
        <v>109.24</v>
      </c>
    </row>
    <row r="130" spans="6:10">
      <c r="F130" s="2998">
        <v>19</v>
      </c>
      <c r="G130" s="2999" t="s">
        <v>3333</v>
      </c>
      <c r="J130" s="3004">
        <v>109.24</v>
      </c>
    </row>
    <row r="131" spans="6:10">
      <c r="F131" s="2998">
        <v>20</v>
      </c>
      <c r="G131" s="2999" t="s">
        <v>3334</v>
      </c>
      <c r="J131" s="3004">
        <v>109.32</v>
      </c>
    </row>
    <row r="132" spans="6:10">
      <c r="F132" s="2998">
        <v>20</v>
      </c>
      <c r="G132" s="2999" t="s">
        <v>3335</v>
      </c>
      <c r="J132" s="3004">
        <v>109.32</v>
      </c>
    </row>
    <row r="133" spans="6:10">
      <c r="F133" s="2998">
        <v>20</v>
      </c>
      <c r="G133" s="2999" t="s">
        <v>3336</v>
      </c>
      <c r="J133" s="3004">
        <v>109.32</v>
      </c>
    </row>
    <row r="134" spans="6:10">
      <c r="F134" s="2998">
        <v>20</v>
      </c>
      <c r="G134" s="2999" t="s">
        <v>3337</v>
      </c>
      <c r="J134" s="3004">
        <v>109.32</v>
      </c>
    </row>
    <row r="135" spans="6:10">
      <c r="F135" s="2998">
        <v>20</v>
      </c>
      <c r="G135" s="2999" t="s">
        <v>3338</v>
      </c>
      <c r="J135" s="3004">
        <v>109.32</v>
      </c>
    </row>
    <row r="136" spans="6:10">
      <c r="F136" s="2998">
        <v>20</v>
      </c>
      <c r="G136" s="2999" t="s">
        <v>3339</v>
      </c>
      <c r="J136" s="3004">
        <v>109.32</v>
      </c>
    </row>
    <row r="137" spans="6:10">
      <c r="F137" s="2998">
        <v>20</v>
      </c>
      <c r="G137" s="2999" t="s">
        <v>3340</v>
      </c>
      <c r="J137" s="3009">
        <v>144.26</v>
      </c>
    </row>
    <row r="138" spans="6:10">
      <c r="F138" s="2998">
        <v>20</v>
      </c>
      <c r="G138" s="2999" t="s">
        <v>3341</v>
      </c>
      <c r="J138" s="3004">
        <v>109.32</v>
      </c>
    </row>
    <row r="139" spans="6:10">
      <c r="F139" s="2998">
        <v>20</v>
      </c>
      <c r="G139" s="2999" t="s">
        <v>3342</v>
      </c>
      <c r="J139" s="3009">
        <v>144.26</v>
      </c>
    </row>
    <row r="140" spans="6:10">
      <c r="F140" s="2998">
        <v>20</v>
      </c>
      <c r="G140" s="2999" t="s">
        <v>3343</v>
      </c>
      <c r="J140" s="3004">
        <v>109.32</v>
      </c>
    </row>
    <row r="141" spans="6:10">
      <c r="F141" s="2998">
        <v>20</v>
      </c>
      <c r="G141" s="2999" t="s">
        <v>3344</v>
      </c>
      <c r="J141" s="3004">
        <v>109.32</v>
      </c>
    </row>
    <row r="142" spans="6:10">
      <c r="F142" s="2998">
        <v>20</v>
      </c>
      <c r="G142" s="2999" t="s">
        <v>3345</v>
      </c>
      <c r="J142" s="3009">
        <v>144.26</v>
      </c>
    </row>
    <row r="143" spans="6:10">
      <c r="F143" s="2998">
        <v>20</v>
      </c>
      <c r="G143" s="2999" t="s">
        <v>3346</v>
      </c>
      <c r="J143" s="3009">
        <v>144.26</v>
      </c>
    </row>
    <row r="144" spans="6:10">
      <c r="F144" s="2998">
        <v>20</v>
      </c>
      <c r="G144" s="2999" t="s">
        <v>3347</v>
      </c>
      <c r="J144" s="3004">
        <v>109.32</v>
      </c>
    </row>
    <row r="145" spans="2:13">
      <c r="F145" s="2998">
        <v>20</v>
      </c>
      <c r="G145" s="2999" t="s">
        <v>3348</v>
      </c>
      <c r="J145" s="3004">
        <v>109.32</v>
      </c>
    </row>
    <row r="146" spans="2:13">
      <c r="F146" s="2998">
        <v>20</v>
      </c>
      <c r="G146" s="2999" t="s">
        <v>3349</v>
      </c>
      <c r="J146" s="3009">
        <v>144.26</v>
      </c>
    </row>
    <row r="147" spans="2:13">
      <c r="F147" s="2998">
        <v>20</v>
      </c>
      <c r="G147" s="2999" t="s">
        <v>3350</v>
      </c>
      <c r="J147" s="3009">
        <v>144.26</v>
      </c>
    </row>
    <row r="148" spans="2:13">
      <c r="F148" s="2998">
        <v>20</v>
      </c>
      <c r="G148" s="2999" t="s">
        <v>3351</v>
      </c>
      <c r="J148" s="3004">
        <v>109.32</v>
      </c>
    </row>
    <row r="149" spans="2:13">
      <c r="F149" s="2998">
        <v>20</v>
      </c>
      <c r="G149" s="2999" t="s">
        <v>3352</v>
      </c>
      <c r="J149" s="3004">
        <v>109.32</v>
      </c>
    </row>
    <row r="150" spans="2:13">
      <c r="F150" s="2998">
        <v>20</v>
      </c>
      <c r="G150" s="2999" t="s">
        <v>3353</v>
      </c>
      <c r="J150" s="3009">
        <v>144.26</v>
      </c>
    </row>
    <row r="151" spans="2:13">
      <c r="F151" s="2998">
        <v>20</v>
      </c>
      <c r="G151" s="2999" t="s">
        <v>3354</v>
      </c>
      <c r="J151" s="3004">
        <v>109.32</v>
      </c>
    </row>
    <row r="152" spans="2:13">
      <c r="F152" s="2998">
        <v>20</v>
      </c>
      <c r="G152" s="2999" t="s">
        <v>3355</v>
      </c>
      <c r="J152" s="3009">
        <v>144.26</v>
      </c>
    </row>
    <row r="153" spans="2:13">
      <c r="F153" s="2998">
        <v>20</v>
      </c>
      <c r="G153" s="2999" t="s">
        <v>3356</v>
      </c>
      <c r="J153" s="3004">
        <v>109.32</v>
      </c>
    </row>
    <row r="154" spans="2:13">
      <c r="F154" s="2998">
        <v>20</v>
      </c>
      <c r="G154" s="2999" t="s">
        <v>3357</v>
      </c>
      <c r="J154" s="3004">
        <v>109.32</v>
      </c>
    </row>
    <row r="155" spans="2:13">
      <c r="F155" s="2998">
        <v>20</v>
      </c>
      <c r="G155" s="2999" t="s">
        <v>3358</v>
      </c>
      <c r="J155" s="3009">
        <v>144.26</v>
      </c>
    </row>
    <row r="156" spans="2:13">
      <c r="B156" s="3000" t="s">
        <v>3222</v>
      </c>
      <c r="C156" s="3001">
        <v>27</v>
      </c>
      <c r="D156" s="3001" t="s">
        <v>3034</v>
      </c>
      <c r="E156" s="3002">
        <v>43292</v>
      </c>
      <c r="F156" s="2998">
        <v>20</v>
      </c>
      <c r="G156" s="3003" t="s">
        <v>3359</v>
      </c>
      <c r="H156" s="3010" t="s">
        <v>3360</v>
      </c>
      <c r="I156" s="3003" t="s">
        <v>3170</v>
      </c>
      <c r="J156" s="3003">
        <v>144.26</v>
      </c>
      <c r="K156" s="3003">
        <v>416911</v>
      </c>
      <c r="L156" s="3003">
        <v>416911</v>
      </c>
      <c r="M156" s="3005">
        <f>K156-L156</f>
        <v>0</v>
      </c>
    </row>
    <row r="157" spans="2:13">
      <c r="F157" s="2998">
        <v>20</v>
      </c>
      <c r="G157" s="2999" t="s">
        <v>3361</v>
      </c>
      <c r="J157" s="3004">
        <v>109.32</v>
      </c>
    </row>
    <row r="158" spans="2:13">
      <c r="F158" s="2998">
        <v>20</v>
      </c>
      <c r="G158" s="2999" t="s">
        <v>3362</v>
      </c>
      <c r="J158" s="3004">
        <v>109.32</v>
      </c>
    </row>
    <row r="159" spans="2:13">
      <c r="F159" s="2998">
        <v>20</v>
      </c>
      <c r="G159" s="2999" t="s">
        <v>3363</v>
      </c>
      <c r="J159" s="3009">
        <v>144.26</v>
      </c>
    </row>
    <row r="160" spans="2:13">
      <c r="B160" s="3000" t="s">
        <v>3222</v>
      </c>
      <c r="C160" s="3001">
        <v>28</v>
      </c>
      <c r="D160" s="3001" t="s">
        <v>3034</v>
      </c>
      <c r="E160" s="3002">
        <v>43301</v>
      </c>
      <c r="F160" s="2998">
        <v>20</v>
      </c>
      <c r="G160" s="3003" t="s">
        <v>3364</v>
      </c>
      <c r="H160" s="3003" t="s">
        <v>3365</v>
      </c>
      <c r="I160" s="3003" t="s">
        <v>3170</v>
      </c>
      <c r="J160" s="3003">
        <v>144.26</v>
      </c>
      <c r="K160" s="3003">
        <v>416911</v>
      </c>
      <c r="L160" s="3003">
        <v>416911</v>
      </c>
      <c r="M160" s="3005">
        <f>K160-L160</f>
        <v>0</v>
      </c>
    </row>
    <row r="161" spans="2:13">
      <c r="F161" s="2998">
        <v>20</v>
      </c>
      <c r="G161" s="2999" t="s">
        <v>3366</v>
      </c>
      <c r="J161" s="3004">
        <v>109.32</v>
      </c>
    </row>
    <row r="162" spans="2:13">
      <c r="F162" s="2998">
        <v>20</v>
      </c>
      <c r="G162" s="2999" t="s">
        <v>3367</v>
      </c>
      <c r="J162" s="3009">
        <v>144.26</v>
      </c>
    </row>
    <row r="163" spans="2:13">
      <c r="B163" s="3000" t="s">
        <v>3222</v>
      </c>
      <c r="C163" s="3001">
        <v>29</v>
      </c>
      <c r="D163" s="3001" t="s">
        <v>3034</v>
      </c>
      <c r="E163" s="3002">
        <v>43300</v>
      </c>
      <c r="F163" s="2998">
        <v>20</v>
      </c>
      <c r="G163" s="3003" t="s">
        <v>3368</v>
      </c>
      <c r="H163" s="3003" t="s">
        <v>3369</v>
      </c>
      <c r="I163" s="3003" t="s">
        <v>3170</v>
      </c>
      <c r="J163" s="3003">
        <v>144.26</v>
      </c>
      <c r="K163" s="3003">
        <v>416911</v>
      </c>
      <c r="L163" s="3003">
        <v>416911</v>
      </c>
      <c r="M163" s="3005">
        <f>K163-L163</f>
        <v>0</v>
      </c>
    </row>
    <row r="164" spans="2:13">
      <c r="F164" s="2998">
        <v>20</v>
      </c>
      <c r="G164" s="2999" t="s">
        <v>3370</v>
      </c>
      <c r="J164" s="3004">
        <v>109.32</v>
      </c>
    </row>
    <row r="165" spans="2:13">
      <c r="F165" s="2998">
        <v>20</v>
      </c>
      <c r="G165" s="2999" t="s">
        <v>3371</v>
      </c>
      <c r="J165" s="3004">
        <v>109.32</v>
      </c>
    </row>
    <row r="166" spans="2:13">
      <c r="F166" s="2998">
        <v>20</v>
      </c>
      <c r="G166" s="2999" t="s">
        <v>3372</v>
      </c>
      <c r="J166" s="3004">
        <v>109.32</v>
      </c>
    </row>
    <row r="167" spans="2:13">
      <c r="B167" s="3000" t="s">
        <v>3222</v>
      </c>
      <c r="C167" s="3001">
        <v>30</v>
      </c>
      <c r="D167" s="3001" t="s">
        <v>3034</v>
      </c>
      <c r="E167" s="3002">
        <v>43300</v>
      </c>
      <c r="F167" s="2998">
        <v>20</v>
      </c>
      <c r="G167" s="3003" t="s">
        <v>3373</v>
      </c>
      <c r="H167" s="3003" t="s">
        <v>3374</v>
      </c>
      <c r="I167" s="3003" t="s">
        <v>3170</v>
      </c>
      <c r="J167" s="3003">
        <v>144.26</v>
      </c>
      <c r="K167" s="3003">
        <v>416911</v>
      </c>
      <c r="L167" s="3003">
        <v>416911</v>
      </c>
      <c r="M167" s="3005">
        <f>K167-L167</f>
        <v>0</v>
      </c>
    </row>
    <row r="168" spans="2:13">
      <c r="B168" s="3000" t="s">
        <v>3222</v>
      </c>
      <c r="C168" s="3001">
        <v>31</v>
      </c>
      <c r="D168" s="3001" t="s">
        <v>3034</v>
      </c>
      <c r="E168" s="3002">
        <v>43300</v>
      </c>
      <c r="F168" s="2998">
        <v>20</v>
      </c>
      <c r="G168" s="3003" t="s">
        <v>3375</v>
      </c>
      <c r="H168" s="3003" t="s">
        <v>3376</v>
      </c>
      <c r="I168" s="3003" t="s">
        <v>3170</v>
      </c>
      <c r="J168" s="3003">
        <v>144.26</v>
      </c>
      <c r="K168" s="3003">
        <v>416911</v>
      </c>
      <c r="L168" s="3003">
        <v>416911</v>
      </c>
      <c r="M168" s="3005">
        <f>K168-L168</f>
        <v>0</v>
      </c>
    </row>
    <row r="169" spans="2:13">
      <c r="F169" s="2998">
        <v>20</v>
      </c>
      <c r="G169" s="2999" t="s">
        <v>3377</v>
      </c>
      <c r="J169" s="3004">
        <v>109.32</v>
      </c>
    </row>
    <row r="170" spans="2:13">
      <c r="F170" s="2998">
        <v>20</v>
      </c>
      <c r="G170" s="2999" t="s">
        <v>3378</v>
      </c>
      <c r="J170" s="3004">
        <v>109.32</v>
      </c>
    </row>
    <row r="171" spans="2:13">
      <c r="B171" s="3000" t="s">
        <v>3222</v>
      </c>
      <c r="C171" s="3001">
        <v>32</v>
      </c>
      <c r="D171" s="3001" t="s">
        <v>3034</v>
      </c>
      <c r="E171" s="3002">
        <v>43301</v>
      </c>
      <c r="F171" s="2998">
        <v>20</v>
      </c>
      <c r="G171" s="3003" t="s">
        <v>3379</v>
      </c>
      <c r="H171" s="3003" t="s">
        <v>3380</v>
      </c>
      <c r="I171" s="3003" t="s">
        <v>3170</v>
      </c>
      <c r="J171" s="3003">
        <v>144.26</v>
      </c>
      <c r="K171" s="3003">
        <v>416911</v>
      </c>
      <c r="L171" s="3003">
        <v>416911</v>
      </c>
      <c r="M171" s="3005">
        <f>K171-L171</f>
        <v>0</v>
      </c>
    </row>
    <row r="172" spans="2:13">
      <c r="F172" s="2998">
        <v>20</v>
      </c>
      <c r="G172" s="2999" t="s">
        <v>3381</v>
      </c>
      <c r="J172" s="3004">
        <v>109.32</v>
      </c>
    </row>
    <row r="173" spans="2:13">
      <c r="B173" s="3000" t="s">
        <v>3222</v>
      </c>
      <c r="C173" s="3001">
        <v>33</v>
      </c>
      <c r="D173" s="3001" t="s">
        <v>3034</v>
      </c>
      <c r="E173" s="3002">
        <v>43303</v>
      </c>
      <c r="F173" s="2998">
        <v>20</v>
      </c>
      <c r="G173" s="3003" t="s">
        <v>3382</v>
      </c>
      <c r="H173" s="3003" t="s">
        <v>3383</v>
      </c>
      <c r="I173" s="3003" t="s">
        <v>3170</v>
      </c>
      <c r="J173" s="3003">
        <v>144.26</v>
      </c>
      <c r="K173" s="3003">
        <v>416911</v>
      </c>
      <c r="L173" s="3003">
        <v>416911</v>
      </c>
      <c r="M173" s="3005">
        <f>K173-L173</f>
        <v>0</v>
      </c>
    </row>
    <row r="174" spans="2:13">
      <c r="F174" s="2998">
        <v>20</v>
      </c>
      <c r="G174" s="2999" t="s">
        <v>3384</v>
      </c>
      <c r="J174" s="3004">
        <v>109.32</v>
      </c>
    </row>
    <row r="175" spans="2:13">
      <c r="F175" s="2998">
        <v>20</v>
      </c>
      <c r="G175" s="2999" t="s">
        <v>3385</v>
      </c>
      <c r="J175" s="3004">
        <v>109.32</v>
      </c>
    </row>
    <row r="176" spans="2:13">
      <c r="B176" s="2984"/>
      <c r="C176" s="2984"/>
      <c r="D176" s="2984"/>
      <c r="E176" s="2984"/>
      <c r="F176" s="2986">
        <v>20</v>
      </c>
      <c r="G176" s="2987" t="s">
        <v>3386</v>
      </c>
      <c r="H176" s="2984"/>
      <c r="I176" s="2984"/>
      <c r="J176" s="2993">
        <v>109.32</v>
      </c>
      <c r="K176" s="2984"/>
      <c r="L176" s="2984"/>
      <c r="M176" s="2984"/>
    </row>
    <row r="177" spans="2:13">
      <c r="B177" s="3000" t="s">
        <v>3222</v>
      </c>
      <c r="C177" s="3000"/>
      <c r="D177" s="3000"/>
      <c r="E177" s="3000"/>
      <c r="F177" s="3011"/>
      <c r="G177" s="3000"/>
      <c r="H177" s="3012"/>
      <c r="I177" s="3013"/>
      <c r="J177" s="3014">
        <f>SUM(J4:J176)</f>
        <v>19659.769999999982</v>
      </c>
      <c r="K177" s="3015">
        <f>SUM(K144:K176)</f>
        <v>2918377</v>
      </c>
      <c r="L177" s="3015">
        <f>SUM(L144:L176)</f>
        <v>2918377</v>
      </c>
      <c r="M177" s="3015">
        <f>SUBTOTAL(9,M144:M176)</f>
        <v>0</v>
      </c>
    </row>
    <row r="178" spans="2:13">
      <c r="F178" s="2998"/>
    </row>
  </sheetData>
  <mergeCells count="1">
    <mergeCell ref="B2:M2"/>
  </mergeCells>
  <phoneticPr fontId="142" type="noConversion"/>
  <dataValidations count="1">
    <dataValidation type="list" allowBlank="1" showInputMessage="1" showErrorMessage="1" sqref="I4:I17">
      <formula1>"一次性,银行按揭,省公积金,市公积金"</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1637</v>
      </c>
      <c r="B2" s="3041" t="s">
        <v>1638</v>
      </c>
      <c r="C2" s="3041" t="s">
        <v>1639</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35"/>
      <c r="B3" s="3035"/>
      <c r="C3" s="3035"/>
      <c r="D3" s="1047" t="s">
        <v>1634</v>
      </c>
      <c r="E3" s="1047" t="s">
        <v>1640</v>
      </c>
      <c r="F3" s="1047" t="s">
        <v>1634</v>
      </c>
      <c r="G3" s="1047" t="s">
        <v>1635</v>
      </c>
      <c r="H3" s="1047" t="s">
        <v>1634</v>
      </c>
      <c r="I3" s="1047" t="s">
        <v>1635</v>
      </c>
    </row>
    <row r="4" spans="1:9" ht="30">
      <c r="A4" s="1975" t="str">
        <f>项目基本情况!S2</f>
        <v>湖南省长沙市出让国有建设用地使用权及在建建筑物房地产</v>
      </c>
      <c r="B4" s="1047">
        <f>项目基本情况!C17</f>
        <v>44412.450000000026</v>
      </c>
      <c r="C4" s="1047">
        <f>项目基本情况!C18</f>
        <v>6969.29</v>
      </c>
      <c r="D4" s="1047">
        <f ca="1">结果表!D118</f>
        <v>22710</v>
      </c>
      <c r="E4" s="1047">
        <f ca="1">结果表!E118</f>
        <v>5113</v>
      </c>
      <c r="F4" s="1047">
        <f ca="1">结果表!F118</f>
        <v>8571</v>
      </c>
      <c r="G4" s="1047">
        <f ca="1">结果表!G118</f>
        <v>1930</v>
      </c>
      <c r="H4" s="1047">
        <f ca="1">结果表!H118</f>
        <v>31281</v>
      </c>
      <c r="I4" s="1047">
        <f ca="1">结果表!I118</f>
        <v>7043</v>
      </c>
    </row>
    <row r="5" spans="1:9" ht="30" customHeight="1">
      <c r="A5" s="3035" t="s">
        <v>1636</v>
      </c>
      <c r="B5" s="3035"/>
      <c r="C5" s="3035"/>
      <c r="D5" s="3036" t="str">
        <f ca="1">结果表!D119</f>
        <v>贰亿贰仟柒佰壹拾万元整</v>
      </c>
      <c r="E5" s="3036"/>
      <c r="F5" s="3036" t="str">
        <f ca="1">结果表!F119</f>
        <v>捌仟伍佰柒拾壹万元整</v>
      </c>
      <c r="G5" s="3036"/>
      <c r="H5" s="3036" t="str">
        <f ca="1">结果表!H119</f>
        <v>叁亿壹仟贰佰捌拾壹万元整</v>
      </c>
      <c r="I5" s="3036"/>
    </row>
    <row r="6" spans="1:9" ht="15.75">
      <c r="A6" s="3034" t="str">
        <f>结果表!A120</f>
        <v>估价师知悉的法定优先受偿款</v>
      </c>
      <c r="B6" s="3034"/>
      <c r="C6" s="3034"/>
      <c r="D6" s="3034">
        <f>结果表!D120</f>
        <v>0</v>
      </c>
      <c r="E6" s="3034"/>
      <c r="F6" s="3034"/>
      <c r="G6" s="3034"/>
      <c r="H6" s="3034"/>
      <c r="I6" s="3034"/>
    </row>
    <row r="7" spans="1:9" ht="15">
      <c r="A7" s="3035" t="s">
        <v>1636</v>
      </c>
      <c r="B7" s="3035"/>
      <c r="C7" s="3035"/>
      <c r="D7" s="3037" t="str">
        <f>结果表!D121</f>
        <v>零元整</v>
      </c>
      <c r="E7" s="3038"/>
      <c r="F7" s="3038"/>
      <c r="G7" s="3038"/>
      <c r="H7" s="3038"/>
      <c r="I7" s="3039"/>
    </row>
    <row r="8" spans="1:9" ht="15.75">
      <c r="A8" s="3034" t="str">
        <f>结果表!A122</f>
        <v>房地产抵押价值</v>
      </c>
      <c r="B8" s="3034"/>
      <c r="C8" s="3034"/>
      <c r="D8" s="3034">
        <f ca="1">结果表!D122</f>
        <v>31281</v>
      </c>
      <c r="E8" s="3034"/>
      <c r="F8" s="3034"/>
      <c r="G8" s="3034"/>
      <c r="H8" s="3034"/>
      <c r="I8" s="3034"/>
    </row>
    <row r="9" spans="1:9" ht="15">
      <c r="A9" s="3035" t="s">
        <v>1636</v>
      </c>
      <c r="B9" s="3035"/>
      <c r="C9" s="3035"/>
      <c r="D9" s="3036" t="str">
        <f ca="1">结果表!D123</f>
        <v>叁亿壹仟贰佰捌拾壹万元整</v>
      </c>
      <c r="E9" s="3036"/>
      <c r="F9" s="3036"/>
      <c r="G9" s="3036"/>
      <c r="H9" s="3036"/>
      <c r="I9" s="3036"/>
    </row>
    <row r="10" spans="1:9" ht="15.75">
      <c r="A10" s="3034" t="str">
        <f>结果表!A124</f>
        <v/>
      </c>
      <c r="B10" s="3034"/>
      <c r="C10" s="3034"/>
      <c r="D10" s="3034" t="str">
        <f>结果表!D124</f>
        <v>——</v>
      </c>
      <c r="E10" s="3034"/>
      <c r="F10" s="3034"/>
      <c r="G10" s="3034"/>
      <c r="H10" s="3034"/>
      <c r="I10" s="3034"/>
    </row>
    <row r="11" spans="1:9" ht="15">
      <c r="A11" s="3035" t="s">
        <v>1636</v>
      </c>
      <c r="B11" s="3035"/>
      <c r="C11" s="3035"/>
      <c r="D11" s="3036" t="e">
        <f>结果表!D125</f>
        <v>#VALUE!</v>
      </c>
      <c r="E11" s="3036"/>
      <c r="F11" s="3036"/>
      <c r="G11" s="3036"/>
      <c r="H11" s="3036"/>
      <c r="I11" s="3036"/>
    </row>
    <row r="12" spans="1:9" ht="15.75">
      <c r="A12" s="3034" t="str">
        <f>结果表!A126</f>
        <v/>
      </c>
      <c r="B12" s="3034"/>
      <c r="C12" s="3034"/>
      <c r="D12" s="3034" t="str">
        <f>结果表!D126</f>
        <v>——</v>
      </c>
      <c r="E12" s="3034"/>
      <c r="F12" s="3034"/>
      <c r="G12" s="3034"/>
      <c r="H12" s="3034"/>
      <c r="I12" s="3034"/>
    </row>
    <row r="13" spans="1:9" ht="15.75" thickBot="1">
      <c r="A13" s="3031" t="s">
        <v>1636</v>
      </c>
      <c r="B13" s="3031"/>
      <c r="C13" s="3031"/>
      <c r="D13" s="3032" t="e">
        <f>结果表!D127</f>
        <v>#VALUE!</v>
      </c>
      <c r="E13" s="3032"/>
      <c r="F13" s="3032"/>
      <c r="G13" s="3032"/>
      <c r="H13" s="3032"/>
      <c r="I13" s="3032"/>
    </row>
    <row r="14" spans="1:9" ht="15" thickTop="1">
      <c r="A14" s="3033" t="s">
        <v>1641</v>
      </c>
      <c r="B14" s="3033"/>
      <c r="C14" s="3033"/>
      <c r="D14" s="3033"/>
      <c r="E14" s="3033"/>
      <c r="F14" s="3033"/>
      <c r="G14" s="3033"/>
      <c r="H14" s="3033"/>
      <c r="I14" s="3033"/>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48" t="s">
        <v>1658</v>
      </c>
      <c r="B1" s="3048"/>
      <c r="C1" s="3048"/>
      <c r="D1" s="3048"/>
    </row>
    <row r="2" spans="1:4" ht="18">
      <c r="A2" s="3049" t="s">
        <v>1642</v>
      </c>
      <c r="B2" s="3049"/>
      <c r="C2" s="3049"/>
      <c r="D2" s="3049"/>
    </row>
    <row r="3" spans="1:4" ht="18.75">
      <c r="A3" s="1979" t="s">
        <v>1643</v>
      </c>
      <c r="B3" s="1979" t="s">
        <v>1644</v>
      </c>
      <c r="C3" s="1979" t="s">
        <v>1645</v>
      </c>
      <c r="D3" s="1979" t="s">
        <v>1646</v>
      </c>
    </row>
    <row r="4" spans="1:4" ht="56.25" customHeight="1">
      <c r="A4" s="1980" t="str">
        <f>项目基本情况!B4</f>
        <v>王鹏</v>
      </c>
      <c r="B4" s="1981">
        <f ca="1">项目基本情况!C4</f>
        <v>1120050019</v>
      </c>
      <c r="C4" s="1982"/>
      <c r="D4" s="1983" t="s">
        <v>1647</v>
      </c>
    </row>
    <row r="5" spans="1:4" ht="56.25" customHeight="1">
      <c r="A5" s="1980" t="str">
        <f>项目基本情况!D4</f>
        <v>崔锴</v>
      </c>
      <c r="B5" s="1981">
        <f ca="1">项目基本情况!E4</f>
        <v>1120100036</v>
      </c>
      <c r="C5" s="1984"/>
      <c r="D5" s="1983" t="s">
        <v>1647</v>
      </c>
    </row>
    <row r="6" spans="1:4" ht="18">
      <c r="A6" s="3049" t="s">
        <v>1648</v>
      </c>
      <c r="B6" s="3049"/>
      <c r="C6" s="3049"/>
      <c r="D6" s="3049"/>
    </row>
    <row r="7" spans="1:4" ht="18.75">
      <c r="A7" s="1979" t="s">
        <v>1643</v>
      </c>
      <c r="B7" s="1981" t="s">
        <v>1649</v>
      </c>
      <c r="C7" s="1979" t="s">
        <v>1645</v>
      </c>
      <c r="D7" s="1979" t="s">
        <v>1646</v>
      </c>
    </row>
    <row r="8" spans="1:4" ht="56.25" customHeight="1">
      <c r="A8" s="1985" t="s">
        <v>868</v>
      </c>
      <c r="B8" s="1985" t="s">
        <v>1</v>
      </c>
      <c r="C8" s="1982"/>
      <c r="D8" s="1983" t="s">
        <v>1647</v>
      </c>
    </row>
    <row r="9" spans="1:4">
      <c r="A9" s="728"/>
      <c r="B9" s="728"/>
      <c r="C9" s="728"/>
      <c r="D9" s="728"/>
    </row>
    <row r="10" spans="1:4" ht="18.75">
      <c r="A10" s="1986" t="s">
        <v>1650</v>
      </c>
      <c r="B10" s="728"/>
      <c r="C10" s="728"/>
      <c r="D10" s="728"/>
    </row>
    <row r="11" spans="1:4" ht="30" customHeight="1">
      <c r="A11" s="3050" t="s">
        <v>1651</v>
      </c>
      <c r="B11" s="3042"/>
      <c r="C11" s="3042"/>
      <c r="D11" s="3042"/>
    </row>
    <row r="12" spans="1:4" ht="15.75">
      <c r="A12" s="30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7"/>
      <c r="C12" s="3047"/>
      <c r="D12" s="3047"/>
    </row>
    <row r="13" spans="1:4" ht="30" customHeight="1">
      <c r="A13" s="30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7"/>
      <c r="C13" s="3047"/>
      <c r="D13" s="3047"/>
    </row>
    <row r="14" spans="1:4" ht="15.75" customHeight="1">
      <c r="A14" s="3042" t="str">
        <f>IF(项目基本情况!B8="抵押","4.本次评估估价师所知悉的法定优先受偿款情况说明如下：","——")</f>
        <v>4.本次评估估价师所知悉的法定优先受偿款情况说明如下：</v>
      </c>
      <c r="B14" s="3047"/>
      <c r="C14" s="3047"/>
      <c r="D14" s="3047"/>
    </row>
    <row r="15" spans="1:4" ht="42" customHeight="1">
      <c r="A15" s="304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2"/>
      <c r="C15" s="3042"/>
      <c r="D15" s="3042"/>
    </row>
    <row r="16" spans="1:4" ht="30" customHeight="1">
      <c r="A16" s="3044" t="s">
        <v>1652</v>
      </c>
      <c r="B16" s="3044"/>
      <c r="C16" s="3044"/>
      <c r="D16" s="3044"/>
    </row>
    <row r="17" spans="1:4" ht="144" customHeight="1">
      <c r="A17" s="3044" t="s">
        <v>1653</v>
      </c>
      <c r="B17" s="3044"/>
      <c r="C17" s="3044"/>
      <c r="D17" s="3044"/>
    </row>
    <row r="18" spans="1:4" ht="15.75" customHeight="1">
      <c r="A18" s="3042" t="str">
        <f>IF(项目基本情况!B8="抵押",结果表!K120,"——")</f>
        <v>故，本次评估不存在估价师知悉的法定优先受偿款</v>
      </c>
      <c r="B18" s="3042"/>
      <c r="C18" s="3042"/>
      <c r="D18" s="3042"/>
    </row>
    <row r="19" spans="1:4" ht="46.5" customHeight="1">
      <c r="A19" s="30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2"/>
      <c r="C19" s="3042"/>
      <c r="D19" s="3042"/>
    </row>
    <row r="20" spans="1:4" ht="57.75" customHeight="1">
      <c r="A20" s="30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2"/>
      <c r="C20" s="3042"/>
      <c r="D20" s="3042"/>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5"/>
      <c r="C21" s="3045"/>
      <c r="D21" s="3045"/>
    </row>
    <row r="22" spans="1:4" ht="18.75" customHeight="1">
      <c r="A22" s="3046" t="s">
        <v>1654</v>
      </c>
      <c r="B22" s="3046"/>
      <c r="C22" s="3046"/>
      <c r="D22" s="3046"/>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43">
        <v>42551</v>
      </c>
      <c r="D31" s="30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56" t="s">
        <v>1665</v>
      </c>
      <c r="B15" s="3051" t="s">
        <v>136</v>
      </c>
      <c r="C15" s="3052"/>
    </row>
    <row r="16" spans="1:7" ht="13.5">
      <c r="A16" s="3057"/>
      <c r="B16" s="3051" t="s">
        <v>69</v>
      </c>
      <c r="C16" s="3052"/>
    </row>
    <row r="17" spans="1:3" ht="13.5">
      <c r="A17" s="3057"/>
      <c r="B17" s="3054" t="s">
        <v>1666</v>
      </c>
      <c r="C17" s="2002" t="s">
        <v>1665</v>
      </c>
    </row>
    <row r="18" spans="1:3" ht="13.5">
      <c r="A18" s="3057"/>
      <c r="B18" s="3054"/>
      <c r="C18" s="2002" t="s">
        <v>1667</v>
      </c>
    </row>
    <row r="19" spans="1:3" ht="13.5">
      <c r="A19" s="3057"/>
      <c r="B19" s="3054"/>
      <c r="C19" s="2002" t="s">
        <v>1668</v>
      </c>
    </row>
    <row r="20" spans="1:3" ht="13.5">
      <c r="A20" s="3058"/>
      <c r="B20" s="3053" t="s">
        <v>1669</v>
      </c>
      <c r="C20" s="3052"/>
    </row>
    <row r="21" spans="1:3" ht="13.5">
      <c r="A21" s="2003" t="s">
        <v>1670</v>
      </c>
      <c r="B21" s="2004"/>
      <c r="C21" s="2005"/>
    </row>
    <row r="22" spans="1:3" ht="13.5">
      <c r="A22" s="3055" t="s">
        <v>1671</v>
      </c>
      <c r="B22" s="3053" t="s">
        <v>1672</v>
      </c>
      <c r="C22" s="3052"/>
    </row>
    <row r="23" spans="1:3" ht="13.5">
      <c r="A23" s="3055"/>
      <c r="B23" s="3053" t="s">
        <v>1673</v>
      </c>
      <c r="C23" s="3052"/>
    </row>
    <row r="24" spans="1:3" ht="13.5">
      <c r="A24" s="3055"/>
      <c r="B24" s="3053" t="s">
        <v>1674</v>
      </c>
      <c r="C24" s="3052"/>
    </row>
    <row r="25" spans="1:3" ht="13.5">
      <c r="A25" s="3055"/>
      <c r="B25" s="3054" t="s">
        <v>1675</v>
      </c>
      <c r="C25" s="2002" t="s">
        <v>1676</v>
      </c>
    </row>
    <row r="26" spans="1:3" ht="13.5">
      <c r="A26" s="3055"/>
      <c r="B26" s="3054"/>
      <c r="C26" s="2002" t="s">
        <v>1677</v>
      </c>
    </row>
    <row r="27" spans="1:3" ht="13.5">
      <c r="A27" s="3055"/>
      <c r="B27" s="3054"/>
      <c r="C27" s="2002" t="s">
        <v>1678</v>
      </c>
    </row>
    <row r="28" spans="1:3" ht="13.5">
      <c r="A28" s="3055"/>
      <c r="B28" s="3054"/>
      <c r="C28" s="2002" t="s">
        <v>1679</v>
      </c>
    </row>
    <row r="29" spans="1:3" ht="13.5">
      <c r="A29" s="3055"/>
      <c r="B29" s="3054"/>
      <c r="C29" s="2002" t="s">
        <v>1680</v>
      </c>
    </row>
    <row r="30" spans="1:3" ht="13.5">
      <c r="A30" s="3055"/>
      <c r="B30" s="3054"/>
      <c r="C30" s="2002" t="s">
        <v>1681</v>
      </c>
    </row>
    <row r="31" spans="1:3" ht="13.5">
      <c r="A31" s="3055"/>
      <c r="B31" s="3054"/>
      <c r="C31" s="2002" t="s">
        <v>1682</v>
      </c>
    </row>
    <row r="32" spans="1:3" ht="13.5">
      <c r="A32" s="3055"/>
      <c r="B32" s="3054"/>
      <c r="C32" s="2002" t="s">
        <v>1683</v>
      </c>
    </row>
    <row r="33" spans="1:3" ht="13.5">
      <c r="A33" s="3055"/>
      <c r="B33" s="3054"/>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43329</v>
      </c>
      <c r="C2" s="1022" t="s">
        <v>825</v>
      </c>
      <c r="D2" s="1022"/>
    </row>
    <row r="3" spans="1:6" ht="24" customHeight="1">
      <c r="A3" s="1023" t="s">
        <v>826</v>
      </c>
      <c r="B3" s="1024" t="s">
        <v>827</v>
      </c>
      <c r="C3" s="2350" t="s">
        <v>828</v>
      </c>
      <c r="D3" s="2353" t="s">
        <v>829</v>
      </c>
      <c r="E3" s="1025" t="s">
        <v>830</v>
      </c>
      <c r="F3" s="1024" t="s">
        <v>828</v>
      </c>
    </row>
    <row r="4" spans="1:6" ht="24" customHeight="1">
      <c r="A4" s="1704" t="s">
        <v>831</v>
      </c>
      <c r="B4" s="1025">
        <f ca="1">IF(C4&lt;B2,"已过期",1119970066)</f>
        <v>1119970066</v>
      </c>
      <c r="C4" s="2351">
        <v>43849</v>
      </c>
      <c r="D4" s="2354" t="s">
        <v>831</v>
      </c>
      <c r="E4" s="1025">
        <f ca="1">IF(F4&lt;B2,"已过期",96010014)</f>
        <v>96010014</v>
      </c>
      <c r="F4" s="1033">
        <v>47118</v>
      </c>
    </row>
    <row r="5" spans="1:6" ht="24" customHeight="1">
      <c r="A5" s="1704" t="s">
        <v>832</v>
      </c>
      <c r="B5" s="1025">
        <f ca="1">IF(C5&lt;B2,"已过期",1119970074)</f>
        <v>1119970074</v>
      </c>
      <c r="C5" s="2351">
        <v>43849</v>
      </c>
      <c r="D5" s="2354" t="s">
        <v>832</v>
      </c>
      <c r="E5" s="1025">
        <f ca="1">IF(F5&lt;B2,"已过期",2002110027)</f>
        <v>2002110027</v>
      </c>
      <c r="F5" s="1033">
        <v>46752</v>
      </c>
    </row>
    <row r="6" spans="1:6" ht="24" customHeight="1">
      <c r="A6" s="1704" t="s">
        <v>833</v>
      </c>
      <c r="B6" s="1025">
        <f ca="1">IF(C6&lt;B2,"已过期",1119970111)</f>
        <v>1119970111</v>
      </c>
      <c r="C6" s="2351">
        <v>43849</v>
      </c>
      <c r="D6" s="2354" t="s">
        <v>833</v>
      </c>
      <c r="E6" s="1025">
        <f ca="1">IF(F6&lt;B2,"已过期",94010078)</f>
        <v>94010078</v>
      </c>
      <c r="F6" s="1033">
        <v>46387</v>
      </c>
    </row>
    <row r="7" spans="1:6" ht="24" customHeight="1">
      <c r="A7" s="1704" t="s">
        <v>834</v>
      </c>
      <c r="B7" s="1025">
        <f ca="1">IF(C7&lt;B2,"已过期",1120050019)</f>
        <v>1120050019</v>
      </c>
      <c r="C7" s="2351">
        <v>44395</v>
      </c>
      <c r="D7" s="2354" t="s">
        <v>834</v>
      </c>
      <c r="E7" s="1025">
        <f ca="1">IF(F7&lt;B2,"已过期",2002110030)</f>
        <v>2002110030</v>
      </c>
      <c r="F7" s="1033">
        <v>46387</v>
      </c>
    </row>
    <row r="8" spans="1:6" ht="24" customHeight="1">
      <c r="A8" s="1704" t="s">
        <v>835</v>
      </c>
      <c r="B8" s="1025">
        <f ca="1">IF(C8&lt;B2,"已过期",1120000080)</f>
        <v>1120000080</v>
      </c>
      <c r="C8" s="2351">
        <v>43849</v>
      </c>
      <c r="D8" s="2354" t="s">
        <v>835</v>
      </c>
      <c r="E8" s="1025">
        <f ca="1">IF(F8&lt;B2,"已过期",2000110082)</f>
        <v>2000110082</v>
      </c>
      <c r="F8" s="1033">
        <v>46387</v>
      </c>
    </row>
    <row r="9" spans="1:6" ht="24" customHeight="1">
      <c r="A9" s="1704" t="s">
        <v>836</v>
      </c>
      <c r="B9" s="1025">
        <f ca="1">IF(C9&lt;B2,"已过期",1419970001)</f>
        <v>1419970001</v>
      </c>
      <c r="C9" s="2351">
        <v>43867</v>
      </c>
      <c r="D9" s="2354" t="s">
        <v>836</v>
      </c>
      <c r="E9" s="1025">
        <f ca="1">IF(F9&lt;B2,"已过期",2002110125)</f>
        <v>2002110125</v>
      </c>
      <c r="F9" s="1033">
        <v>47118</v>
      </c>
    </row>
    <row r="10" spans="1:6" ht="24" customHeight="1">
      <c r="A10" s="1704" t="s">
        <v>837</v>
      </c>
      <c r="B10" s="1025">
        <f ca="1">IF(C10&lt;B2,"已过期",1120060040)</f>
        <v>1120060040</v>
      </c>
      <c r="C10" s="2351">
        <v>43483</v>
      </c>
      <c r="D10" s="2354" t="s">
        <v>837</v>
      </c>
      <c r="E10" s="1025">
        <f ca="1">IF(F10&lt;B2,"已过期",2004110096)</f>
        <v>2004110096</v>
      </c>
      <c r="F10" s="1033">
        <v>47118</v>
      </c>
    </row>
    <row r="11" spans="1:6" ht="24" customHeight="1">
      <c r="A11" s="1704" t="s">
        <v>838</v>
      </c>
      <c r="B11" s="1025">
        <f ca="1">IF(C11&lt;B2,"已过期",1120100036)</f>
        <v>1120100036</v>
      </c>
      <c r="C11" s="2351">
        <v>43622</v>
      </c>
      <c r="D11" s="2354" t="s">
        <v>838</v>
      </c>
      <c r="E11" s="1025">
        <f ca="1">IF(F11&lt;B2,"已过期",2010110070)</f>
        <v>2010110070</v>
      </c>
      <c r="F11" s="1033">
        <v>47907</v>
      </c>
    </row>
    <row r="12" spans="1:6" ht="24" customHeight="1">
      <c r="A12" s="1704" t="s">
        <v>2999</v>
      </c>
      <c r="B12" s="1025">
        <v>1120110054</v>
      </c>
      <c r="C12" s="2946">
        <v>43937</v>
      </c>
      <c r="D12" s="1704" t="s">
        <v>2999</v>
      </c>
      <c r="E12" s="1025">
        <v>2008110060</v>
      </c>
      <c r="F12" s="1033">
        <v>47177</v>
      </c>
    </row>
    <row r="13" spans="1:6" ht="24" customHeight="1">
      <c r="A13" s="1704" t="s">
        <v>839</v>
      </c>
      <c r="B13" s="1025">
        <f ca="1">IF(C13&lt;B2,"已过期",1120070131)</f>
        <v>1120070131</v>
      </c>
      <c r="C13" s="2351">
        <v>43814</v>
      </c>
      <c r="D13" s="2354" t="s">
        <v>839</v>
      </c>
      <c r="E13" s="1025">
        <v>2014110011</v>
      </c>
      <c r="F13" s="1033">
        <v>49302</v>
      </c>
    </row>
    <row r="14" spans="1:6" ht="24" customHeight="1">
      <c r="A14" s="1704" t="s">
        <v>840</v>
      </c>
      <c r="B14" s="1025">
        <f ca="1">IF(C14&lt;B2,"已过期",1120130020)</f>
        <v>1120130020</v>
      </c>
      <c r="C14" s="2351">
        <v>43622</v>
      </c>
      <c r="D14" s="2354"/>
      <c r="E14" s="1025"/>
      <c r="F14" s="1025"/>
    </row>
    <row r="15" spans="1:6" ht="24" customHeight="1">
      <c r="A15" s="1705" t="s">
        <v>1145</v>
      </c>
      <c r="B15" s="1025">
        <v>1120070085</v>
      </c>
      <c r="C15" s="2351">
        <v>43814</v>
      </c>
      <c r="D15" s="2355" t="s">
        <v>1145</v>
      </c>
      <c r="E15" s="1025">
        <v>2004110128</v>
      </c>
      <c r="F15" s="1026">
        <v>47118</v>
      </c>
    </row>
    <row r="16" spans="1:6" ht="24" customHeight="1">
      <c r="A16" s="1704" t="s">
        <v>841</v>
      </c>
      <c r="B16" s="1025">
        <f ca="1">IF(C16&lt;B2,"已过期",1120140022)</f>
        <v>1120140022</v>
      </c>
      <c r="C16" s="2351">
        <v>44029</v>
      </c>
      <c r="D16" s="2354" t="s">
        <v>841</v>
      </c>
      <c r="E16" s="1025">
        <f ca="1">IF(F16&lt;B2,"已过期",2008110059)</f>
        <v>2008110059</v>
      </c>
      <c r="F16" s="1033">
        <v>47177</v>
      </c>
    </row>
    <row r="17" spans="1:7" ht="24" customHeight="1">
      <c r="A17" s="1704"/>
      <c r="B17" s="1025"/>
      <c r="C17" s="2351"/>
      <c r="D17" s="2354"/>
      <c r="E17" s="1025"/>
      <c r="F17" s="1033"/>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842</v>
      </c>
      <c r="E21" s="1025">
        <f ca="1">IF(F21&lt;B2,"已过期",2011110090)</f>
        <v>2011110090</v>
      </c>
      <c r="F21" s="1033">
        <v>48302</v>
      </c>
    </row>
    <row r="22" spans="1:7" ht="24" customHeight="1">
      <c r="A22" s="1704" t="s">
        <v>843</v>
      </c>
      <c r="B22" s="1025">
        <f ca="1">IF(C22&lt;B2,"已过期",1120020033)</f>
        <v>1120020033</v>
      </c>
      <c r="C22" s="2946">
        <v>44339</v>
      </c>
      <c r="D22" s="2354" t="s">
        <v>843</v>
      </c>
      <c r="E22" s="1025">
        <f ca="1">IF(F22&lt;B2,"已过期",2000110137)</f>
        <v>2000110137</v>
      </c>
      <c r="F22" s="1033">
        <v>46387</v>
      </c>
    </row>
    <row r="23" spans="1:7" ht="24" customHeight="1">
      <c r="A23" s="1704" t="s">
        <v>844</v>
      </c>
      <c r="B23" s="1025">
        <f ca="1">IF(C23&lt;B2,"已过期",1120130048)</f>
        <v>1120130048</v>
      </c>
      <c r="C23" s="2351">
        <v>43686</v>
      </c>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3059" t="s">
        <v>845</v>
      </c>
      <c r="B25" s="3059"/>
      <c r="C25" s="3059"/>
      <c r="D25" s="3059"/>
      <c r="E25" s="3059"/>
      <c r="F25" s="3059"/>
      <c r="G25" s="3059"/>
    </row>
    <row r="26" spans="1:7" s="1028" customFormat="1" ht="24" customHeight="1">
      <c r="A26" s="3060" t="s">
        <v>846</v>
      </c>
      <c r="B26" s="3060"/>
      <c r="C26" s="3061"/>
      <c r="D26" s="3062" t="s">
        <v>847</v>
      </c>
      <c r="E26" s="3060"/>
      <c r="F26" s="3060"/>
    </row>
    <row r="27" spans="1:7" s="1030" customFormat="1" ht="24" customHeight="1">
      <c r="A27" s="1029" t="s">
        <v>848</v>
      </c>
      <c r="B27" s="1024" t="s">
        <v>849</v>
      </c>
      <c r="C27" s="2350" t="s">
        <v>850</v>
      </c>
      <c r="D27" s="2358" t="s">
        <v>848</v>
      </c>
      <c r="E27" s="1024" t="s">
        <v>849</v>
      </c>
      <c r="F27" s="1024" t="s">
        <v>850</v>
      </c>
    </row>
    <row r="28" spans="1:7" s="1030" customFormat="1" ht="24" customHeight="1">
      <c r="A28" s="1031" t="s">
        <v>851</v>
      </c>
      <c r="B28" s="1032" t="s">
        <v>852</v>
      </c>
      <c r="C28" s="2356">
        <v>43725</v>
      </c>
      <c r="D28" s="2359" t="s">
        <v>853</v>
      </c>
      <c r="E28" s="1031" t="s">
        <v>854</v>
      </c>
      <c r="F28" s="1061">
        <v>44377</v>
      </c>
    </row>
    <row r="29" spans="1:7" s="1030" customFormat="1" ht="24" customHeight="1">
      <c r="A29" s="1031"/>
      <c r="B29" s="1031"/>
      <c r="C29" s="2357"/>
      <c r="D29" s="2359"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5"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测绘面积</vt:lpstr>
      <vt:lpstr>不抵押面积</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2018-08-17T05:33:50Z</dcterms:modified>
</cp:coreProperties>
</file>