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测绘面积" sheetId="77" r:id="rId45"/>
    <sheet name="不抵押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测绘面积!$B$3:$U$136</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B11" i="3" l="1"/>
  <c r="E135" i="77"/>
  <c r="I13" i="3"/>
  <c r="BB13" i="3"/>
  <c r="J145" i="77"/>
  <c r="AN14" i="3"/>
  <c r="I14" i="3"/>
  <c r="S6" i="78"/>
  <c r="J14" i="3"/>
  <c r="BB14" i="3"/>
  <c r="O144" i="77"/>
  <c r="AN15" i="3"/>
  <c r="I15" i="3"/>
  <c r="S7" i="78"/>
  <c r="J15" i="3"/>
  <c r="BB15" i="3"/>
  <c r="T136" i="77"/>
  <c r="I16" i="3"/>
  <c r="S8" i="78"/>
  <c r="J16"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J146" i="77"/>
  <c r="E136" i="77"/>
  <c r="T137" i="77"/>
  <c r="O145" i="77"/>
  <c r="M156" i="78"/>
  <c r="M160" i="78"/>
  <c r="M163" i="78"/>
  <c r="M167" i="78"/>
  <c r="M168" i="78"/>
  <c r="M171" i="78"/>
  <c r="M173" i="78"/>
  <c r="M177" i="78"/>
  <c r="L177" i="78"/>
  <c r="K177" i="78"/>
  <c r="J177" i="78"/>
  <c r="M124" i="78"/>
  <c r="M121" i="78"/>
  <c r="M91" i="78"/>
  <c r="M90" i="78"/>
  <c r="M80" i="78"/>
  <c r="M73" i="78"/>
  <c r="M69" i="78"/>
  <c r="M61" i="78"/>
  <c r="M57" i="78"/>
  <c r="M45" i="78"/>
  <c r="M41" i="78"/>
  <c r="M34" i="78"/>
  <c r="M28" i="78"/>
  <c r="M27" i="78"/>
  <c r="M25" i="78"/>
  <c r="M24" i="78"/>
  <c r="M23" i="78"/>
  <c r="M22" i="78"/>
  <c r="M21" i="78"/>
  <c r="M20" i="78"/>
  <c r="M19" i="78"/>
  <c r="M17" i="78"/>
  <c r="M16" i="78"/>
  <c r="M15" i="78"/>
  <c r="M12" i="78"/>
  <c r="S5" i="78"/>
  <c r="S9" i="78"/>
  <c r="M5" i="78"/>
  <c r="B126" i="21"/>
  <c r="F44" i="21"/>
  <c r="AA44"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E81" i="21"/>
  <c r="F19" i="21"/>
  <c r="AA19" i="21"/>
  <c r="D83" i="21"/>
  <c r="F21" i="21"/>
  <c r="AA21" i="21"/>
  <c r="D85" i="21"/>
  <c r="F23" i="21"/>
  <c r="AA23" i="21"/>
  <c r="D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8" i="21"/>
  <c r="F45" i="21"/>
  <c r="AA45" i="21"/>
  <c r="B130"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3" i="21"/>
  <c r="C6" i="12"/>
  <c r="B84" i="39"/>
  <c r="F13" i="39"/>
  <c r="AA13" i="39"/>
  <c r="B86" i="39"/>
  <c r="F14" i="39"/>
  <c r="AA14" i="39"/>
  <c r="D95" i="39"/>
  <c r="F21" i="39"/>
  <c r="AA21" i="39"/>
  <c r="H13" i="39"/>
  <c r="AB13" i="39"/>
  <c r="H14" i="39"/>
  <c r="AB14" i="39"/>
  <c r="H21" i="39"/>
  <c r="AB21" i="39"/>
  <c r="J13" i="39"/>
  <c r="AC13" i="39"/>
  <c r="J14" i="39"/>
  <c r="AC14" i="39"/>
  <c r="J21" i="39"/>
  <c r="AC21" i="39"/>
  <c r="A3" i="3"/>
  <c r="I4" i="6"/>
  <c r="F19" i="6"/>
  <c r="C19" i="6"/>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F29" i="6"/>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G30" i="6"/>
  <c r="G31" i="6"/>
  <c r="J56" i="9"/>
  <c r="J57" i="9"/>
  <c r="A24" i="51"/>
  <c r="B18" i="72"/>
  <c r="U29" i="34"/>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T11" i="1"/>
  <c r="D9" i="69"/>
  <c r="C9" i="69"/>
  <c r="D19" i="12"/>
  <c r="C19" i="12"/>
  <c r="AQ9" i="1"/>
  <c r="AR11"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K14" i="1"/>
  <c r="M14" i="1"/>
  <c r="O14" i="1"/>
  <c r="P14" i="1"/>
  <c r="J59" i="9"/>
  <c r="J61" i="9"/>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L27"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F7" i="36"/>
  <c r="S7" i="36"/>
  <c r="H7" i="37"/>
  <c r="U7" i="37"/>
  <c r="C5" i="15"/>
  <c r="C32" i="15"/>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C5" i="67"/>
  <c r="C32" i="67"/>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AB7" i="36"/>
  <c r="T36" i="36"/>
  <c r="C38" i="15"/>
  <c r="E38" i="43"/>
  <c r="C47" i="68"/>
  <c r="D45" i="68"/>
  <c r="R7" i="1"/>
  <c r="C13" i="12"/>
  <c r="P16" i="1"/>
  <c r="C11" i="12"/>
  <c r="C26" i="12"/>
  <c r="D25" i="12"/>
  <c r="F34" i="11"/>
  <c r="F11" i="12"/>
  <c r="F34" i="68"/>
  <c r="C36" i="68"/>
  <c r="C26" i="68"/>
  <c r="D22" i="68"/>
  <c r="C44" i="68"/>
  <c r="D41" i="68"/>
  <c r="C26" i="69"/>
  <c r="D22" i="69"/>
  <c r="C44" i="69"/>
  <c r="D41" i="69"/>
  <c r="C26" i="11"/>
  <c r="D22"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F50" i="11"/>
  <c r="F50" i="69"/>
  <c r="F50" i="68"/>
  <c r="C47" i="11"/>
  <c r="D45" i="11"/>
  <c r="C29" i="11"/>
  <c r="D27" i="11"/>
  <c r="L16" i="1"/>
  <c r="C34" i="11"/>
  <c r="C36" i="11"/>
  <c r="J24" i="67"/>
  <c r="J18" i="67"/>
  <c r="J24" i="15"/>
  <c r="J18" i="15"/>
  <c r="G36" i="36"/>
  <c r="R37" i="36"/>
  <c r="AB7" i="34"/>
  <c r="T49" i="34"/>
  <c r="G49" i="34"/>
  <c r="G53" i="34"/>
  <c r="H53" i="34"/>
  <c r="W7" i="21"/>
  <c r="E48" i="21"/>
  <c r="E52" i="21"/>
  <c r="F52" i="21"/>
  <c r="R8" i="1"/>
  <c r="C12" i="12"/>
  <c r="C15" i="12"/>
  <c r="C34"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48" i="21"/>
  <c r="G54" i="34"/>
  <c r="H54" i="34"/>
  <c r="I53" i="21"/>
  <c r="J53" i="21"/>
  <c r="C37" i="36"/>
  <c r="C36" i="36"/>
  <c r="G40" i="36"/>
  <c r="H40" i="36"/>
  <c r="E41" i="36"/>
  <c r="F41" i="36"/>
  <c r="G41" i="36"/>
  <c r="H41" i="36"/>
  <c r="C19" i="68"/>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F63" i="67"/>
  <c r="C62" i="67"/>
  <c r="C34" i="67"/>
  <c r="J20" i="67"/>
  <c r="C24" i="68"/>
  <c r="J20" i="15"/>
  <c r="F63" i="15"/>
  <c r="C62" i="15"/>
  <c r="C34" i="15"/>
  <c r="I63" i="40"/>
  <c r="H65" i="40"/>
  <c r="I70" i="39"/>
  <c r="J63" i="40"/>
  <c r="I65" i="40"/>
  <c r="J70" i="39"/>
  <c r="K63" i="40"/>
  <c r="J65" i="40"/>
  <c r="K70" i="39"/>
  <c r="L63" i="40"/>
  <c r="K65" i="40"/>
  <c r="L70" i="39"/>
  <c r="E2" i="70"/>
  <c r="C34" i="69"/>
  <c r="C17" i="67"/>
  <c r="M63" i="40"/>
  <c r="L65" i="40"/>
  <c r="M70" i="39"/>
  <c r="C35" i="69"/>
  <c r="C38" i="69"/>
  <c r="N63" i="40"/>
  <c r="M65" i="40"/>
  <c r="O70" i="39"/>
  <c r="N70" i="39"/>
  <c r="O63" i="40"/>
  <c r="O65" i="40"/>
  <c r="N65" i="40"/>
  <c r="C14" i="67"/>
  <c r="F7" i="40"/>
  <c r="H7" i="40"/>
  <c r="J7" i="40"/>
  <c r="C15" i="67"/>
  <c r="C18" i="67"/>
  <c r="W7" i="40"/>
  <c r="AC7" i="40"/>
  <c r="V42" i="40"/>
  <c r="I42" i="40"/>
  <c r="AB7" i="40"/>
  <c r="T42" i="40"/>
  <c r="G42" i="40"/>
  <c r="U7" i="40"/>
  <c r="AA7" i="40"/>
  <c r="R42" i="40"/>
  <c r="S7" i="40"/>
  <c r="C19" i="67"/>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64" i="67"/>
  <c r="C56" i="67"/>
  <c r="C65" i="67"/>
  <c r="J22" i="67"/>
  <c r="J16" i="67"/>
  <c r="J25" i="67"/>
  <c r="C75" i="67"/>
  <c r="C37" i="67"/>
  <c r="C30" i="67"/>
  <c r="C39" i="67"/>
  <c r="C48" i="67"/>
  <c r="C60" i="67"/>
  <c r="AE7" i="1"/>
  <c r="L51" i="67"/>
  <c r="C14" i="15"/>
  <c r="L57" i="67"/>
  <c r="L60" i="67"/>
  <c r="L46" i="67"/>
  <c r="C80" i="67"/>
  <c r="C79" i="67"/>
  <c r="Q69" i="67"/>
  <c r="Q68" i="67"/>
  <c r="Q67" i="67"/>
  <c r="C59" i="67"/>
  <c r="C66" i="67"/>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70"/>
  <c r="B3" i="70"/>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B62" i="39"/>
  <c r="B63" i="39"/>
  <c r="B64" i="39"/>
  <c r="B65" i="39"/>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c r="C29" i="43"/>
  <c r="E29" i="43"/>
  <c r="C26" i="43"/>
  <c r="B2" i="43"/>
  <c r="B3" i="43"/>
  <c r="B6" i="76"/>
  <c r="B2" i="76"/>
  <c r="C30" i="43"/>
  <c r="E30" i="43"/>
  <c r="C27" i="43"/>
  <c r="E6" i="76"/>
  <c r="E2" i="76"/>
  <c r="B3" i="76"/>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E11" i="6"/>
  <c r="E61" i="39"/>
  <c r="F61" i="39"/>
  <c r="E12" i="6"/>
  <c r="E62" i="39"/>
  <c r="F62" i="39"/>
  <c r="E13" i="6"/>
  <c r="E63" i="39"/>
  <c r="F63" i="39"/>
  <c r="E14" i="6"/>
  <c r="E64" i="39"/>
  <c r="F64" i="39"/>
  <c r="E15" i="6"/>
  <c r="E65" i="39"/>
  <c r="F65" i="39"/>
  <c r="F66" i="39"/>
  <c r="B2" i="39"/>
  <c r="C6" i="68"/>
  <c r="C7" i="68"/>
  <c r="C5" i="68"/>
  <c r="C20" i="68"/>
  <c r="C23" i="68"/>
  <c r="C25" i="68"/>
  <c r="C22" i="68"/>
  <c r="C28" i="68"/>
  <c r="C27" i="68"/>
  <c r="C31" i="68"/>
  <c r="D19" i="68"/>
  <c r="D37" i="68"/>
  <c r="C37" i="68"/>
  <c r="C33" i="68"/>
  <c r="C39" i="68"/>
  <c r="C42" i="68"/>
  <c r="C43" i="68"/>
  <c r="C41" i="68"/>
  <c r="C46" i="68"/>
  <c r="C45" i="68"/>
  <c r="C49" i="68"/>
  <c r="C51" i="68"/>
  <c r="C52" i="68"/>
  <c r="B2" i="68"/>
  <c r="C19" i="9"/>
  <c r="C102" i="9"/>
  <c r="B3" i="3"/>
  <c r="AY6" i="3"/>
  <c r="D3" i="6"/>
  <c r="L19" i="9"/>
  <c r="C21" i="9"/>
  <c r="D3" i="21"/>
  <c r="B2" i="21"/>
  <c r="C8" i="12"/>
  <c r="C4" i="12"/>
  <c r="D14" i="12"/>
  <c r="C14" i="12"/>
  <c r="C16" i="12"/>
  <c r="D17" i="12"/>
  <c r="C17" i="12"/>
  <c r="D20" i="12"/>
  <c r="C20" i="12"/>
  <c r="C18" i="12"/>
  <c r="C21" i="12"/>
  <c r="C22" i="12"/>
  <c r="C23" i="12"/>
  <c r="C27" i="12"/>
  <c r="C25" i="12"/>
  <c r="C30" i="12"/>
  <c r="C28" i="12"/>
  <c r="C31" i="12"/>
  <c r="C32" i="12"/>
  <c r="B2" i="12"/>
  <c r="D19" i="9"/>
  <c r="D22" i="9"/>
  <c r="B3" i="68"/>
  <c r="C20" i="9"/>
  <c r="C103" i="9"/>
  <c r="B3" i="12"/>
  <c r="D20" i="9"/>
  <c r="G20" i="9"/>
  <c r="G19" i="9"/>
  <c r="G21" i="9"/>
  <c r="C32" i="9"/>
  <c r="H118" i="9"/>
  <c r="H101" i="9"/>
  <c r="H107" i="9"/>
  <c r="M49" i="9"/>
  <c r="L63" i="9"/>
  <c r="M63" i="9"/>
  <c r="L64" i="9"/>
  <c r="M64" i="9"/>
  <c r="L65" i="9"/>
  <c r="M65" i="9"/>
  <c r="L66" i="9"/>
  <c r="M66" i="9"/>
  <c r="L67" i="9"/>
  <c r="M67" i="9"/>
  <c r="L68" i="9"/>
  <c r="M68" i="9"/>
  <c r="M69" i="9"/>
  <c r="N69" i="9"/>
  <c r="B3" i="39"/>
  <c r="C57" i="68"/>
  <c r="D35" i="9"/>
  <c r="C35" i="9"/>
  <c r="F118" i="9"/>
  <c r="M18" i="9"/>
  <c r="B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B14" i="74"/>
  <c r="E14" i="74"/>
  <c r="M19" i="9"/>
  <c r="C118" i="9"/>
  <c r="C14" i="74"/>
  <c r="F14" i="74"/>
  <c r="D52" i="9"/>
  <c r="D6" i="53"/>
  <c r="B22" i="72"/>
  <c r="B5" i="74"/>
  <c r="B2" i="74"/>
  <c r="D5" i="74"/>
  <c r="B1"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C8" i="74"/>
  <c r="D8" i="74"/>
  <c r="D3" i="33"/>
  <c r="B2" i="33"/>
  <c r="B3" i="33"/>
  <c r="C7" i="74"/>
  <c r="D7" i="74"/>
  <c r="C56" i="68"/>
  <c r="D34" i="9"/>
  <c r="D103" i="9"/>
  <c r="D21" i="9"/>
  <c r="D102" i="9"/>
  <c r="D3" i="34"/>
  <c r="B2" i="34"/>
  <c r="B3" i="34"/>
  <c r="D3" i="37"/>
  <c r="B2" i="37"/>
  <c r="B3" i="37"/>
  <c r="D10" i="69"/>
  <c r="C10" i="69"/>
  <c r="C8" i="69"/>
  <c r="C5" i="69"/>
  <c r="D19" i="69"/>
  <c r="C19" i="69"/>
  <c r="C20" i="69"/>
  <c r="C23" i="69"/>
  <c r="C24" i="69"/>
  <c r="C25" i="69"/>
  <c r="C22" i="69"/>
  <c r="C28" i="69"/>
  <c r="C27" i="69"/>
  <c r="C31" i="69"/>
  <c r="D37" i="69"/>
  <c r="C37" i="69"/>
  <c r="C33" i="69"/>
  <c r="C39" i="69"/>
  <c r="C42" i="69"/>
  <c r="C43" i="69"/>
  <c r="C41" i="69"/>
  <c r="C46" i="69"/>
  <c r="C45" i="69"/>
  <c r="C49" i="69"/>
  <c r="C51" i="69"/>
  <c r="C52" i="69"/>
  <c r="B2" i="69"/>
  <c r="B3" i="69"/>
  <c r="E27" i="6"/>
  <c r="K19" i="6"/>
  <c r="S6" i="1"/>
  <c r="T6" i="1"/>
  <c r="T16" i="1"/>
  <c r="S16" i="1"/>
  <c r="C57" i="69"/>
  <c r="C56" i="69"/>
  <c r="E56" i="40"/>
  <c r="F56" i="40"/>
  <c r="E59" i="40"/>
  <c r="F59" i="40"/>
  <c r="E58" i="40"/>
  <c r="F58" i="40"/>
  <c r="E57" i="40"/>
  <c r="F57" i="40"/>
  <c r="E61" i="40"/>
  <c r="F61" i="40"/>
  <c r="B2" i="40"/>
  <c r="B3" i="40"/>
  <c r="E60" i="40"/>
  <c r="F60" i="40"/>
  <c r="D37" i="11"/>
  <c r="C37" i="11"/>
  <c r="C33" i="11"/>
  <c r="C39" i="11"/>
  <c r="C42" i="11"/>
  <c r="C43" i="11"/>
  <c r="C41" i="11"/>
  <c r="C46" i="11"/>
  <c r="C45" i="11"/>
  <c r="C49" i="11"/>
  <c r="C51" i="11"/>
  <c r="D19" i="11"/>
  <c r="C19" i="11"/>
  <c r="C20" i="11"/>
  <c r="C24" i="11"/>
  <c r="C25" i="11"/>
  <c r="C22" i="11"/>
  <c r="C28" i="11"/>
  <c r="C27" i="11"/>
  <c r="C31" i="11"/>
  <c r="C52" i="11"/>
  <c r="C56" i="11"/>
  <c r="C57" i="11"/>
  <c r="B2" i="11"/>
  <c r="B3" i="11"/>
  <c r="D19" i="6"/>
  <c r="M19" i="6"/>
  <c r="I19" i="6"/>
  <c r="H19" i="6"/>
  <c r="R19" i="6"/>
  <c r="R6" i="1"/>
  <c r="R16" i="1"/>
  <c r="E31" i="6"/>
  <c r="D20" i="6"/>
  <c r="D21" i="6"/>
  <c r="D22" i="6"/>
  <c r="D23" i="6"/>
  <c r="D24" i="6"/>
  <c r="D25" i="6"/>
  <c r="D26" i="6"/>
  <c r="D27" i="6"/>
  <c r="D28" i="6"/>
  <c r="D29" i="6"/>
  <c r="D30" i="6"/>
  <c r="D31" i="6"/>
  <c r="I5"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I6" i="6"/>
  <c r="H27" i="6"/>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AR6" i="1"/>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AQ6" i="1"/>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<sst xmlns="http://schemas.openxmlformats.org/spreadsheetml/2006/main" count="8433" uniqueCount="3396">
  <si>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</si>
  <si>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</si>
  <si>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</si>
  <si>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</si>
  <si>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</si>
  <si>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</si>
  <si>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</si>
  <si>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</si>
  <si>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</si>
  <si>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</si>
  <si>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</si>
  <si>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</si>
  <si>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</si>
  <si>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</si>
  <si>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</si>
  <si>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</si>
  <si>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</si>
  <si>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</si>
  <si>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</si>
  <si>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</si>
  <si>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</si>
  <si>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</si>
  <si>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</si>
  <si>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</si>
  <si>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</si>
  <si>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</si>
  <si>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</si>
  <si>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</si>
  <si>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</si>
  <si>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</si>
  <si>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</si>
  <si>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</si>
  <si>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</si>
  <si>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</si>
  <si>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</si>
  <si>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</si>
  <si>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</si>
  <si>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</si>
  <si>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</si>
  <si>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</si>
  <si>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</si>
  <si>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</si>
  <si>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</si>
  <si>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</si>
  <si>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</si>
  <si>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</si>
  <si>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</si>
  <si>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</si>
  <si>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</si>
  <si>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</si>
  <si>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</si>
  <si>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</si>
  <si>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</si>
  <si>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</si>
  <si>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</si>
  <si>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</si>
  <si>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</si>
  <si>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</si>
  <si>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</si>
  <si>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</si>
  <si>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</si>
  <si>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</si>
  <si>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</si>
  <si>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</si>
  <si>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</si>
  <si>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</si>
  <si>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</si>
  <si>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</si>
  <si>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</si>
  <si>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</si>
  <si>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</si>
  <si>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</si>
  <si>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</si>
  <si>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</si>
  <si>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</si>
  <si>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</si>
  <si>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</si>
  <si>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</si>
  <si>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</si>
  <si>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</si>
  <si>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</si>
  <si>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</si>
  <si>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</si>
  <si>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</si>
  <si>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</si>
  <si>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</si>
  <si>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</si>
  <si>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</si>
  <si>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</si>
  <si>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</si>
  <si>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</si>
  <si>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</si>
  <si>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</si>
  <si>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</si>
  <si>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</si>
  <si>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</si>
  <si>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</si>
  <si>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</si>
  <si>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</si>
  <si>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</si>
  <si>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</si>
  <si>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</si>
  <si>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</si>
  <si>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</si>
  <si>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</si>
  <si>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</si>
  <si>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</si>
  <si>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</si>
  <si>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</si>
  <si>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</si>
  <si>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</si>
  <si>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</si>
  <si>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</si>
  <si>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</si>
  <si>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</si>
  <si>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</si>
  <si>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</si>
  <si>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</si>
  <si>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</si>
  <si>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</si>
  <si>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</si>
  <si>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</si>
  <si>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</si>
  <si>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</si>
  <si>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</si>
  <si>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</si>
  <si>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</si>
  <si>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</si>
  <si>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</si>
  <si>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</si>
  <si>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</si>
  <si>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</si>
  <si>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</si>
  <si>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</si>
  <si>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</si>
  <si>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</si>
  <si>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</si>
  <si>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</si>
  <si>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</si>
  <si>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</si>
  <si>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</si>
  <si>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</si>
  <si>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</si>
  <si>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</si>
  <si>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</si>
  <si>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</si>
  <si>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</si>
  <si>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</si>
  <si>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</si>
  <si>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</si>
  <si>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</si>
  <si>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</si>
  <si>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</si>
  <si>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</si>
  <si>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</si>
  <si>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</si>
  <si>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</si>
  <si>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</si>
  <si>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</si>
  <si>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</si>
  <si>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</si>
  <si>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</si>
  <si>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</si>
  <si>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</si>
  <si>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</si>
  <si>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</si>
  <si>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</si>
  <si>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</si>
  <si>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</si>
  <si>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</si>
  <si>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</si>
  <si>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</si>
  <si>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</si>
  <si>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</si>
  <si>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</si>
  <si>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</si>
  <si>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</si>
  <si>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</si>
  <si>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</si>
  <si>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</si>
  <si>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</si>
  <si>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</si>
  <si>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</si>
  <si>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</si>
  <si>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</si>
  <si>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</si>
  <si>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</si>
  <si>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</si>
  <si>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</si>
  <si>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</si>
  <si>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</si>
  <si>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</si>
  <si>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</si>
  <si>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</si>
  <si>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</si>
  <si>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</si>
  <si>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</si>
  <si>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</si>
  <si>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</si>
  <si>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</si>
  <si>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</si>
  <si>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</si>
  <si>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</si>
  <si>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</si>
  <si>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</si>
  <si>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</si>
  <si>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</si>
  <si>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</si>
  <si>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</si>
  <si>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</si>
  <si>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</si>
  <si>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</si>
  <si>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</si>
  <si>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</si>
  <si>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</si>
  <si>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</si>
  <si>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</si>
  <si>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</si>
  <si>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</si>
  <si>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</si>
  <si>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</si>
  <si>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</si>
  <si>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</si>
  <si>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</si>
  <si>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</si>
  <si>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</si>
  <si>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</si>
  <si>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</si>
  <si>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</si>
  <si>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</si>
  <si>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</si>
  <si>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</si>
  <si>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</si>
  <si>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</si>
  <si>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</si>
  <si>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</si>
  <si>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</si>
  <si>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</si>
  <si>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</si>
  <si>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</si>
  <si>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</si>
  <si>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</si>
  <si>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</si>
  <si>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</si>
  <si>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</si>
  <si>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</si>
  <si>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</si>
  <si>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</si>
  <si>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</si>
  <si>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</si>
  <si>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</si>
  <si>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</si>
  <si>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</si>
  <si>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</si>
  <si>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</si>
  <si>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</si>
  <si>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</si>
  <si>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</si>
  <si>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</si>
  <si>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</si>
  <si>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</si>
  <si>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</si>
  <si>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</si>
  <si>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</si>
  <si>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</si>
  <si>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</si>
  <si>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</si>
  <si>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</si>
  <si>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</si>
  <si>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</si>
  <si>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</si>
  <si>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</si>
  <si>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</si>
  <si>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</si>
  <si>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</si>
  <si>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</si>
  <si>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</si>
  <si>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</si>
  <si>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</si>
  <si>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</si>
  <si>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</si>
  <si>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</si>
  <si>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</si>
  <si>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</si>
  <si>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</si>
  <si>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</si>
  <si>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</si>
  <si>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</si>
  <si>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</si>
  <si>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</si>
  <si>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</si>
  <si>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</si>
  <si>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</si>
  <si>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</si>
  <si>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</si>
  <si>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</si>
  <si>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</si>
  <si>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</si>
  <si>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</si>
  <si>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</si>
  <si>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</si>
  <si>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</si>
  <si>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</si>
  <si>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</si>
  <si>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</si>
  <si>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</si>
  <si>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</si>
  <si>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</si>
  <si>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</si>
  <si>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</si>
  <si>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</si>
  <si>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</si>
  <si>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</si>
  <si>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</si>
  <si>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</si>
  <si>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</si>
  <si>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</si>
  <si>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</si>
  <si>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</si>
  <si>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</si>
  <si>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</si>
  <si>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</si>
  <si>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</si>
  <si>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</si>
  <si>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</si>
  <si>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</si>
  <si>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</si>
  <si>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</si>
  <si>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</si>
  <si>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</si>
  <si>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</si>
  <si>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</si>
  <si>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</si>
  <si>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</si>
  <si>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</si>
  <si>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</si>
  <si>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</si>
  <si>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</si>
  <si>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</si>
  <si>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</si>
  <si>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</si>
  <si>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</si>
  <si>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</si>
  <si>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</si>
  <si>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</si>
  <si>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</si>
  <si>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</si>
  <si>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</si>
  <si>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</si>
  <si>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</si>
  <si>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</si>
  <si>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</si>
  <si>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</si>
  <si>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</si>
  <si>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</si>
  <si>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</si>
  <si>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</si>
  <si>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</si>
  <si>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</si>
  <si>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</si>
  <si>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</si>
  <si>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</si>
  <si>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</si>
  <si>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</si>
  <si>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</si>
  <si>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</si>
  <si>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</si>
  <si>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</si>
  <si>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</si>
  <si>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</si>
  <si>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</si>
  <si>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</si>
  <si>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</si>
  <si>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</si>
  <si>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</si>
  <si>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</si>
  <si>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</si>
  <si>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</si>
  <si>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</si>
  <si>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</si>
  <si>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</si>
  <si>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</si>
  <si>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</si>
  <si>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</si>
  <si>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</si>
  <si>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</si>
  <si>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</si>
  <si>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</si>
  <si>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</si>
  <si>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</si>
  <si>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</si>
  <si>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</si>
  <si>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</si>
  <si>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</si>
  <si>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</si>
  <si>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</si>
  <si>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</si>
  <si>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</si>
  <si>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</si>
  <si>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</si>
  <si>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</si>
  <si>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</si>
  <si>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</si>
  <si>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</si>
  <si>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</si>
  <si>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</si>
  <si>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</si>
  <si>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</si>
  <si>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</si>
  <si>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</si>
  <si>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</si>
  <si>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</si>
  <si>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</si>
  <si>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</si>
  <si>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</si>
  <si>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</si>
  <si>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</si>
  <si>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</si>
  <si>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</si>
  <si>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</si>
  <si>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</si>
  <si>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</si>
  <si>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</si>
  <si>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</si>
  <si>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</si>
  <si>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</si>
  <si>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</si>
  <si>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</si>
  <si>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</si>
  <si>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</si>
  <si>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</si>
  <si>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</si>
  <si>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</si>
  <si>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</si>
  <si>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</si>
  <si>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</si>
  <si>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</si>
  <si>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</si>
  <si>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</si>
  <si>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</si>
  <si>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</si>
  <si>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</si>
  <si>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</si>
  <si>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</si>
  <si>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</si>
  <si>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</si>
  <si>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</si>
  <si>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</si>
  <si>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</si>
  <si>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</si>
  <si>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</si>
  <si>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</si>
  <si>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</si>
  <si>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</si>
  <si>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</si>
  <si>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</si>
  <si>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</si>
  <si>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</si>
  <si>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</si>
  <si>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</si>
  <si>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</si>
  <si>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</si>
  <si>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</si>
  <si>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</si>
  <si>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</si>
  <si>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</si>
  <si>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</si>
  <si>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</si>
  <si>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</si>
  <si>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</si>
  <si>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</si>
  <si>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</si>
  <si>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</si>
  <si>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</si>
  <si>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</si>
  <si>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</si>
  <si>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</si>
  <si>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</si>
  <si>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</si>
  <si>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</si>
  <si>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</si>
  <si>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</si>
  <si>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</si>
  <si>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</si>
  <si>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</si>
  <si>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</si>
  <si>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</si>
  <si>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</si>
  <si>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</si>
  <si>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</si>
  <si>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</si>
  <si>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</si>
  <si>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</si>
  <si>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</si>
  <si>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</si>
  <si>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</si>
  <si>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</si>
  <si>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</si>
  <si>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</si>
  <si>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</si>
  <si>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</si>
  <si>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</si>
  <si>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</si>
  <si>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</si>
  <si>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</si>
  <si>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</si>
  <si>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</si>
  <si>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</si>
  <si>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</si>
  <si>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</si>
  <si>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</si>
  <si>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</si>
  <si>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</si>
  <si>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</si>
  <si>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</si>
  <si>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</si>
  <si>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</si>
  <si>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</si>
  <si>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</si>
  <si>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</si>
  <si>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</si>
  <si>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</si>
  <si>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</si>
  <si>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</si>
  <si>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</si>
  <si>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</si>
  <si>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</si>
  <si>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</si>
  <si>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</si>
  <si>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</si>
  <si>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</si>
  <si>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</si>
  <si>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</si>
  <si>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</si>
  <si>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</si>
  <si>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</si>
  <si>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</si>
  <si>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</si>
  <si>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</si>
  <si>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</si>
  <si>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</si>
  <si>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</si>
  <si>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</si>
  <si>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</si>
  <si>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</si>
  <si>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</si>
  <si>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</si>
  <si>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</si>
  <si>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</si>
  <si>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</si>
  <si>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</si>
  <si>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</si>
  <si>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</si>
  <si>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</si>
  <si>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</si>
  <si>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</si>
  <si>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</si>
  <si>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</si>
  <si>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</si>
  <si>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</si>
  <si>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</si>
  <si>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</si>
  <si>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</si>
  <si>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</si>
  <si>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</si>
  <si>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</si>
  <si>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</si>
  <si>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</si>
  <si>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</si>
  <si>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</si>
  <si>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</si>
  <si>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</si>
  <si>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</si>
  <si>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</si>
  <si>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</si>
  <si>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</si>
  <si>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</si>
  <si>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</si>
  <si>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</si>
  <si>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</si>
  <si>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</si>
  <si>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</si>
  <si>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</si>
  <si>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</si>
  <si>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</si>
  <si>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</si>
  <si>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</si>
  <si>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</si>
  <si>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</si>
  <si>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</si>
  <si>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</si>
  <si>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</si>
  <si>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</si>
  <si>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</si>
  <si>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</si>
  <si>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</si>
  <si>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</si>
  <si>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</si>
  <si>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</si>
  <si>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</si>
  <si>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</si>
  <si>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</si>
  <si>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</si>
  <si>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</si>
  <si>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</si>
  <si>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</si>
  <si>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</si>
  <si>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</si>
  <si>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</si>
  <si>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</si>
  <si>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</si>
  <si>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</si>
  <si>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</si>
  <si>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</si>
  <si>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</si>
  <si>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</si>
  <si>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</si>
  <si>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</si>
  <si>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</si>
  <si>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</si>
  <si>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</si>
  <si>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</si>
  <si>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</si>
  <si>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</si>
  <si>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</si>
  <si>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</si>
  <si>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</si>
  <si>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</si>
  <si>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</si>
  <si>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</si>
  <si>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</si>
  <si>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</si>
  <si>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</si>
  <si>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</si>
  <si>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</si>
  <si>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</si>
  <si>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</si>
  <si>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</si>
  <si>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</si>
  <si>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</si>
  <si>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</si>
  <si>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</si>
  <si>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</si>
  <si>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</si>
  <si>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</si>
  <si>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</si>
  <si>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</si>
  <si>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</si>
  <si>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</si>
  <si>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</si>
  <si>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</si>
  <si>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</si>
  <si>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</si>
  <si>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</si>
  <si>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</si>
  <si>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</si>
  <si>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</si>
  <si>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</si>
  <si>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</si>
  <si>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</si>
  <si>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</si>
  <si>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</si>
  <si>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</si>
  <si>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</si>
  <si>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</si>
  <si>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</si>
  <si>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</si>
  <si>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</si>
  <si>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</si>
  <si>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</si>
  <si>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</si>
  <si>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</si>
  <si>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</si>
  <si>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</si>
  <si>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</si>
  <si>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</si>
  <si>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</si>
  <si>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</si>
  <si>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</si>
  <si>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</si>
  <si>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</si>
  <si>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</si>
  <si>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</si>
  <si>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</si>
  <si>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</si>
  <si>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</si>
  <si>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</si>
  <si>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</si>
  <si>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</si>
  <si>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</si>
  <si>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</si>
  <si>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</si>
  <si>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</si>
  <si>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</si>
  <si>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</si>
  <si>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</si>
  <si>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</si>
  <si>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</si>
  <si>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</si>
  <si>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</si>
  <si>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</si>
  <si>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</si>
  <si>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</si>
  <si>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</si>
  <si>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</si>
  <si>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</si>
  <si>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</si>
  <si>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</si>
  <si>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</si>
  <si>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</si>
  <si>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</si>
  <si>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</si>
  <si>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</si>
  <si>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</si>
  <si>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</si>
  <si>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</si>
  <si>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</si>
  <si>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</si>
  <si>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</si>
  <si>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</si>
  <si>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</si>
  <si>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</si>
  <si>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</si>
  <si>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</si>
  <si>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</si>
  <si>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</si>
  <si>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</si>
  <si>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</si>
  <si>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</si>
  <si>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</si>
  <si>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</si>
  <si>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</si>
  <si>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</si>
  <si>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</si>
  <si>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</si>
  <si>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</si>
  <si>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</si>
  <si>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</si>
  <si>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</si>
  <si>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</si>
  <si>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</si>
  <si>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</si>
  <si>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</si>
  <si>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</si>
  <si>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</si>
  <si>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</si>
  <si>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</si>
  <si>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</si>
  <si>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</si>
  <si>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</si>
  <si>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</si>
  <si>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</si>
  <si>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</si>
  <si>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</si>
  <si>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</si>
  <si>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</si>
  <si>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</si>
  <si>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</si>
  <si>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</si>
  <si>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</si>
  <si>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</si>
  <si>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</si>
  <si>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</si>
  <si>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</si>
  <si>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</si>
  <si>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</si>
  <si>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</si>
  <si>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</si>
  <si>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</si>
  <si>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</si>
  <si>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</si>
  <si>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</si>
  <si>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</si>
  <si>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</si>
  <si>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</si>
  <si>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</si>
  <si>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</si>
  <si>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</si>
  <si>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</si>
  <si>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</si>
  <si>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</si>
  <si>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</si>
  <si>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</si>
  <si>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</si>
  <si>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</si>
  <si>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</si>
  <si>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</si>
  <si>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</si>
  <si>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</si>
  <si>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</si>
  <si>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</si>
  <si>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</si>
  <si>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</si>
  <si>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</si>
  <si>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</si>
  <si>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</si>
  <si>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</si>
  <si>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</si>
  <si>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</si>
  <si>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</si>
  <si>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</si>
  <si>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</si>
  <si>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</si>
  <si>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</si>
  <si>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</si>
  <si>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</si>
  <si>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</si>
  <si>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</si>
  <si>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</si>
  <si>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</si>
  <si>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</si>
  <si>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</si>
  <si>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</si>
  <si>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</si>
  <si>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</si>
  <si>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</si>
  <si>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</si>
  <si>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</si>
  <si>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</si>
  <si>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</si>
  <si>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</si>
  <si>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</si>
  <si>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</si>
  <si>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</si>
  <si>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</si>
  <si>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</si>
  <si>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</si>
  <si>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</si>
  <si>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</si>
  <si>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</si>
  <si>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</si>
  <si>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</si>
  <si>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</si>
  <si>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</si>
  <si>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</si>
  <si>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</si>
  <si>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</si>
  <si>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</si>
  <si>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</si>
  <si>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</si>
  <si>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</si>
  <si>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</si>
  <si>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</si>
  <si>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</si>
  <si>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</si>
  <si>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</si>
  <si>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</si>
  <si>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</si>
  <si>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</si>
  <si>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</si>
  <si>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</si>
  <si>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</si>
  <si>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</si>
  <si>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</si>
  <si>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</si>
  <si>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</si>
  <si>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</si>
  <si>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</si>
  <si>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</si>
  <si>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</si>
  <si>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</si>
  <si>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</si>
  <si>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</si>
  <si>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</si>
  <si>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</si>
  <si>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</si>
  <si>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</si>
  <si>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</si>
  <si>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</si>
  <si>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</si>
  <si>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</si>
  <si>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</si>
  <si>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</si>
  <si>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</si>
  <si>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</si>
  <si>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</si>
  <si>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</si>
  <si>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</si>
  <si>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</si>
  <si>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</si>
  <si>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</si>
  <si>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</si>
  <si>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</si>
  <si>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</si>
  <si>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</si>
  <si>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</si>
  <si>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</si>
  <si>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</si>
  <si>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</si>
  <si>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</si>
  <si>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</si>
  <si>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</si>
  <si>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</si>
  <si>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</si>
  <si>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</si>
  <si>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</si>
  <si>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</si>
  <si>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</si>
  <si>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</si>
  <si>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</si>
  <si>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</si>
  <si>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</si>
  <si>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</si>
  <si>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</si>
  <si>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</si>
  <si>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</si>
  <si>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</si>
  <si>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</si>
  <si>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</si>
  <si>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</si>
  <si>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</si>
  <si>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</si>
  <si>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</si>
  <si>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</si>
  <si>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</si>
  <si>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</si>
  <si>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</si>
  <si>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</si>
  <si>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</si>
  <si>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</si>
  <si>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</si>
  <si>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</si>
  <si>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</si>
  <si>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</si>
  <si>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</si>
  <si>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</si>
  <si>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</si>
  <si>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</si>
  <si>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</si>
  <si>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</si>
  <si>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</si>
  <si>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</si>
  <si>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</si>
  <si>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</si>
  <si>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</si>
  <si>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</si>
  <si>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</si>
  <si>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</si>
  <si>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</si>
  <si>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</si>
  <si>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</si>
  <si>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</si>
  <si>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</si>
  <si>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</si>
  <si>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</si>
  <si>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</si>
  <si>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</si>
  <si>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</si>
  <si>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</si>
  <si>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</si>
  <si>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</si>
  <si>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</si>
  <si>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</si>
  <si>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</si>
  <si>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</si>
  <si>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</si>
  <si>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</si>
  <si>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</si>
  <si>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</si>
  <si>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</si>
  <si>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</si>
  <si>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</si>
  <si>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</si>
  <si>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</si>
  <si>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</si>
  <si>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</si>
  <si>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</si>
  <si>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</si>
  <si>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</si>
  <si>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</si>
  <si>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</si>
  <si>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</si>
  <si>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</si>
  <si>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</si>
  <si>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</si>
  <si>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</si>
  <si>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</si>
  <si>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</si>
  <si>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</si>
  <si>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</si>
  <si>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</si>
  <si>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</si>
  <si>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</si>
  <si>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</si>
  <si>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</si>
  <si>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</si>
  <si>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</si>
  <si>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</si>
  <si>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</si>
  <si>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</si>
  <si>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</si>
  <si>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</si>
  <si>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</si>
  <si>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</si>
  <si>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</si>
  <si>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</si>
  <si>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</si>
  <si>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</si>
  <si>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</si>
  <si>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</si>
  <si>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</si>
  <si>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</si>
  <si>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</si>
  <si>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</si>
  <si>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</si>
  <si>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</si>
  <si>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</si>
  <si>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</si>
  <si>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</si>
  <si>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</si>
  <si>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</si>
  <si>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</si>
  <si>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</si>
  <si>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</si>
  <si>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</si>
  <si>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</si>
  <si>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</si>
  <si>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</si>
  <si>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</si>
  <si>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</si>
  <si>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</si>
  <si>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</si>
  <si>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</si>
  <si>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</si>
  <si>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</si>
  <si>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</si>
  <si>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</si>
  <si>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</si>
  <si>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</si>
  <si>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</si>
  <si>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</si>
  <si>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</si>
  <si>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</si>
  <si>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</si>
  <si>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</si>
  <si>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</si>
  <si>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</si>
  <si>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</si>
  <si>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</si>
  <si>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</si>
  <si>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</si>
  <si>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</si>
  <si>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</si>
  <si>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</si>
  <si>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</si>
  <si>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</si>
  <si>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</si>
  <si>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</si>
  <si>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</si>
  <si>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</si>
  <si>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</si>
  <si>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</si>
  <si>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</si>
  <si>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</si>
  <si>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</si>
  <si>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</si>
  <si>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</si>
  <si>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</si>
  <si>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</si>
  <si>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</si>
  <si>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</si>
  <si>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</si>
  <si>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</si>
  <si>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</si>
  <si>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</si>
  <si>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</si>
  <si>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</si>
  <si>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</si>
  <si>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</si>
  <si>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</si>
  <si>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</si>
  <si>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</si>
  <si>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</si>
  <si>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</si>
  <si>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</si>
  <si>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</si>
  <si>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</si>
  <si>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</si>
  <si>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</si>
  <si>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</si>
  <si>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</si>
  <si>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</si>
  <si>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</si>
  <si>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</si>
  <si>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</si>
  <si>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</si>
  <si>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</si>
  <si>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</si>
  <si>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</si>
  <si>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</si>
  <si>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</si>
  <si>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</si>
  <si>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</si>
  <si>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</si>
  <si>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</si>
  <si>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</si>
  <si>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</si>
  <si>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</si>
  <si>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</si>
  <si>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</si>
  <si>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</si>
  <si>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</si>
  <si>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</si>
  <si>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</si>
  <si>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</si>
  <si>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</si>
  <si>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</si>
  <si>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</si>
  <si>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</si>
  <si>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</si>
  <si>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</si>
  <si>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</si>
  <si>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</si>
  <si>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</si>
  <si>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</si>
  <si>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</si>
  <si>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</si>
  <si>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</si>
  <si>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</si>
  <si>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</si>
  <si>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</si>
  <si>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</si>
  <si>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</si>
  <si>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</si>
  <si>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</si>
  <si>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</si>
  <si>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</si>
  <si>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</si>
  <si>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</si>
  <si>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</si>
  <si>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</si>
  <si>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</si>
  <si>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</si>
  <si>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</si>
  <si>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</si>
  <si>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</si>
  <si>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</si>
  <si>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</si>
  <si>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</si>
  <si>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</si>
  <si>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</si>
  <si>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</si>
  <si>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</si>
  <si>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</si>
  <si>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</si>
  <si>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</si>
  <si>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</si>
  <si>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</si>
  <si>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</si>
  <si>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</si>
  <si>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</si>
  <si>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</si>
  <si>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</si>
  <si>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</si>
  <si>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</si>
  <si>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</si>
  <si>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</si>
  <si>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</si>
  <si>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</si>
  <si>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</si>
  <si>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</si>
  <si>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</si>
  <si>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</si>
  <si>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</si>
  <si>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</si>
  <si>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</si>
  <si>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</si>
  <si>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</si>
  <si>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</si>
  <si>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</si>
  <si>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</si>
  <si>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</si>
  <si>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</si>
  <si>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</si>
  <si>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</si>
  <si>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</si>
  <si>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</si>
  <si>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</si>
  <si>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</si>
  <si>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</si>
  <si>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</si>
  <si>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</si>
  <si>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</si>
  <si>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</si>
  <si>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</si>
  <si>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</si>
  <si>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</si>
  <si>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</si>
  <si>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</si>
  <si>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</si>
  <si>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</si>
  <si>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</si>
  <si>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</si>
  <si>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</si>
  <si>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</si>
  <si>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</si>
  <si>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</si>
  <si>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</si>
  <si>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</si>
  <si>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</si>
  <si>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</si>
  <si>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</si>
  <si>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</si>
  <si>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</si>
  <si>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</si>
  <si>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</si>
  <si>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</si>
  <si>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</si>
  <si>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</si>
  <si>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</si>
  <si>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</si>
  <si>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</si>
  <si>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</si>
  <si>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</si>
  <si>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</si>
  <si>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</si>
  <si>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</si>
  <si>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</si>
  <si>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</si>
  <si>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</si>
  <si>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</si>
  <si>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</si>
  <si>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</si>
  <si>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</si>
  <si>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</si>
  <si>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</si>
  <si>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</si>
  <si>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</si>
  <si>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</si>
  <si>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</si>
  <si>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</si>
  <si>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</si>
  <si>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</si>
  <si>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</si>
  <si>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</si>
  <si>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</si>
  <si>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</si>
  <si>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</si>
  <si>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</si>
  <si>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</si>
  <si>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</si>
  <si>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</si>
  <si>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</si>
  <si>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</si>
  <si>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</si>
  <si>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</si>
  <si>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</si>
  <si>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</si>
  <si>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</si>
  <si>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</si>
  <si>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</si>
  <si>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</si>
  <si>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</si>
  <si>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</si>
  <si>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</si>
  <si>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</si>
  <si>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</si>
  <si>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</si>
  <si>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</si>
  <si>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</si>
  <si>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</si>
  <si>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</si>
  <si>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</si>
  <si>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</si>
  <si>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</si>
  <si>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</si>
  <si>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</si>
  <si>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</si>
  <si>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</si>
  <si>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</si>
  <si>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</si>
  <si>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</si>
  <si>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</si>
  <si>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</si>
  <si>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</si>
  <si>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</si>
  <si>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</si>
  <si>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</si>
  <si>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</si>
  <si>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</si>
  <si>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</si>
  <si>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</si>
  <si>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</si>
  <si>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</si>
  <si>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</si>
  <si>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</si>
  <si>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</si>
  <si>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</si>
  <si>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</si>
  <si>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</si>
  <si>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</si>
  <si>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</si>
  <si>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</si>
  <si>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</si>
  <si>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</si>
  <si>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</si>
  <si>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</si>
  <si>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</si>
  <si>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</si>
  <si>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</si>
  <si>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</si>
  <si>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</si>
  <si>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</si>
  <si>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</si>
  <si>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</si>
  <si>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</si>
  <si>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</si>
  <si>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</si>
  <si>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</si>
  <si>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</si>
  <si>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</si>
  <si>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</si>
  <si>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</si>
  <si>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</si>
  <si>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</si>
  <si>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</si>
  <si>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</si>
  <si>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</si>
  <si>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</si>
  <si>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</si>
  <si>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</si>
  <si>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</si>
  <si>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</si>
  <si>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</si>
  <si>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</si>
  <si>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</si>
  <si>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</si>
  <si>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</si>
  <si>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</si>
  <si>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</si>
  <si>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</si>
  <si>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</si>
  <si>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</si>
  <si>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</si>
  <si>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</si>
  <si>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</si>
  <si>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</si>
  <si>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</si>
  <si>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</si>
  <si>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</si>
  <si>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</si>
  <si>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</si>
  <si>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</si>
  <si>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</si>
  <si>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</si>
  <si>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</si>
  <si>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</si>
  <si>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</si>
  <si>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</si>
  <si>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</si>
  <si>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</si>
  <si>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</si>
  <si>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</si>
  <si>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</si>
  <si>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</si>
  <si>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</si>
  <si>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</si>
  <si>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</si>
  <si>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</si>
  <si>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</si>
  <si>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</si>
  <si>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</si>
  <si>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</si>
  <si>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</si>
  <si>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</si>
  <si>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</si>
  <si>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</si>
  <si>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</si>
  <si>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</si>
  <si>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</si>
  <si>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</si>
  <si>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</si>
  <si>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</si>
  <si>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</si>
  <si>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</si>
  <si>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</si>
  <si>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</si>
  <si>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</si>
  <si>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</si>
  <si>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</si>
  <si>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</si>
  <si>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</si>
  <si>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</si>
  <si>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</si>
  <si>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</si>
  <si>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</si>
  <si>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</si>
  <si>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</si>
  <si>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</si>
  <si>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</si>
  <si>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</si>
  <si>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</si>
  <si>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</si>
  <si>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</si>
  <si>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</si>
  <si>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</si>
  <si>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</si>
  <si>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</si>
  <si>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</si>
  <si>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</si>
  <si>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</si>
  <si>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</si>
  <si>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</si>
  <si>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</si>
  <si>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</si>
  <si>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</si>
  <si>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</si>
  <si>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</si>
  <si>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</si>
  <si>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</si>
  <si>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</si>
  <si>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</si>
  <si>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</si>
  <si>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</si>
  <si>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</si>
  <si>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</si>
  <si>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</si>
  <si>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</si>
  <si>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</si>
  <si>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</si>
  <si>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</si>
  <si>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</si>
  <si>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</si>
  <si>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</si>
  <si>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</si>
  <si>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</si>
  <si>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</si>
  <si>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</si>
  <si>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</si>
  <si>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</si>
  <si>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</si>
  <si>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</si>
  <si>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</si>
  <si>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</si>
  <si>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</si>
  <si>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</si>
  <si>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</si>
  <si>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</si>
  <si>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</si>
  <si>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</si>
  <si>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</si>
  <si>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</si>
  <si>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</si>
  <si>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</si>
  <si>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</si>
  <si>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</si>
  <si>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</si>
  <si>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</si>
  <si>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</si>
  <si>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</si>
  <si>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</si>
  <si>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</si>
  <si>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</si>
  <si>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</si>
  <si>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</si>
  <si>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</si>
  <si>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</si>
  <si>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</si>
  <si>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</si>
  <si>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</si>
  <si>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</si>
  <si>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</si>
  <si>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</si>
  <si>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</si>
  <si>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</si>
  <si>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</si>
  <si>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</si>
  <si>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</si>
  <si>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</si>
  <si>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</si>
  <si>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</si>
  <si>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</si>
  <si>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</si>
  <si>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</si>
  <si>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</si>
  <si>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</si>
  <si>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</si>
  <si>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</si>
  <si>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</si>
  <si>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</si>
  <si>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</si>
  <si>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</si>
  <si>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</si>
  <si>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</si>
  <si>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</si>
  <si>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</si>
  <si>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</si>
  <si>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</si>
  <si>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</si>
  <si>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</si>
  <si>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</si>
  <si>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</si>
  <si>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</si>
  <si>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</si>
  <si>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</si>
  <si>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</si>
  <si>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</si>
  <si>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</si>
  <si>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</si>
  <si>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</si>
  <si>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</si>
  <si>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</si>
  <si>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</si>
  <si>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</si>
  <si>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</si>
  <si>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</si>
  <si>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</si>
  <si>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</si>
  <si>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</si>
  <si>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</si>
  <si>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</si>
  <si>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</si>
  <si>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</si>
  <si>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</si>
  <si>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</si>
  <si>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</si>
  <si>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</si>
  <si>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</si>
  <si>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</si>
  <si>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</si>
  <si>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</si>
  <si>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</si>
  <si>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</si>
  <si>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</si>
  <si>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</si>
  <si>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</si>
  <si>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</si>
  <si>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</si>
  <si>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</si>
  <si>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</si>
  <si>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</si>
  <si>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</si>
  <si>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</si>
  <si>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</si>
  <si>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</si>
  <si>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</si>
  <si>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</si>
  <si>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</si>
  <si>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</si>
  <si>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</si>
  <si>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</si>
  <si>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</si>
  <si>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</si>
  <si>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</si>
  <si>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</si>
  <si>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</si>
  <si>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</si>
  <si>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</si>
  <si>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</si>
  <si>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</si>
  <si>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</si>
  <si>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</si>
  <si>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</si>
  <si>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</si>
  <si>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</si>
  <si>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</si>
  <si>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</si>
  <si>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</si>
  <si>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</si>
  <si>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</si>
  <si>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</si>
  <si>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</si>
  <si>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</si>
  <si>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</si>
  <si>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</si>
  <si>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</si>
  <si>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</si>
  <si>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</si>
  <si>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</si>
  <si>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</si>
  <si>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</si>
  <si>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</si>
  <si>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</si>
  <si>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</si>
  <si>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</si>
  <si>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</si>
  <si>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</si>
  <si>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</si>
  <si>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</si>
  <si>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</si>
  <si>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</si>
  <si>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</si>
  <si>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</si>
  <si>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</si>
  <si>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</si>
  <si>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</si>
  <si>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</si>
  <si>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</si>
  <si>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</si>
  <si>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</si>
  <si>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</si>
  <si>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</si>
  <si>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</si>
  <si>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</si>
  <si>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</si>
  <si>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</si>
  <si>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</si>
  <si>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</si>
  <si>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</si>
  <si>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</si>
  <si>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</si>
  <si>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</si>
  <si>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</si>
  <si>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</si>
  <si>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</si>
  <si>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</si>
  <si>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</si>
  <si>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</si>
  <si>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</si>
  <si>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</si>
  <si>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</si>
  <si>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</si>
  <si>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</si>
  <si>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</si>
  <si>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</si>
  <si>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</si>
  <si>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</si>
  <si>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</si>
  <si>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</si>
  <si>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</si>
  <si>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</si>
  <si>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</si>
  <si>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</si>
  <si>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</si>
  <si>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</si>
  <si>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</si>
  <si>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</si>
  <si>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</si>
  <si>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</si>
  <si>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</si>
  <si>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</si>
  <si>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</si>
  <si>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</si>
  <si>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</si>
  <si>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</si>
  <si>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</si>
  <si>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</si>
  <si>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</si>
  <si>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</si>
  <si>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</si>
  <si>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</si>
  <si>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</si>
  <si>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</si>
  <si>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</si>
  <si>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</si>
  <si>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</si>
  <si>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</si>
  <si>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</si>
  <si>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</si>
  <si>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</si>
  <si>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</si>
  <si>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</si>
  <si>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</si>
  <si>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</si>
  <si>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</si>
  <si>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</si>
  <si>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</si>
  <si>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</si>
  <si>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</si>
  <si>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</si>
  <si>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</si>
  <si>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</si>
  <si>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</si>
  <si>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</si>
  <si>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</si>
  <si>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</si>
  <si>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</si>
  <si>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</si>
  <si>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</si>
  <si>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</si>
  <si>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</si>
  <si>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</si>
  <si>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</si>
  <si>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</si>
  <si>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</si>
  <si>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</si>
  <si>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</si>
  <si>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</si>
  <si>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</si>
  <si>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</si>
  <si>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</si>
  <si>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</si>
  <si>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</si>
  <si>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</si>
  <si>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</si>
  <si>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</si>
  <si>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</si>
  <si>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</si>
  <si>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</si>
  <si>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</si>
  <si>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</si>
  <si>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</si>
  <si>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</si>
  <si>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</si>
  <si>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</si>
  <si>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</si>
  <si>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</si>
  <si>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</si>
  <si>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</si>
  <si>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</si>
  <si>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</si>
  <si>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</si>
  <si>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</si>
  <si>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</si>
  <si>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</si>
  <si>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</si>
  <si>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</si>
  <si>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</si>
  <si>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</si>
  <si>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</si>
  <si>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</si>
  <si>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</si>
  <si>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</si>
  <si>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</si>
  <si>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</si>
  <si>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</si>
  <si>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</si>
  <si>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</si>
  <si>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</si>
  <si>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</si>
  <si>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</si>
  <si>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</si>
  <si>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</si>
  <si>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</si>
  <si>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</si>
  <si>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</si>
  <si>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</si>
  <si>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</si>
  <si>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</si>
  <si>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</si>
  <si>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</si>
  <si>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</si>
  <si>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</si>
  <si>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</si>
  <si>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</si>
  <si>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</si>
  <si>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</si>
  <si>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</si>
  <si>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</si>
  <si>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</si>
  <si>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</si>
  <si>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</si>
  <si>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</si>
  <si>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</si>
  <si>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</si>
  <si>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</si>
  <si>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</si>
  <si>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</si>
  <si>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</si>
  <si>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</si>
  <si>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</si>
  <si>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</si>
  <si>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</si>
  <si>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</si>
  <si>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</si>
  <si>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</si>
  <si>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</si>
  <si>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</si>
  <si>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</si>
  <si>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</si>
  <si>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</si>
  <si>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</si>
  <si>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</si>
  <si>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</si>
  <si>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</si>
  <si>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</si>
  <si>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</si>
  <si>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</si>
  <si>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</si>
  <si>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</si>
  <si>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</si>
  <si>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</si>
  <si>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</si>
  <si>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</si>
  <si>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</si>
  <si>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</si>
  <si>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</si>
  <si>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</si>
  <si>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</si>
  <si>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</si>
  <si>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</si>
  <si>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</si>
  <si>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</si>
  <si>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</si>
  <si>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</si>
  <si>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</si>
  <si>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</si>
  <si>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</si>
  <si>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</si>
  <si>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</si>
  <si>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</si>
  <si>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</si>
  <si>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</si>
  <si>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</si>
  <si>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</si>
  <si>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</si>
  <si>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</si>
  <si>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</si>
  <si>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</si>
  <si>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</si>
  <si>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</si>
  <si>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</si>
  <si>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</si>
  <si>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</si>
  <si>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</si>
  <si>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</si>
  <si>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</si>
  <si>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</si>
  <si>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</si>
  <si>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</si>
  <si>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</si>
  <si>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</si>
  <si>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</si>
  <si>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</si>
  <si>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</si>
  <si>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</si>
  <si>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</si>
  <si>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</si>
  <si>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</si>
  <si>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</si>
  <si>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</si>
  <si>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</si>
  <si>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</si>
  <si>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</si>
  <si>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</si>
  <si>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</si>
  <si>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</si>
  <si>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</si>
  <si>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</si>
  <si>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</si>
  <si>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</si>
  <si>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</si>
  <si>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</si>
  <si>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</si>
  <si>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</si>
  <si>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</si>
  <si>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</si>
  <si>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</si>
  <si>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</si>
  <si>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</si>
  <si>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</si>
  <si>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</si>
  <si>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</si>
  <si>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</si>
  <si>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</si>
  <si>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</si>
  <si>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</si>
  <si>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</si>
  <si>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</si>
  <si>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</si>
  <si>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</si>
  <si>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</si>
  <si>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</si>
  <si>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</si>
  <si>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</si>
  <si>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</si>
  <si>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</si>
  <si>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</si>
  <si>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</si>
  <si>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</si>
  <si>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</si>
  <si>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</si>
  <si>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</si>
  <si>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</si>
  <si>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</si>
  <si>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</si>
  <si>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</si>
  <si>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</si>
  <si>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</si>
  <si>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</si>
  <si>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</si>
  <si>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</si>
  <si>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</si>
  <si>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</si>
  <si>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</si>
  <si>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</si>
  <si>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</si>
  <si>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</si>
  <si>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</si>
  <si>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</si>
  <si>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</si>
  <si>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</si>
  <si>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</si>
  <si>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</si>
  <si>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</si>
  <si>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</si>
  <si>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</si>
  <si>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</si>
  <si>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</si>
  <si>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</si>
  <si>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</si>
  <si>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</si>
  <si>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</si>
  <si>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</si>
  <si>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</si>
  <si>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</si>
  <si>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</si>
  <si>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</si>
  <si>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</si>
  <si>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</si>
  <si>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</si>
  <si>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</si>
  <si>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</si>
  <si>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</si>
  <si>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</si>
  <si>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</si>
  <si>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</si>
  <si>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</si>
  <si>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</si>
  <si>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</si>
  <si>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</si>
  <si>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</si>
  <si>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</si>
  <si>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</si>
  <si>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</si>
  <si>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</si>
  <si>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</si>
  <si>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</si>
  <si>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</si>
  <si>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</si>
  <si>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</si>
  <si>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</si>
  <si>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</si>
  <si>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</si>
  <si>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</si>
  <si>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</si>
  <si>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</si>
  <si>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</si>
  <si>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</si>
  <si>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</si>
  <si>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</si>
  <si>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</si>
  <si>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</si>
  <si>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</si>
  <si>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</si>
  <si>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</si>
  <si>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</si>
  <si>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</si>
  <si>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</si>
  <si>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</si>
  <si>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</si>
  <si>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</si>
  <si>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</si>
  <si>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</si>
  <si>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</si>
  <si>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</si>
  <si>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</si>
  <si>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</si>
  <si>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</si>
  <si>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</si>
  <si>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</si>
  <si>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</si>
  <si>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</si>
  <si>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</si>
  <si>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</si>
  <si>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</si>
  <si>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</si>
  <si>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</si>
  <si>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</si>
  <si>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</si>
  <si>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</si>
  <si>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</si>
  <si>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</si>
  <si>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</si>
  <si>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</si>
  <si>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</si>
  <si>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</si>
  <si>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</si>
  <si>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</si>
  <si>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</si>
  <si>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</si>
  <si>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</si>
  <si>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</si>
  <si>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</si>
  <si>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</si>
  <si>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</si>
  <si>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</si>
  <si>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</si>
  <si>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</si>
  <si>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</si>
  <si>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</si>
  <si>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</si>
  <si>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</si>
  <si>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</si>
  <si>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</si>
  <si>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</si>
  <si>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</si>
  <si>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</si>
  <si>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</si>
  <si>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</si>
  <si>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</si>
  <si>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</si>
  <si>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</si>
  <si>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</si>
  <si>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</si>
  <si>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</si>
  <si>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</si>
  <si>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</si>
  <si>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</si>
  <si>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</si>
  <si>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</si>
  <si>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</si>
  <si>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</si>
  <si>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</si>
  <si>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</si>
  <si>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</si>
  <si>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</si>
  <si>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</si>
  <si>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</si>
  <si>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</si>
  <si>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</si>
  <si>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</si>
  <si>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</si>
  <si>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</si>
  <si>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</si>
  <si>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</si>
  <si>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</si>
  <si>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</si>
  <si>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</si>
  <si>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</si>
  <si>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</si>
  <si>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</si>
  <si>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</si>
  <si>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</si>
  <si>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</si>
  <si>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</si>
  <si>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</si>
  <si>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</si>
  <si>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</si>
  <si>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</si>
  <si>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</si>
  <si>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</si>
  <si>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</si>
  <si>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</si>
  <si>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</si>
  <si>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</si>
  <si>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</si>
  <si>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</si>
  <si>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</si>
  <si>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</si>
  <si>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</si>
  <si>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</si>
  <si>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</si>
  <si>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</si>
  <si>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</si>
  <si>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</si>
  <si>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</si>
  <si>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</si>
  <si>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</si>
  <si>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</si>
  <si>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</si>
  <si>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</si>
  <si>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</si>
  <si>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</si>
  <si>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</si>
  <si>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</si>
  <si>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</si>
  <si>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</si>
  <si>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</si>
  <si>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</si>
  <si>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</si>
  <si>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</si>
  <si>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</si>
  <si>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</si>
  <si>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</si>
  <si>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</si>
  <si>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</si>
  <si>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</si>
  <si>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</si>
  <si>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</si>
  <si>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</si>
  <si>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</si>
  <si>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</si>
  <si>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</si>
  <si>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</si>
  <si>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</si>
  <si>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</si>
  <si>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</si>
  <si>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</si>
  <si>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</si>
  <si>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</si>
  <si>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</si>
  <si>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</si>
  <si>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</si>
  <si>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</si>
  <si>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</si>
  <si>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</si>
  <si>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</si>
  <si>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</si>
  <si>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</si>
  <si>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</si>
  <si>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</si>
  <si>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</si>
  <si>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</si>
  <si>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</si>
  <si>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</si>
  <si>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</si>
  <si>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</si>
  <si>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</si>
  <si>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</si>
  <si>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</si>
  <si>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</si>
  <si>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</si>
  <si>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</si>
  <si>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</si>
  <si>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</si>
  <si>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</si>
  <si>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</si>
  <si>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</si>
  <si>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</si>
  <si>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</si>
  <si>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</si>
  <si>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</si>
  <si>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</si>
  <si>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</si>
  <si>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</si>
  <si>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</si>
  <si>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</si>
  <si>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</si>
  <si>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</si>
  <si>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</si>
  <si>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</si>
  <si>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</si>
  <si>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</si>
  <si>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</si>
  <si>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</si>
  <si>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</si>
  <si>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</si>
  <si>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</si>
  <si>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</si>
  <si>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</si>
  <si>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</si>
  <si>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</si>
  <si>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</si>
  <si>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</si>
  <si>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</si>
  <si>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</si>
  <si>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</si>
  <si>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</si>
  <si>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</si>
  <si>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</si>
  <si>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</si>
  <si>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</si>
  <si>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</si>
  <si>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</si>
  <si>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</si>
  <si>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</si>
  <si>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</si>
  <si>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</si>
  <si>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</si>
  <si>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</si>
  <si>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</si>
  <si>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</si>
  <si>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</si>
  <si>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</si>
  <si>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</si>
  <si>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</si>
  <si>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</si>
  <si>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</si>
  <si>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</si>
  <si>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</si>
  <si>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</si>
  <si>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</si>
  <si>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</si>
  <si>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</si>
  <si>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</si>
  <si>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</si>
  <si>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</si>
  <si>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</si>
  <si>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</si>
  <si>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</si>
  <si>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</si>
  <si>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</si>
  <si>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</si>
  <si>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</si>
  <si>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</si>
  <si>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</si>
  <si>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</si>
  <si>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</si>
  <si>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</si>
  <si>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</si>
  <si>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</si>
  <si>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</si>
  <si>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</si>
  <si>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</si>
  <si>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</si>
  <si>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</si>
  <si>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</si>
  <si>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</si>
  <si>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</si>
  <si>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</si>
  <si>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</si>
  <si>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</si>
  <si>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</si>
  <si>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</si>
  <si>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</si>
  <si>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</si>
  <si>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</si>
  <si>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</si>
  <si>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</si>
  <si>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</si>
  <si>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</si>
  <si>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</si>
  <si>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</si>
  <si>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</si>
  <si>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</si>
  <si>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</si>
  <si>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</si>
  <si>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</si>
  <si>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</si>
  <si>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</si>
  <si>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</si>
  <si>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</si>
  <si>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</si>
  <si>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</si>
  <si>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</si>
  <si>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</si>
  <si>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</si>
  <si>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</si>
  <si>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</si>
  <si>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</si>
  <si>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</si>
  <si>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</si>
  <si>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</si>
  <si>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</si>
  <si>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</si>
  <si>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</si>
  <si>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</si>
  <si>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</si>
  <si>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</si>
  <si>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</si>
  <si>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</si>
  <si>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</si>
  <si>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</si>
  <si>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</si>
  <si>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</si>
  <si>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</si>
  <si>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</si>
  <si>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</si>
  <si>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</si>
  <si>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</si>
  <si>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</si>
  <si>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</si>
  <si>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</si>
  <si>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</si>
  <si>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</si>
  <si>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</si>
  <si>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</si>
  <si>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</si>
  <si>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</si>
  <si>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</si>
  <si>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</si>
  <si>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</si>
  <si>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</si>
  <si>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</si>
  <si>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</si>
  <si>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</si>
  <si>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</si>
  <si>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</si>
  <si>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</si>
  <si>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</si>
  <si>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</si>
  <si>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</si>
  <si>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</si>
  <si>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</si>
  <si>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</si>
  <si>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</si>
  <si>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</si>
  <si>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</si>
  <si>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</si>
  <si>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</si>
  <si>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</si>
  <si>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</si>
  <si>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</si>
  <si>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</si>
  <si>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</si>
  <si>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</si>
  <si>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</si>
  <si>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</si>
  <si>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</si>
  <si>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</si>
  <si>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</si>
  <si>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</si>
  <si>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</si>
  <si>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</si>
  <si>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</si>
  <si>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</si>
  <si>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</si>
  <si>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</si>
  <si>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</si>
  <si>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</si>
  <si>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</si>
  <si>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</si>
  <si>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</si>
  <si>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</si>
  <si>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</si>
  <si>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</si>
  <si>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</si>
  <si>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</si>
  <si>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</si>
  <si>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</si>
  <si>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</si>
  <si>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</si>
  <si>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</si>
  <si>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</si>
  <si>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</si>
  <si>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</si>
  <si>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</si>
  <si>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</si>
  <si>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</si>
  <si>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</si>
  <si>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</si>
  <si>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</si>
  <si>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</si>
  <si>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</si>
  <si>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</si>
  <si>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</si>
  <si>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</si>
  <si>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</si>
  <si>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</si>
  <si>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</si>
  <si>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</si>
  <si>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</si>
  <si>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</si>
  <si>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</si>
  <si>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</si>
  <si>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</si>
  <si>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</si>
  <si>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</si>
  <si>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</si>
  <si>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</si>
  <si>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</si>
  <si>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</si>
  <si>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</si>
  <si>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</si>
  <si>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</si>
  <si>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</si>
  <si>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</si>
  <si>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</si>
  <si>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</si>
  <si>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</si>
  <si>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</si>
  <si>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</si>
  <si>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</si>
  <si>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</si>
  <si>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</si>
  <si>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</si>
  <si>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</si>
  <si>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</si>
  <si>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</si>
  <si>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</si>
  <si>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</si>
  <si>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</si>
  <si>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</si>
  <si>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</si>
  <si>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</si>
  <si>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</si>
  <si>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</si>
  <si>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</si>
  <si>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</si>
  <si>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</si>
  <si>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</si>
  <si>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</si>
  <si>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</si>
  <si>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</si>
  <si>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</si>
  <si>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</si>
  <si>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</si>
  <si>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</si>
  <si>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</si>
  <si>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</si>
  <si>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</si>
  <si>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</si>
  <si>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</si>
  <si>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</si>
  <si>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</si>
  <si>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</si>
  <si>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</si>
  <si>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</si>
  <si>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</si>
  <si>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</si>
  <si>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</si>
  <si>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</si>
  <si>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</si>
  <si>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</si>
  <si>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</si>
  <si>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</si>
  <si>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</si>
  <si>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</si>
  <si>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</si>
  <si>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</si>
  <si>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</si>
  <si>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</si>
  <si>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</si>
  <si>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</si>
  <si>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</si>
  <si>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</si>
  <si>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</si>
  <si>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</si>
  <si>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</si>
  <si>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</si>
  <si>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</si>
  <si>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</si>
  <si>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</si>
  <si>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</si>
  <si>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</si>
  <si>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</si>
  <si>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</si>
  <si>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</si>
  <si>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</si>
  <si>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</si>
  <si>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</si>
  <si>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</si>
  <si>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</si>
  <si>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</si>
  <si>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</si>
  <si>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</si>
  <si>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</si>
  <si>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</si>
  <si>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</si>
  <si>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</si>
  <si>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</si>
  <si>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</si>
  <si>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</si>
  <si>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</si>
  <si>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</si>
  <si>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</si>
  <si>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</si>
  <si>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</si>
  <si>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</si>
  <si>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</si>
  <si>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</si>
  <si>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</si>
  <si>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</si>
  <si>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</si>
  <si>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</si>
  <si>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</si>
  <si>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</si>
  <si>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</si>
  <si>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</si>
  <si>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</si>
  <si>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</si>
  <si>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</si>
  <si>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</si>
  <si>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</si>
  <si>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</si>
  <si>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</si>
  <si>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</si>
  <si>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</si>
  <si>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</si>
  <si>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</si>
  <si>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</si>
  <si>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</si>
  <si>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</si>
  <si>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</si>
  <si>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</si>
  <si>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</si>
  <si>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</si>
  <si>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</si>
  <si>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</si>
  <si>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</si>
  <si>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</si>
  <si>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</si>
  <si>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</si>
  <si>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</si>
  <si>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</si>
  <si>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</si>
  <si>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</si>
  <si>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</si>
  <si>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</si>
  <si>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</si>
  <si>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</si>
  <si>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</si>
  <si>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</si>
  <si>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</si>
  <si>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</si>
  <si>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</si>
  <si>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</si>
  <si>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</si>
  <si>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</si>
  <si>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</si>
  <si>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</si>
  <si>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</si>
  <si>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</si>
  <si>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</si>
  <si>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</si>
  <si>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</si>
  <si>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</si>
  <si>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</si>
  <si>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</si>
  <si>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</si>
  <si>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</si>
  <si>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</si>
  <si>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</si>
  <si>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</si>
  <si>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</si>
  <si>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</si>
  <si>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</si>
  <si>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</si>
  <si>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</si>
  <si>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</si>
  <si>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</si>
  <si>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</si>
  <si>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</si>
  <si>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</si>
  <si>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</si>
  <si>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</si>
  <si>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</si>
  <si>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</si>
  <si>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</si>
  <si>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</si>
  <si>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</si>
  <si>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</si>
  <si>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</si>
  <si>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</si>
  <si>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</si>
  <si>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</si>
  <si>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</si>
  <si>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</si>
  <si>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</si>
  <si>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</si>
  <si>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</si>
  <si>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</si>
  <si>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</si>
  <si>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</si>
  <si>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</si>
  <si>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</si>
  <si>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</si>
  <si>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</si>
  <si>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</si>
  <si>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</si>
  <si>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</si>
  <si>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</si>
  <si>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</si>
  <si>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</si>
  <si>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</si>
  <si>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</si>
  <si>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</si>
  <si>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</si>
  <si>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</si>
  <si>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</si>
  <si>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</si>
  <si>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</si>
  <si>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</si>
  <si>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</si>
  <si>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</si>
  <si>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</si>
  <si>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</si>
  <si>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</si>
  <si>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</si>
  <si>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</si>
  <si>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</si>
  <si>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</si>
  <si>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</si>
  <si>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</si>
  <si>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</si>
  <si>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</si>
  <si>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</si>
  <si>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</si>
  <si>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</si>
  <si>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</si>
  <si>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</si>
  <si>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</si>
  <si>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</si>
  <si>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</si>
  <si>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</si>
  <si>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</si>
  <si>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</si>
  <si>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</si>
  <si>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</si>
  <si>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</si>
  <si>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</si>
  <si>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</si>
  <si>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</si>
  <si>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</si>
  <si>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</si>
  <si>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</si>
  <si>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</si>
  <si>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</si>
  <si>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</si>
  <si>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</si>
  <si>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</si>
  <si>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</si>
  <si>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</si>
  <si>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</si>
  <si>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</si>
  <si>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</si>
  <si>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</si>
  <si>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</si>
  <si>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</si>
  <si>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</si>
  <si>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</si>
  <si>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</si>
  <si>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</si>
  <si>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</si>
  <si>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</si>
  <si>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</si>
  <si>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</si>
  <si>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</si>
  <si>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</si>
  <si>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</si>
  <si>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</si>
  <si>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</si>
  <si>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</si>
  <si>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</si>
  <si>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</si>
  <si>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</si>
  <si>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</si>
  <si>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</si>
  <si>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</si>
  <si>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</si>
  <si>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</si>
  <si>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</si>
  <si>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</si>
  <si>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</si>
  <si>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</si>
  <si>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</si>
  <si>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</si>
  <si>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</si>
  <si>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</si>
  <si>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</si>
  <si>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</si>
  <si>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</si>
  <si>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</si>
  <si>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</si>
  <si>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</si>
  <si>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</si>
  <si>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</si>
  <si>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</si>
  <si>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</si>
  <si>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</si>
  <si>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</si>
  <si>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</si>
  <si>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</si>
  <si>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</si>
  <si>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</si>
  <si>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</si>
  <si>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</si>
  <si>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</si>
  <si>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</si>
  <si>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</si>
  <si>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</si>
  <si>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</si>
  <si>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</si>
  <si>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</si>
  <si>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</si>
  <si>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</si>
  <si>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</si>
  <si>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</si>
  <si>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</si>
  <si>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</si>
  <si>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</si>
  <si>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</si>
  <si>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</si>
  <si>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</si>
  <si>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</si>
  <si>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</si>
  <si>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</si>
  <si>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</si>
  <si>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</si>
  <si>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</si>
  <si>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</si>
  <si>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</si>
  <si>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</si>
  <si>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</si>
  <si>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</si>
  <si>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</si>
  <si>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</si>
  <si>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</si>
  <si>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</si>
  <si>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</si>
  <si>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</si>
  <si>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</si>
  <si>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</si>
  <si>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</si>
  <si>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</si>
  <si>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</si>
  <si>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</si>
  <si>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</si>
  <si>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</si>
  <si>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</si>
  <si>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</si>
  <si>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</si>
  <si>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</si>
  <si>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</si>
  <si>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</si>
  <si>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</si>
  <si>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</si>
  <si>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</si>
  <si>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</si>
  <si>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</si>
  <si>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</si>
  <si>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</si>
  <si>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</si>
  <si>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</si>
  <si>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</si>
  <si>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</si>
  <si>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</si>
  <si>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</si>
  <si>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</si>
  <si>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</si>
  <si>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</si>
  <si>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</si>
  <si>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</si>
  <si>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</si>
  <si>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</si>
  <si>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</si>
  <si>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</si>
  <si>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</si>
  <si>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</si>
  <si>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</si>
  <si>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</si>
  <si>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</si>
  <si>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</si>
  <si>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</si>
  <si>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</si>
  <si>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</si>
  <si>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</si>
  <si>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</si>
  <si>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</si>
  <si>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</si>
  <si>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</si>
  <si>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</si>
  <si>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</si>
  <si>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</si>
  <si>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</si>
  <si>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</si>
  <si>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</si>
  <si>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</si>
  <si>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</si>
  <si>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</si>
  <si>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</si>
  <si>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</si>
  <si>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</si>
  <si>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</si>
  <si>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</si>
  <si>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</si>
  <si>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</si>
  <si>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</si>
  <si>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</si>
  <si>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</si>
  <si>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</si>
  <si>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</si>
  <si>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</si>
  <si>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</si>
  <si>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</si>
  <si>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</si>
  <si>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</si>
  <si>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</si>
  <si>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</si>
  <si>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</si>
  <si>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</si>
  <si>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</si>
  <si>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</si>
  <si>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</si>
  <si>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</si>
  <si>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</si>
  <si>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</si>
  <si>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</si>
  <si>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</si>
  <si>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</si>
  <si>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</si>
  <si>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</si>
  <si>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</si>
  <si>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</si>
  <si>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</si>
  <si>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</si>
  <si>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</si>
  <si>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</si>
  <si>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</si>
  <si>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</si>
  <si>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</si>
  <si>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</si>
  <si>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</si>
  <si>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</si>
  <si>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</si>
  <si>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</si>
  <si>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</si>
  <si>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</si>
  <si>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</si>
  <si>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</si>
  <si>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</si>
  <si>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</si>
  <si>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</si>
  <si>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</si>
  <si>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</si>
  <si>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</si>
  <si>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</si>
  <si>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</si>
  <si>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</si>
  <si>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</si>
  <si>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</si>
  <si>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</si>
  <si>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</si>
  <si>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</si>
  <si>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</si>
  <si>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</si>
  <si>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</si>
  <si>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</si>
  <si>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</si>
  <si>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</si>
  <si>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</si>
  <si>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</si>
  <si>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</si>
  <si>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</si>
  <si>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</si>
  <si>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</si>
  <si>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</si>
  <si>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</si>
  <si>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</si>
  <si>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</si>
  <si>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</si>
  <si>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</si>
  <si>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</si>
  <si>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</si>
  <si>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</si>
  <si>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</si>
  <si>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</si>
  <si>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</si>
  <si>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</si>
  <si>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</si>
  <si>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</si>
  <si>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</si>
  <si>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</si>
  <si>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</si>
  <si>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</si>
  <si>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</si>
  <si>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</si>
  <si>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</si>
  <si>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</si>
  <si>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</si>
  <si>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</si>
  <si>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</si>
  <si>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</si>
  <si>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</si>
  <si>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</si>
  <si>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</si>
  <si>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</si>
  <si>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</si>
  <si>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</si>
  <si>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</si>
  <si>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</si>
  <si>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</si>
  <si>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</si>
  <si>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</si>
  <si>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</si>
  <si>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</si>
  <si>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</si>
  <si>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</si>
  <si>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</si>
  <si>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</si>
  <si>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</si>
  <si>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</si>
  <si>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</si>
  <si>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</si>
  <si>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</si>
  <si>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</si>
  <si>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</si>
  <si>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</si>
  <si>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</si>
  <si>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</si>
  <si>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</si>
  <si>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</si>
  <si>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</si>
  <si>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</si>
  <si>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</si>
  <si>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</si>
  <si>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</si>
  <si>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</si>
  <si>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</si>
  <si>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</si>
  <si>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</si>
  <si>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</si>
  <si>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</si>
  <si>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</si>
  <si>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</si>
  <si>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</si>
  <si>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</si>
  <si>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</si>
  <si>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</si>
  <si>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</si>
  <si>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</si>
  <si>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</si>
  <si>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</si>
  <si>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</si>
  <si>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</si>
  <si>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</si>
  <si>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</si>
  <si>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</si>
  <si>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</si>
  <si>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</si>
  <si>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</si>
  <si>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</si>
  <si>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</si>
  <si>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</si>
  <si>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</si>
  <si>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</si>
  <si>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</si>
  <si>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</si>
  <si>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</si>
  <si>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</si>
  <si>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</si>
  <si>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</si>
  <si>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</si>
  <si>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</si>
  <si>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</si>
  <si>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</si>
  <si>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</si>
  <si>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</si>
  <si>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</si>
  <si>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</si>
  <si>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</si>
  <si>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</si>
  <si>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</si>
  <si>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</si>
  <si>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</si>
  <si>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</si>
  <si>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</si>
  <si>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</si>
  <si>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</si>
  <si>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</si>
  <si>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</si>
  <si>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</si>
  <si>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</si>
  <si>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</si>
  <si>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</si>
  <si>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</si>
  <si>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</si>
  <si>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</si>
  <si>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</si>
  <si>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</si>
  <si>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</si>
  <si>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</si>
  <si>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</si>
  <si>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</si>
  <si>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</si>
  <si>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</si>
  <si>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</si>
  <si>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</si>
  <si>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</si>
  <si>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</si>
  <si>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</si>
  <si>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</si>
  <si>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</si>
  <si>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</si>
  <si>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</si>
  <si>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</si>
  <si>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</si>
  <si>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</si>
  <si>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</si>
  <si>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</si>
  <si>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</si>
  <si>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</si>
  <si>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</si>
  <si>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</si>
  <si>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</si>
  <si>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</si>
  <si>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</si>
  <si>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</si>
  <si>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</si>
  <si>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</si>
  <si>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</si>
  <si>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</si>
  <si>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</si>
  <si>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</si>
  <si>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</si>
  <si>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</si>
  <si>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</si>
  <si>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</si>
  <si>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</si>
  <si>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</si>
  <si>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</si>
  <si>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</si>
  <si>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</si>
  <si>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</si>
  <si>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</si>
  <si>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</si>
  <si>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</si>
  <si>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</si>
  <si>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</si>
  <si>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</si>
  <si>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</si>
  <si>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</si>
  <si>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</si>
  <si>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</si>
  <si>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</si>
  <si>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</si>
  <si>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</si>
  <si>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</si>
  <si>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</si>
  <si>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</si>
  <si>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</si>
  <si>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</si>
  <si>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</si>
  <si>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</si>
  <si>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</si>
  <si>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</si>
  <si>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</si>
  <si>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</si>
  <si>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</si>
  <si>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</si>
  <si>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</si>
  <si>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高层住宅用房</t>
  </si>
  <si>
    <t>高层住宅用房</t>
    <phoneticPr fontId="16" type="noConversion"/>
  </si>
  <si>
    <t>王鹏</t>
  </si>
  <si>
    <t>崔锴</t>
  </si>
  <si>
    <t>大业信托</t>
  </si>
  <si>
    <t>湖南正昊置业发展有限公司</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</si>
  <si>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</si>
  <si>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</si>
  <si>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</si>
  <si>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</si>
  <si>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</si>
  <si>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</si>
  <si>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</si>
  <si>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</si>
  <si>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</si>
  <si>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</si>
  <si>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</si>
  <si>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</si>
  <si>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</si>
  <si>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</si>
  <si>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</si>
  <si>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</si>
  <si>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</si>
  <si>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</si>
  <si>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</si>
  <si>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</si>
  <si>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</si>
  <si>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17#</t>
    <phoneticPr fontId="3" type="noConversion"/>
  </si>
  <si>
    <t>18#</t>
    <phoneticPr fontId="3" type="noConversion"/>
  </si>
  <si>
    <t>19#</t>
  </si>
  <si>
    <t>20#</t>
  </si>
  <si>
    <t>地上</t>
  </si>
  <si>
    <t>住宅</t>
  </si>
  <si>
    <t>估价对象周边居住用地比例较高、居住小区规模和社区发展完善程度较好，周边1公里内有水墨林溪等住宅项目，综合评价居住社区成熟度一般</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</si>
  <si>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</si>
  <si>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</si>
  <si>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</si>
  <si>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</si>
  <si>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</si>
  <si>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</si>
  <si>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</si>
  <si>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</si>
  <si>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</si>
  <si>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</si>
  <si>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</si>
  <si>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</si>
  <si>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</si>
  <si>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</si>
  <si>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</si>
  <si>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</si>
  <si>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</si>
  <si>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</si>
  <si>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</si>
  <si>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</si>
  <si>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</si>
  <si>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</si>
  <si>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</si>
  <si>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</si>
  <si>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</si>
  <si>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</si>
  <si>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</si>
  <si>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</si>
  <si>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</si>
  <si>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</si>
  <si>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</si>
  <si>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</si>
  <si>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</si>
  <si>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</si>
  <si>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</si>
  <si>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</si>
  <si>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</si>
  <si>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</si>
  <si>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</si>
  <si>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</si>
  <si>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</si>
  <si>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</si>
  <si>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</si>
  <si>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</si>
  <si>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</si>
  <si>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</si>
  <si>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</si>
  <si>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</si>
  <si>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</si>
  <si>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</si>
  <si>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</si>
  <si>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</si>
  <si>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</si>
  <si>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</si>
  <si>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</si>
  <si>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</si>
  <si>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</si>
  <si>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</si>
  <si>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</si>
  <si>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</si>
  <si>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</si>
  <si>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</si>
  <si>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</si>
  <si>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</si>
  <si>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</si>
  <si>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</si>
  <si>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</si>
  <si>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</si>
  <si>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</si>
  <si>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</si>
  <si>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</si>
  <si>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</si>
  <si>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</si>
  <si>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</si>
  <si>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</si>
  <si>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</si>
  <si>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</si>
  <si>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</si>
  <si>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</si>
  <si>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</si>
  <si>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</si>
  <si>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</si>
  <si>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</si>
  <si>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</si>
  <si>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</si>
  <si>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</si>
  <si>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</si>
  <si>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</si>
  <si>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</si>
  <si>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</si>
  <si>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</si>
  <si>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</si>
  <si>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</si>
  <si>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</si>
  <si>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</si>
  <si>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</si>
  <si>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</si>
  <si>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</si>
  <si>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</si>
  <si>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</si>
  <si>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</si>
  <si>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</si>
  <si>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r>
      <t>1</t>
    </r>
    <r>
      <rPr>
        <sz val="11"/>
        <color theme="1"/>
        <rFont val="宋体"/>
        <family val="3"/>
        <charset val="134"/>
        <scheme val="minor"/>
      </rPr>
      <t>7#</t>
    </r>
    <phoneticPr fontId="142" type="noConversion"/>
  </si>
  <si>
    <t>层次</t>
    <phoneticPr fontId="142" type="noConversion"/>
  </si>
  <si>
    <t>户室号</t>
    <phoneticPr fontId="142" type="noConversion"/>
  </si>
  <si>
    <t>建筑面积</t>
    <phoneticPr fontId="142" type="noConversion"/>
  </si>
  <si>
    <t>规划用途</t>
    <phoneticPr fontId="142" type="noConversion"/>
  </si>
  <si>
    <t>住宅</t>
    <phoneticPr fontId="142" type="noConversion"/>
  </si>
  <si>
    <t>住宅</t>
    <phoneticPr fontId="142" type="noConversion"/>
  </si>
  <si>
    <t>合计</t>
    <phoneticPr fontId="142" type="noConversion"/>
  </si>
  <si>
    <t>——</t>
    <phoneticPr fontId="142" type="noConversion"/>
  </si>
  <si>
    <r>
      <t>1</t>
    </r>
    <r>
      <rPr>
        <sz val="11"/>
        <color theme="1"/>
        <rFont val="宋体"/>
        <family val="3"/>
        <charset val="134"/>
        <scheme val="minor"/>
      </rPr>
      <t>8#</t>
    </r>
    <phoneticPr fontId="142" type="noConversion"/>
  </si>
  <si>
    <t>设备</t>
    <phoneticPr fontId="142" type="noConversion"/>
  </si>
  <si>
    <t>合计</t>
    <phoneticPr fontId="142" type="noConversion"/>
  </si>
  <si>
    <r>
      <t>1</t>
    </r>
    <r>
      <rPr>
        <sz val="11"/>
        <color theme="1"/>
        <rFont val="宋体"/>
        <family val="3"/>
        <charset val="134"/>
        <scheme val="minor"/>
      </rPr>
      <t>9#</t>
    </r>
    <phoneticPr fontId="142" type="noConversion"/>
  </si>
  <si>
    <r>
      <t>2</t>
    </r>
    <r>
      <rPr>
        <sz val="11"/>
        <color theme="1"/>
        <rFont val="宋体"/>
        <family val="3"/>
        <charset val="134"/>
        <scheme val="minor"/>
      </rPr>
      <t>0#</t>
    </r>
    <phoneticPr fontId="142" type="noConversion"/>
  </si>
  <si>
    <t>克拉项目需要解押明细表</t>
    <phoneticPr fontId="142" type="noConversion"/>
  </si>
  <si>
    <t>项目</t>
  </si>
  <si>
    <t>序号</t>
  </si>
  <si>
    <t>产品类型</t>
  </si>
  <si>
    <t>认购日期</t>
  </si>
  <si>
    <t>网签日期</t>
  </si>
  <si>
    <t>房号</t>
  </si>
  <si>
    <t>姓名</t>
  </si>
  <si>
    <t>付款方式</t>
  </si>
  <si>
    <t>面积</t>
  </si>
  <si>
    <t>合同总价</t>
  </si>
  <si>
    <t xml:space="preserve">已到帐金额 </t>
  </si>
  <si>
    <t>未回笼总金额</t>
  </si>
  <si>
    <t>17-1104</t>
    <phoneticPr fontId="142" type="noConversion"/>
  </si>
  <si>
    <t>不抵押面积</t>
    <phoneticPr fontId="142" type="noConversion"/>
  </si>
  <si>
    <t>克拉</t>
    <phoneticPr fontId="142" type="noConversion"/>
  </si>
  <si>
    <t>17-1202</t>
  </si>
  <si>
    <t>李永强</t>
  </si>
  <si>
    <t>一次性</t>
  </si>
  <si>
    <t>17#</t>
    <phoneticPr fontId="142" type="noConversion"/>
  </si>
  <si>
    <t>17-1204</t>
    <phoneticPr fontId="142" type="noConversion"/>
  </si>
  <si>
    <r>
      <t>1</t>
    </r>
    <r>
      <rPr>
        <sz val="11"/>
        <color theme="1"/>
        <rFont val="宋体"/>
        <family val="3"/>
        <charset val="134"/>
        <scheme val="minor"/>
      </rPr>
      <t>8#</t>
    </r>
    <phoneticPr fontId="142" type="noConversion"/>
  </si>
  <si>
    <t>17-1304</t>
    <phoneticPr fontId="142" type="noConversion"/>
  </si>
  <si>
    <t>17-1404</t>
    <phoneticPr fontId="142" type="noConversion"/>
  </si>
  <si>
    <r>
      <t>20#</t>
    </r>
    <r>
      <rPr>
        <sz val="11"/>
        <color theme="1"/>
        <rFont val="宋体"/>
        <family val="3"/>
        <charset val="134"/>
        <scheme val="minor"/>
      </rPr>
      <t/>
    </r>
  </si>
  <si>
    <t>17-1504</t>
    <phoneticPr fontId="142" type="noConversion"/>
  </si>
  <si>
    <t>17-1604</t>
    <phoneticPr fontId="142" type="noConversion"/>
  </si>
  <si>
    <t>17-1704</t>
    <phoneticPr fontId="142" type="noConversion"/>
  </si>
  <si>
    <t>克拉</t>
    <phoneticPr fontId="142" type="noConversion"/>
  </si>
  <si>
    <t>17-1802</t>
  </si>
  <si>
    <t>周艳红/肖久松</t>
  </si>
  <si>
    <t>17-1804</t>
    <phoneticPr fontId="142" type="noConversion"/>
  </si>
  <si>
    <t>17-1904</t>
    <phoneticPr fontId="142" type="noConversion"/>
  </si>
  <si>
    <t>克拉</t>
    <phoneticPr fontId="142" type="noConversion"/>
  </si>
  <si>
    <t>17-2002</t>
  </si>
  <si>
    <t>肖琼</t>
  </si>
  <si>
    <t>17-2102</t>
  </si>
  <si>
    <t>张金顺/黄海林</t>
    <phoneticPr fontId="3" type="noConversion"/>
  </si>
  <si>
    <t>一次性</t>
    <phoneticPr fontId="3" type="noConversion"/>
  </si>
  <si>
    <t>17-2202</t>
  </si>
  <si>
    <t>吴宇锋</t>
  </si>
  <si>
    <t>17-2204</t>
    <phoneticPr fontId="142" type="noConversion"/>
  </si>
  <si>
    <t>17-2401</t>
  </si>
  <si>
    <t>杨菊兰</t>
  </si>
  <si>
    <t>克拉</t>
    <phoneticPr fontId="142" type="noConversion"/>
  </si>
  <si>
    <t>17-2402</t>
  </si>
  <si>
    <t>吴立芳</t>
  </si>
  <si>
    <t>17-2502</t>
  </si>
  <si>
    <t>黄鑫/许炎</t>
  </si>
  <si>
    <t>17-2602</t>
  </si>
  <si>
    <t>陈盛</t>
  </si>
  <si>
    <t>17-2701</t>
  </si>
  <si>
    <t>吴炼</t>
    <phoneticPr fontId="3" type="noConversion"/>
  </si>
  <si>
    <t>一次性</t>
    <phoneticPr fontId="3" type="noConversion"/>
  </si>
  <si>
    <t>17-2702</t>
  </si>
  <si>
    <t>陈镜霆</t>
  </si>
  <si>
    <t>克拉</t>
    <phoneticPr fontId="142" type="noConversion"/>
  </si>
  <si>
    <t>17-2802</t>
  </si>
  <si>
    <t>谭希尧/李梦欣</t>
  </si>
  <si>
    <t>17-2804</t>
    <phoneticPr fontId="142" type="noConversion"/>
  </si>
  <si>
    <t>17-2902</t>
  </si>
  <si>
    <t>何晓玲</t>
  </si>
  <si>
    <t>17-3002</t>
  </si>
  <si>
    <t>罗婷</t>
    <phoneticPr fontId="3" type="noConversion"/>
  </si>
  <si>
    <t>一次性</t>
    <phoneticPr fontId="3" type="noConversion"/>
  </si>
  <si>
    <t>17-604</t>
    <phoneticPr fontId="142" type="noConversion"/>
  </si>
  <si>
    <t>17-904</t>
    <phoneticPr fontId="142" type="noConversion"/>
  </si>
  <si>
    <t>18-1003</t>
    <phoneticPr fontId="142" type="noConversion"/>
  </si>
  <si>
    <t>18-1004</t>
    <phoneticPr fontId="142" type="noConversion"/>
  </si>
  <si>
    <t>18-101</t>
    <phoneticPr fontId="142" type="noConversion"/>
  </si>
  <si>
    <t>克拉</t>
    <phoneticPr fontId="142" type="noConversion"/>
  </si>
  <si>
    <t>18-102</t>
  </si>
  <si>
    <t>段娜</t>
    <phoneticPr fontId="3" type="noConversion"/>
  </si>
  <si>
    <t>一次性</t>
    <phoneticPr fontId="3" type="noConversion"/>
  </si>
  <si>
    <t>18-103</t>
    <phoneticPr fontId="142" type="noConversion"/>
  </si>
  <si>
    <t>18-104</t>
    <phoneticPr fontId="142" type="noConversion"/>
  </si>
  <si>
    <t>18-1101</t>
    <phoneticPr fontId="142" type="noConversion"/>
  </si>
  <si>
    <t>18-1103</t>
    <phoneticPr fontId="142" type="noConversion"/>
  </si>
  <si>
    <t>18-1104</t>
    <phoneticPr fontId="142" type="noConversion"/>
  </si>
  <si>
    <t>18-1201</t>
    <phoneticPr fontId="142" type="noConversion"/>
  </si>
  <si>
    <t>18-1202</t>
  </si>
  <si>
    <t>李艳飞</t>
  </si>
  <si>
    <t>18-1203</t>
    <phoneticPr fontId="142" type="noConversion"/>
  </si>
  <si>
    <t>18-1204</t>
    <phoneticPr fontId="142" type="noConversion"/>
  </si>
  <si>
    <t>18-1301</t>
    <phoneticPr fontId="142" type="noConversion"/>
  </si>
  <si>
    <t>18-1302</t>
  </si>
  <si>
    <t>李志威</t>
  </si>
  <si>
    <t>18-1303</t>
    <phoneticPr fontId="142" type="noConversion"/>
  </si>
  <si>
    <t>18-1304</t>
    <phoneticPr fontId="142" type="noConversion"/>
  </si>
  <si>
    <t>18-1401</t>
    <phoneticPr fontId="142" type="noConversion"/>
  </si>
  <si>
    <t>18-1404</t>
    <phoneticPr fontId="142" type="noConversion"/>
  </si>
  <si>
    <t>18-1501</t>
    <phoneticPr fontId="142" type="noConversion"/>
  </si>
  <si>
    <t>18-1503</t>
    <phoneticPr fontId="142" type="noConversion"/>
  </si>
  <si>
    <t>18-1504</t>
    <phoneticPr fontId="142" type="noConversion"/>
  </si>
  <si>
    <t>18-1601</t>
    <phoneticPr fontId="142" type="noConversion"/>
  </si>
  <si>
    <t>18-1603</t>
    <phoneticPr fontId="142" type="noConversion"/>
  </si>
  <si>
    <t>18-1604</t>
    <phoneticPr fontId="142" type="noConversion"/>
  </si>
  <si>
    <t>18-1701</t>
    <phoneticPr fontId="142" type="noConversion"/>
  </si>
  <si>
    <t>18-1702</t>
  </si>
  <si>
    <t>戴树宏</t>
  </si>
  <si>
    <t>18-1703</t>
    <phoneticPr fontId="142" type="noConversion"/>
  </si>
  <si>
    <t>18-1704</t>
    <phoneticPr fontId="142" type="noConversion"/>
  </si>
  <si>
    <t>18-1901</t>
    <phoneticPr fontId="142" type="noConversion"/>
  </si>
  <si>
    <t>18-1902</t>
  </si>
  <si>
    <t>李松林</t>
  </si>
  <si>
    <t>18-1904</t>
    <phoneticPr fontId="142" type="noConversion"/>
  </si>
  <si>
    <t>18-2001</t>
    <phoneticPr fontId="142" type="noConversion"/>
  </si>
  <si>
    <t>18-2004</t>
    <phoneticPr fontId="142" type="noConversion"/>
  </si>
  <si>
    <t>18-201</t>
    <phoneticPr fontId="142" type="noConversion"/>
  </si>
  <si>
    <t>18-203</t>
    <phoneticPr fontId="142" type="noConversion"/>
  </si>
  <si>
    <t>18-204</t>
    <phoneticPr fontId="142" type="noConversion"/>
  </si>
  <si>
    <t>18-2101</t>
    <phoneticPr fontId="142" type="noConversion"/>
  </si>
  <si>
    <t>18-2102</t>
  </si>
  <si>
    <t>周喜生</t>
  </si>
  <si>
    <t>18-2104</t>
    <phoneticPr fontId="142" type="noConversion"/>
  </si>
  <si>
    <t>18-2204</t>
    <phoneticPr fontId="142" type="noConversion"/>
  </si>
  <si>
    <t>18-2301</t>
    <phoneticPr fontId="142" type="noConversion"/>
  </si>
  <si>
    <t>18-2302</t>
  </si>
  <si>
    <t>周剑良</t>
  </si>
  <si>
    <t>18-2304</t>
    <phoneticPr fontId="142" type="noConversion"/>
  </si>
  <si>
    <t>18-2401</t>
    <phoneticPr fontId="142" type="noConversion"/>
  </si>
  <si>
    <t>18-2501</t>
    <phoneticPr fontId="142" type="noConversion"/>
  </si>
  <si>
    <t>18-2504</t>
    <phoneticPr fontId="142" type="noConversion"/>
  </si>
  <si>
    <t>18-2601</t>
    <phoneticPr fontId="142" type="noConversion"/>
  </si>
  <si>
    <t>18-2604</t>
    <phoneticPr fontId="142" type="noConversion"/>
  </si>
  <si>
    <t>18-2701</t>
  </si>
  <si>
    <t>周冬生</t>
    <phoneticPr fontId="3" type="noConversion"/>
  </si>
  <si>
    <t>18-2703</t>
    <phoneticPr fontId="142" type="noConversion"/>
  </si>
  <si>
    <t>18-2704</t>
    <phoneticPr fontId="142" type="noConversion"/>
  </si>
  <si>
    <t>18-2801</t>
    <phoneticPr fontId="142" type="noConversion"/>
  </si>
  <si>
    <t>18-2804</t>
    <phoneticPr fontId="142" type="noConversion"/>
  </si>
  <si>
    <t>18-2901</t>
    <phoneticPr fontId="142" type="noConversion"/>
  </si>
  <si>
    <t>18-2903</t>
    <phoneticPr fontId="142" type="noConversion"/>
  </si>
  <si>
    <t>18-3003</t>
    <phoneticPr fontId="142" type="noConversion"/>
  </si>
  <si>
    <t>18-3004</t>
    <phoneticPr fontId="142" type="noConversion"/>
  </si>
  <si>
    <t>18-304</t>
    <phoneticPr fontId="142" type="noConversion"/>
  </si>
  <si>
    <t>18-3102</t>
  </si>
  <si>
    <t>谭莎</t>
  </si>
  <si>
    <t>18-3202</t>
  </si>
  <si>
    <t>郑春蓉/谭智</t>
  </si>
  <si>
    <t>省公积金</t>
  </si>
  <si>
    <t>18-503</t>
    <phoneticPr fontId="142" type="noConversion"/>
  </si>
  <si>
    <t>18-504</t>
    <phoneticPr fontId="142" type="noConversion"/>
  </si>
  <si>
    <t>18-601</t>
    <phoneticPr fontId="142" type="noConversion"/>
  </si>
  <si>
    <t>18-603</t>
    <phoneticPr fontId="142" type="noConversion"/>
  </si>
  <si>
    <t>18-604</t>
    <phoneticPr fontId="142" type="noConversion"/>
  </si>
  <si>
    <t>18-701</t>
    <phoneticPr fontId="142" type="noConversion"/>
  </si>
  <si>
    <t>18-703</t>
    <phoneticPr fontId="142" type="noConversion"/>
  </si>
  <si>
    <t>18-704</t>
    <phoneticPr fontId="142" type="noConversion"/>
  </si>
  <si>
    <t>18-801</t>
    <phoneticPr fontId="142" type="noConversion"/>
  </si>
  <si>
    <t>18-803</t>
    <phoneticPr fontId="142" type="noConversion"/>
  </si>
  <si>
    <t>18-804</t>
    <phoneticPr fontId="142" type="noConversion"/>
  </si>
  <si>
    <t>18-903</t>
    <phoneticPr fontId="142" type="noConversion"/>
  </si>
  <si>
    <t>18-904</t>
    <phoneticPr fontId="142" type="noConversion"/>
  </si>
  <si>
    <t>19-1002</t>
    <phoneticPr fontId="142" type="noConversion"/>
  </si>
  <si>
    <t>19-1003</t>
    <phoneticPr fontId="142" type="noConversion"/>
  </si>
  <si>
    <t>19-103</t>
    <phoneticPr fontId="142" type="noConversion"/>
  </si>
  <si>
    <t>19-1102</t>
    <phoneticPr fontId="142" type="noConversion"/>
  </si>
  <si>
    <t>19-1103</t>
    <phoneticPr fontId="142" type="noConversion"/>
  </si>
  <si>
    <t>19-1202</t>
    <phoneticPr fontId="142" type="noConversion"/>
  </si>
  <si>
    <t>19-1203</t>
    <phoneticPr fontId="142" type="noConversion"/>
  </si>
  <si>
    <t>19-1302</t>
    <phoneticPr fontId="142" type="noConversion"/>
  </si>
  <si>
    <t>19-1303</t>
    <phoneticPr fontId="142" type="noConversion"/>
  </si>
  <si>
    <t>19-1502</t>
    <phoneticPr fontId="142" type="noConversion"/>
  </si>
  <si>
    <t>19-1503</t>
    <phoneticPr fontId="142" type="noConversion"/>
  </si>
  <si>
    <t>19-1602</t>
    <phoneticPr fontId="142" type="noConversion"/>
  </si>
  <si>
    <t>19-1603</t>
    <phoneticPr fontId="142" type="noConversion"/>
  </si>
  <si>
    <t>19-1703</t>
    <phoneticPr fontId="142" type="noConversion"/>
  </si>
  <si>
    <t>19-1803</t>
    <phoneticPr fontId="142" type="noConversion"/>
  </si>
  <si>
    <t>19-2003</t>
    <phoneticPr fontId="142" type="noConversion"/>
  </si>
  <si>
    <t>19-2201</t>
  </si>
  <si>
    <t>周娜</t>
    <phoneticPr fontId="3" type="noConversion"/>
  </si>
  <si>
    <t>19-2202</t>
    <phoneticPr fontId="142" type="noConversion"/>
  </si>
  <si>
    <t>19-2303</t>
    <phoneticPr fontId="142" type="noConversion"/>
  </si>
  <si>
    <t>19-2604</t>
  </si>
  <si>
    <t>陈诚/刘霞</t>
  </si>
  <si>
    <t>19-2902</t>
    <phoneticPr fontId="142" type="noConversion"/>
  </si>
  <si>
    <t>19-3002</t>
    <phoneticPr fontId="142" type="noConversion"/>
  </si>
  <si>
    <t>19-503</t>
    <phoneticPr fontId="142" type="noConversion"/>
  </si>
  <si>
    <t>19-603</t>
    <phoneticPr fontId="142" type="noConversion"/>
  </si>
  <si>
    <t>19-703</t>
    <phoneticPr fontId="142" type="noConversion"/>
  </si>
  <si>
    <t>19-903</t>
    <phoneticPr fontId="142" type="noConversion"/>
  </si>
  <si>
    <t>20-1003</t>
    <phoneticPr fontId="142" type="noConversion"/>
  </si>
  <si>
    <t>20-1103</t>
    <phoneticPr fontId="142" type="noConversion"/>
  </si>
  <si>
    <t>20-1202</t>
    <phoneticPr fontId="142" type="noConversion"/>
  </si>
  <si>
    <t>20-1203</t>
    <phoneticPr fontId="142" type="noConversion"/>
  </si>
  <si>
    <t>20-1302</t>
    <phoneticPr fontId="142" type="noConversion"/>
  </si>
  <si>
    <t>20-1303</t>
    <phoneticPr fontId="142" type="noConversion"/>
  </si>
  <si>
    <t>20-1304</t>
    <phoneticPr fontId="142" type="noConversion"/>
  </si>
  <si>
    <t>20-1402</t>
    <phoneticPr fontId="142" type="noConversion"/>
  </si>
  <si>
    <t>20-1501</t>
    <phoneticPr fontId="142" type="noConversion"/>
  </si>
  <si>
    <t>20-1502</t>
    <phoneticPr fontId="142" type="noConversion"/>
  </si>
  <si>
    <t>20-1503</t>
    <phoneticPr fontId="142" type="noConversion"/>
  </si>
  <si>
    <t>20-1504</t>
    <phoneticPr fontId="142" type="noConversion"/>
  </si>
  <si>
    <t>20-1601</t>
    <phoneticPr fontId="142" type="noConversion"/>
  </si>
  <si>
    <t>20-1602</t>
    <phoneticPr fontId="142" type="noConversion"/>
  </si>
  <si>
    <t>20-1603</t>
    <phoneticPr fontId="142" type="noConversion"/>
  </si>
  <si>
    <t>20-1604</t>
    <phoneticPr fontId="142" type="noConversion"/>
  </si>
  <si>
    <t>20-1701</t>
    <phoneticPr fontId="142" type="noConversion"/>
  </si>
  <si>
    <t>20-1702</t>
    <phoneticPr fontId="142" type="noConversion"/>
  </si>
  <si>
    <t>20-1703</t>
    <phoneticPr fontId="142" type="noConversion"/>
  </si>
  <si>
    <t>20-1704</t>
    <phoneticPr fontId="142" type="noConversion"/>
  </si>
  <si>
    <t>20-1803</t>
    <phoneticPr fontId="142" type="noConversion"/>
  </si>
  <si>
    <t>20-1901</t>
    <phoneticPr fontId="142" type="noConversion"/>
  </si>
  <si>
    <t>20-1902</t>
    <phoneticPr fontId="142" type="noConversion"/>
  </si>
  <si>
    <t>20-1903</t>
    <phoneticPr fontId="142" type="noConversion"/>
  </si>
  <si>
    <t>20-1904</t>
    <phoneticPr fontId="142" type="noConversion"/>
  </si>
  <si>
    <t>20-2001</t>
  </si>
  <si>
    <t>刘建新</t>
  </si>
  <si>
    <t>20-2002</t>
    <phoneticPr fontId="142" type="noConversion"/>
  </si>
  <si>
    <t>20-2003</t>
    <phoneticPr fontId="142" type="noConversion"/>
  </si>
  <si>
    <t>20-2004</t>
    <phoneticPr fontId="142" type="noConversion"/>
  </si>
  <si>
    <t>20-2101</t>
  </si>
  <si>
    <t>周敏/吴江慧</t>
  </si>
  <si>
    <t>20-2103</t>
    <phoneticPr fontId="142" type="noConversion"/>
  </si>
  <si>
    <t>20-2104</t>
    <phoneticPr fontId="142" type="noConversion"/>
  </si>
  <si>
    <t>20-2201</t>
  </si>
  <si>
    <t>许勇/欧阳芳</t>
  </si>
  <si>
    <t>20-2202</t>
    <phoneticPr fontId="142" type="noConversion"/>
  </si>
  <si>
    <t>20-2203</t>
    <phoneticPr fontId="142" type="noConversion"/>
  </si>
  <si>
    <t>20-2303</t>
    <phoneticPr fontId="142" type="noConversion"/>
  </si>
  <si>
    <t>20-2404</t>
  </si>
  <si>
    <t>李康俊/杨昕悦</t>
  </si>
  <si>
    <t>20-2601</t>
  </si>
  <si>
    <t>王智娟</t>
  </si>
  <si>
    <t>20-2603</t>
    <phoneticPr fontId="142" type="noConversion"/>
  </si>
  <si>
    <t>20-2803</t>
    <phoneticPr fontId="142" type="noConversion"/>
  </si>
  <si>
    <t>20-2804</t>
  </si>
  <si>
    <t>吴赛/吴婷</t>
  </si>
  <si>
    <t>20-302</t>
    <phoneticPr fontId="142" type="noConversion"/>
  </si>
  <si>
    <t>20-3201</t>
  </si>
  <si>
    <t>陈红斌</t>
  </si>
  <si>
    <t>20-702</t>
    <phoneticPr fontId="142" type="noConversion"/>
  </si>
  <si>
    <t>20-803</t>
    <phoneticPr fontId="142" type="noConversion"/>
  </si>
  <si>
    <t>20-903</t>
    <phoneticPr fontId="142" type="noConversion"/>
  </si>
  <si>
    <t>住宅</t>
    <phoneticPr fontId="142" type="noConversion"/>
  </si>
  <si>
    <t>住宅</t>
    <phoneticPr fontId="142" type="noConversion"/>
  </si>
  <si>
    <t>住宅</t>
    <phoneticPr fontId="142" type="noConversion"/>
  </si>
  <si>
    <t>住宅</t>
    <phoneticPr fontId="142" type="noConversion"/>
  </si>
  <si>
    <t>抵押面积</t>
    <phoneticPr fontId="142" type="noConversion"/>
  </si>
  <si>
    <t>抵押面积</t>
    <phoneticPr fontId="142" type="noConversion"/>
  </si>
  <si>
    <t>抵押面积</t>
    <phoneticPr fontId="142" type="noConversion"/>
  </si>
  <si>
    <t>住宅、商业</t>
    <phoneticPr fontId="31"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</si>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</sst>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10"/>
      <name val="新宋体"/>
      <family val="3"/>
      <charset val="134"/>
    </font>
    <font>
      <sz val="9"/>
      <color indexed="8"/>
      <name val="宋体"/>
      <family val="3"/>
      <charset val="134"/>
      <scheme val="major"/>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1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36" fillId="0" borderId="0">
      <alignment vertical="center"/>
    </xf>
    <xf numFmtId="0" fontId="193" fillId="0" borderId="0">
      <alignment vertical="center"/>
    </xf>
    <xf numFmtId="0" fontId="55" fillId="0" borderId="0"/>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0" fontId="0" fillId="0" borderId="1" xfId="0" applyBorder="1" applyAlignment="1">
      <alignment horizontal="left" vertical="center"/>
    </xf>
    <xf numFmtId="0" fontId="98" fillId="5" borderId="1" xfId="0" applyFont="1" applyFill="1" applyBorder="1" applyAlignment="1">
      <alignment horizontal="left" vertical="center"/>
    </xf>
    <xf numFmtId="0" fontId="19" fillId="7" borderId="13" xfId="13" applyFont="1" applyFill="1" applyBorder="1" applyAlignment="1">
      <alignment horizontal="center" vertical="center" wrapText="1"/>
    </xf>
    <xf numFmtId="196" fontId="19" fillId="7" borderId="13" xfId="13" applyNumberFormat="1" applyFont="1" applyFill="1" applyBorder="1" applyAlignment="1">
      <alignment horizontal="center" vertical="center" wrapText="1"/>
    </xf>
    <xf numFmtId="0" fontId="19" fillId="7" borderId="13" xfId="13" applyNumberFormat="1" applyFont="1" applyFill="1" applyBorder="1" applyAlignment="1">
      <alignment horizontal="center" vertical="center" wrapText="1"/>
    </xf>
    <xf numFmtId="0" fontId="3" fillId="7" borderId="13" xfId="13" applyFont="1" applyFill="1" applyBorder="1" applyAlignment="1">
      <alignment horizontal="center" vertical="center" wrapText="1"/>
    </xf>
    <xf numFmtId="0" fontId="3" fillId="7" borderId="13" xfId="13" applyNumberFormat="1" applyFont="1" applyFill="1" applyBorder="1" applyAlignment="1">
      <alignment horizontal="center" vertical="center" wrapText="1"/>
    </xf>
    <xf numFmtId="179" fontId="3" fillId="7" borderId="13" xfId="13" applyNumberFormat="1" applyFont="1" applyFill="1" applyBorder="1" applyAlignment="1">
      <alignment horizontal="center" vertical="center" wrapText="1"/>
    </xf>
    <xf numFmtId="179" fontId="19" fillId="7" borderId="13" xfId="13" applyNumberFormat="1" applyFont="1" applyFill="1" applyBorder="1" applyAlignment="1">
      <alignment horizontal="center" vertical="center" wrapText="1"/>
    </xf>
    <xf numFmtId="197" fontId="19" fillId="7" borderId="13" xfId="13" applyNumberFormat="1" applyFont="1" applyFill="1" applyBorder="1" applyAlignment="1">
      <alignment horizontal="center" vertical="center" wrapText="1"/>
    </xf>
    <xf numFmtId="197" fontId="19" fillId="7" borderId="1" xfId="13" applyNumberFormat="1" applyFont="1" applyFill="1" applyBorder="1" applyAlignment="1">
      <alignment horizontal="center" vertical="center" wrapText="1"/>
    </xf>
    <xf numFmtId="0" fontId="0" fillId="0" borderId="1" xfId="0" applyBorder="1">
      <alignment vertical="center"/>
    </xf>
    <xf numFmtId="0" fontId="0" fillId="0" borderId="1" xfId="0" applyNumberFormat="1" applyBorder="1">
      <alignment vertical="center"/>
    </xf>
    <xf numFmtId="0" fontId="100" fillId="0" borderId="1" xfId="0" applyFont="1" applyBorder="1">
      <alignment vertical="center"/>
    </xf>
    <xf numFmtId="0" fontId="0" fillId="0" borderId="0" xfId="0" applyAlignment="1">
      <alignment horizontal="center" vertical="center"/>
    </xf>
    <xf numFmtId="0" fontId="98" fillId="0" borderId="0" xfId="0" applyFont="1" applyAlignment="1">
      <alignment horizontal="center" vertical="center"/>
    </xf>
    <xf numFmtId="0" fontId="19" fillId="7" borderId="1" xfId="13" applyFont="1" applyFill="1" applyBorder="1" applyAlignment="1">
      <alignment horizontal="center" vertical="center"/>
    </xf>
    <xf numFmtId="0" fontId="129" fillId="7" borderId="1" xfId="14" applyFont="1" applyFill="1" applyBorder="1" applyAlignment="1">
      <alignment horizontal="center" vertical="center"/>
    </xf>
    <xf numFmtId="14" fontId="3" fillId="0" borderId="1" xfId="0" applyNumberFormat="1" applyFont="1" applyBorder="1" applyAlignment="1">
      <alignment horizontal="center" vertical="center"/>
    </xf>
    <xf numFmtId="0" fontId="255" fillId="0" borderId="1" xfId="2" applyNumberFormat="1" applyFont="1" applyFill="1" applyBorder="1" applyAlignment="1">
      <alignment horizontal="center" vertical="center"/>
    </xf>
    <xf numFmtId="0" fontId="3" fillId="0" borderId="1" xfId="0" applyFont="1" applyBorder="1" applyAlignment="1">
      <alignment horizontal="center" vertical="center"/>
    </xf>
    <xf numFmtId="179" fontId="3" fillId="0" borderId="1" xfId="0" applyNumberFormat="1" applyFont="1" applyBorder="1" applyAlignment="1">
      <alignment horizontal="center" vertical="center"/>
    </xf>
    <xf numFmtId="197" fontId="129" fillId="7" borderId="1" xfId="14" applyNumberFormat="1" applyFont="1" applyFill="1" applyBorder="1" applyAlignment="1">
      <alignment horizontal="center" vertical="center"/>
    </xf>
    <xf numFmtId="0" fontId="0" fillId="0" borderId="156" xfId="0" applyBorder="1">
      <alignment vertical="center"/>
    </xf>
    <xf numFmtId="0" fontId="0" fillId="0" borderId="157" xfId="0" applyBorder="1">
      <alignment vertical="center"/>
    </xf>
    <xf numFmtId="179" fontId="0" fillId="0" borderId="0" xfId="0" applyNumberFormat="1" applyAlignment="1">
      <alignment horizontal="center" vertical="center"/>
    </xf>
    <xf numFmtId="0" fontId="0" fillId="0" borderId="157" xfId="0" applyNumberFormat="1" applyBorder="1">
      <alignment vertical="center"/>
    </xf>
    <xf numFmtId="0" fontId="100" fillId="0" borderId="157" xfId="0" applyFont="1" applyBorder="1">
      <alignment vertical="center"/>
    </xf>
    <xf numFmtId="0" fontId="19" fillId="7" borderId="157" xfId="13" applyFont="1" applyFill="1" applyBorder="1" applyAlignment="1">
      <alignment horizontal="center" vertical="center"/>
    </xf>
    <xf numFmtId="0" fontId="129" fillId="7" borderId="157" xfId="14" applyFont="1" applyFill="1" applyBorder="1" applyAlignment="1">
      <alignment horizontal="center" vertical="center"/>
    </xf>
    <xf numFmtId="14" fontId="3" fillId="0" borderId="157" xfId="0" applyNumberFormat="1" applyFont="1" applyBorder="1" applyAlignment="1">
      <alignment horizontal="center" vertical="center"/>
    </xf>
    <xf numFmtId="0" fontId="129" fillId="7" borderId="157" xfId="14" applyNumberFormat="1" applyFont="1" applyFill="1" applyBorder="1" applyAlignment="1">
      <alignment horizontal="center" vertical="center"/>
    </xf>
    <xf numFmtId="0" fontId="3" fillId="0" borderId="157" xfId="0" applyFont="1" applyBorder="1" applyAlignment="1">
      <alignment horizontal="center" vertical="center"/>
    </xf>
    <xf numFmtId="179" fontId="3" fillId="0" borderId="157" xfId="0" applyNumberFormat="1" applyFont="1" applyBorder="1" applyAlignment="1">
      <alignment horizontal="center" vertical="center"/>
    </xf>
    <xf numFmtId="197" fontId="129" fillId="7" borderId="157" xfId="14" applyNumberFormat="1" applyFont="1" applyFill="1" applyBorder="1" applyAlignment="1">
      <alignment horizontal="center" vertical="center"/>
    </xf>
    <xf numFmtId="0" fontId="256" fillId="0" borderId="157" xfId="0" applyFont="1" applyFill="1" applyBorder="1" applyAlignment="1" applyProtection="1">
      <alignment horizontal="center" vertical="center"/>
      <protection locked="0"/>
    </xf>
    <xf numFmtId="0" fontId="3" fillId="0" borderId="156" xfId="0" applyFont="1" applyBorder="1" applyAlignment="1">
      <alignment horizontal="center" vertical="center"/>
    </xf>
    <xf numFmtId="0" fontId="255" fillId="0" borderId="157" xfId="2" applyNumberFormat="1" applyFont="1" applyFill="1" applyBorder="1" applyAlignment="1">
      <alignment horizontal="center" vertical="center"/>
    </xf>
    <xf numFmtId="0" fontId="0" fillId="0" borderId="0" xfId="0" applyNumberFormat="1">
      <alignment vertical="center"/>
    </xf>
    <xf numFmtId="0" fontId="100" fillId="0" borderId="0" xfId="0" applyFont="1">
      <alignment vertical="center"/>
    </xf>
    <xf numFmtId="0" fontId="19" fillId="7" borderId="0" xfId="13" applyFont="1" applyFill="1" applyBorder="1" applyAlignment="1">
      <alignment horizontal="center" vertical="center"/>
    </xf>
    <xf numFmtId="0" fontId="129" fillId="7" borderId="0" xfId="14" applyFont="1" applyFill="1" applyBorder="1" applyAlignment="1">
      <alignment horizontal="center" vertical="center"/>
    </xf>
    <xf numFmtId="1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79" fontId="3" fillId="0" borderId="0" xfId="0" applyNumberFormat="1" applyFont="1" applyBorder="1" applyAlignment="1">
      <alignment horizontal="center" vertical="center"/>
    </xf>
    <xf numFmtId="197" fontId="129" fillId="7" borderId="0" xfId="14" applyNumberFormat="1" applyFont="1" applyFill="1" applyBorder="1" applyAlignment="1">
      <alignment horizontal="center" vertical="center"/>
    </xf>
    <xf numFmtId="0" fontId="98" fillId="0" borderId="0" xfId="0" applyFont="1">
      <alignment vertical="center"/>
    </xf>
    <xf numFmtId="1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79" fontId="3" fillId="0" borderId="0" xfId="0" applyNumberFormat="1" applyFont="1" applyFill="1" applyBorder="1" applyAlignment="1">
      <alignment horizontal="center" vertical="center"/>
    </xf>
    <xf numFmtId="0" fontId="239" fillId="0" borderId="0" xfId="15" applyFont="1" applyFill="1" applyBorder="1" applyAlignment="1">
      <alignment horizontal="center" vertical="center" wrapText="1"/>
    </xf>
    <xf numFmtId="0" fontId="19" fillId="7" borderId="0" xfId="13" applyNumberFormat="1" applyFont="1" applyFill="1" applyBorder="1" applyAlignment="1">
      <alignment horizontal="center" vertical="center"/>
    </xf>
    <xf numFmtId="0" fontId="257" fillId="7" borderId="0" xfId="13" applyFont="1" applyFill="1" applyBorder="1" applyAlignment="1">
      <alignment horizontal="center" vertical="center"/>
    </xf>
    <xf numFmtId="0" fontId="3" fillId="7" borderId="0" xfId="13" applyFont="1" applyFill="1" applyBorder="1" applyAlignment="1">
      <alignment horizontal="center" vertical="center"/>
    </xf>
    <xf numFmtId="176" fontId="79" fillId="7" borderId="0" xfId="13" applyNumberFormat="1" applyFont="1" applyFill="1" applyBorder="1" applyAlignment="1">
      <alignment horizontal="center" vertical="center"/>
    </xf>
    <xf numFmtId="186" fontId="79" fillId="7" borderId="0" xfId="13" applyNumberFormat="1" applyFont="1" applyFill="1" applyBorder="1" applyAlignment="1">
      <alignment horizontal="center" vertical="center"/>
    </xf>
    <xf numFmtId="0" fontId="0" fillId="5" borderId="1" xfId="0" applyFill="1" applyBorder="1" applyAlignment="1">
      <alignment horizontal="left" vertical="center"/>
    </xf>
    <xf numFmtId="0" fontId="98" fillId="0" borderId="0" xfId="0" applyFont="1" applyAlignment="1">
      <alignment horizontal="left" vertical="center"/>
    </xf>
    <xf numFmtId="0" fontId="0" fillId="0" borderId="1" xfId="0" applyFill="1" applyBorder="1" applyAlignment="1">
      <alignment horizontal="left" vertical="center"/>
    </xf>
    <xf numFmtId="0" fontId="98" fillId="0" borderId="1" xfId="0" applyFont="1" applyFill="1" applyBorder="1" applyAlignment="1">
      <alignment horizontal="lef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4"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5" borderId="1" xfId="0" applyFont="1" applyFill="1" applyBorder="1" applyAlignment="1">
      <alignment horizontal="left" vertical="center"/>
    </xf>
    <xf numFmtId="0" fontId="127" fillId="0" borderId="60" xfId="0" applyFont="1"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3 2 2 2_6-14周会(剔除挞定退房) 22" xfId="13"/>
    <cellStyle name="常规 4" xfId="4"/>
    <cellStyle name="常规 44 5 3" xfId="14"/>
    <cellStyle name="常规 5" xfId="5"/>
    <cellStyle name="常规 6" xfId="6"/>
    <cellStyle name="常规 6 2" xfId="9"/>
    <cellStyle name="常规 7" xfId="7"/>
    <cellStyle name="常规 8" xfId="11"/>
    <cellStyle name="常规 9" xfId="12"/>
    <cellStyle name="常规_Sheet1" xfId="15"/>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31956</v>
      </c>
    </row>
    <row r="21" spans="1:2" s="1595" customFormat="1">
      <c r="A21" s="1593" t="s">
        <v>1231</v>
      </c>
      <c r="B21" s="1594">
        <f ca="1">'预评函-2'!D7</f>
        <v>7195</v>
      </c>
    </row>
    <row r="22" spans="1:2" s="1595" customFormat="1">
      <c r="A22" s="1593" t="s">
        <v>1232</v>
      </c>
      <c r="B22" s="1594" t="str">
        <f ca="1">'预评函-2'!D6</f>
        <v>叁亿壹仟玖佰伍拾陆万元整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31956</v>
      </c>
    </row>
    <row r="31" spans="1:2" s="1595" customFormat="1">
      <c r="A31" s="1593" t="s">
        <v>1270</v>
      </c>
      <c r="B31" s="1594">
        <f ca="1">'预评函-2'!D15</f>
        <v>7195</v>
      </c>
    </row>
    <row r="32" spans="1:2" s="1595" customFormat="1">
      <c r="A32" s="1593" t="s">
        <v>1237</v>
      </c>
      <c r="B32" s="1594" t="str">
        <f ca="1">'预评函-2'!D14</f>
        <v>叁亿壹仟玖佰伍拾陆万元整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44412.450000000026</v>
      </c>
    </row>
    <row r="44" spans="1:2" s="1595" customFormat="1">
      <c r="A44" s="1593" t="s">
        <v>1269</v>
      </c>
      <c r="B44" s="1594" t="str">
        <f>'预评函-3'!C2</f>
        <v>(分摊)土地面积</v>
      </c>
    </row>
    <row r="45" spans="1:2" s="1595" customFormat="1">
      <c r="A45" s="1593" t="s">
        <v>1241</v>
      </c>
      <c r="B45" s="1594">
        <f>'预评函-3'!C4</f>
        <v>6969.29</v>
      </c>
    </row>
    <row r="46" spans="1:2" s="1595" customFormat="1">
      <c r="A46" s="1593" t="s">
        <v>1267</v>
      </c>
      <c r="B46" s="1594" t="str">
        <f>'预评函-3'!D2</f>
        <v>出让国有建设用地使用权价值</v>
      </c>
    </row>
    <row r="47" spans="1:2" s="1595" customFormat="1">
      <c r="A47" s="1593" t="s">
        <v>1242</v>
      </c>
      <c r="B47" s="1594">
        <f ca="1">'预评函-3'!D4</f>
        <v>23488</v>
      </c>
    </row>
    <row r="48" spans="1:2" s="1595" customFormat="1">
      <c r="A48" s="1593" t="s">
        <v>1243</v>
      </c>
      <c r="B48" s="1594">
        <f ca="1">'预评函-3'!E4</f>
        <v>5288</v>
      </c>
    </row>
    <row r="49" spans="1:2" s="1595" customFormat="1">
      <c r="A49" s="1593" t="s">
        <v>1244</v>
      </c>
      <c r="B49" s="1594" t="str">
        <f ca="1">'预评函-3'!D5</f>
        <v>贰亿叁仟肆佰捌拾捌万元整</v>
      </c>
    </row>
    <row r="50" spans="1:2" s="1595" customFormat="1">
      <c r="A50" s="1593" t="s">
        <v>1268</v>
      </c>
      <c r="B50" s="1594" t="str">
        <f>'预评函-3'!F2</f>
        <v>在建建筑物价值</v>
      </c>
    </row>
    <row r="51" spans="1:2" s="1595" customFormat="1">
      <c r="A51" s="1593" t="s">
        <v>1245</v>
      </c>
      <c r="B51" s="1594">
        <f ca="1">'预评函-3'!F4</f>
        <v>8468</v>
      </c>
    </row>
    <row r="52" spans="1:2" s="1595" customFormat="1">
      <c r="A52" s="1593" t="s">
        <v>1246</v>
      </c>
      <c r="B52" s="1594">
        <f ca="1">'预评函-3'!G4</f>
        <v>1907</v>
      </c>
    </row>
    <row r="53" spans="1:2" s="1595" customFormat="1">
      <c r="A53" s="1593" t="s">
        <v>1274</v>
      </c>
      <c r="B53" s="1594" t="str">
        <f ca="1">'预评函-3'!F5</f>
        <v>捌仟肆佰陆拾捌万元整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3003</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6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863</v>
      </c>
      <c r="C54" s="2021" t="s">
        <v>1277</v>
      </c>
    </row>
    <row r="55" spans="1:4">
      <c r="A55" s="3063"/>
      <c r="B55" s="2024" t="s">
        <v>864</v>
      </c>
      <c r="C55" s="2021" t="s">
        <v>1278</v>
      </c>
    </row>
    <row r="56" spans="1:4">
      <c r="A56" s="3063"/>
      <c r="B56" s="2024" t="s">
        <v>865</v>
      </c>
      <c r="C56" s="2021" t="s">
        <v>1282</v>
      </c>
    </row>
    <row r="57" spans="1:4">
      <c r="A57" s="306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72"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73"/>
      <c r="D1" s="3073"/>
      <c r="E1" s="3073"/>
      <c r="F1" s="3073"/>
      <c r="G1" s="3073"/>
      <c r="H1" s="3073"/>
      <c r="I1" s="307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3004</v>
      </c>
      <c r="C4" s="1040">
        <f ca="1">SUMIF(注册房地产估价师,B4,估价师及机构信息!B3:B24)</f>
        <v>1120050019</v>
      </c>
      <c r="D4" s="2041" t="s">
        <v>3005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3006</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3006</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3007</v>
      </c>
      <c r="C7" s="2052"/>
      <c r="D7" s="2053"/>
      <c r="E7" s="2036"/>
      <c r="F7" s="2044"/>
      <c r="G7" s="2044"/>
      <c r="H7" s="2044"/>
      <c r="I7" s="2044"/>
      <c r="J7" s="2044"/>
      <c r="K7" s="2056"/>
      <c r="L7" s="2030"/>
      <c r="M7" s="2030"/>
      <c r="N7" s="2031"/>
      <c r="O7" s="2032"/>
      <c r="P7" s="2031"/>
      <c r="Q7" s="2031"/>
      <c r="R7" s="2031"/>
    </row>
    <row r="8" spans="1:19" ht="18" customHeight="1">
      <c r="A8" s="2050" t="s">
        <v>1747</v>
      </c>
      <c r="B8" s="2057" t="s">
        <v>3008</v>
      </c>
      <c r="C8" s="2058"/>
      <c r="D8" s="3075" t="s">
        <v>1748</v>
      </c>
      <c r="E8" s="2059" t="s">
        <v>3010</v>
      </c>
      <c r="F8" s="2060"/>
      <c r="G8" s="2028"/>
      <c r="H8" s="2028"/>
      <c r="I8" s="2028"/>
      <c r="J8" s="2044"/>
      <c r="K8" s="2045"/>
      <c r="L8" s="2030"/>
      <c r="M8" s="2030"/>
      <c r="N8" s="2031"/>
      <c r="O8" s="2032"/>
      <c r="P8" s="2031"/>
      <c r="Q8" s="2031"/>
      <c r="R8" s="2031"/>
    </row>
    <row r="9" spans="1:19" ht="18" customHeight="1" thickBot="1">
      <c r="A9" s="2042" t="s">
        <v>1749</v>
      </c>
      <c r="B9" s="2061" t="s">
        <v>3009</v>
      </c>
      <c r="C9" s="2062"/>
      <c r="D9" s="3076"/>
      <c r="E9" s="2061"/>
      <c r="F9" s="2063"/>
      <c r="G9" s="2064"/>
      <c r="H9" s="2064"/>
      <c r="I9" s="2064"/>
      <c r="J9" s="2044"/>
      <c r="K9" s="2056"/>
      <c r="L9" s="2030"/>
      <c r="M9" s="2030"/>
      <c r="N9" s="2031"/>
      <c r="O9" s="2032"/>
      <c r="P9" s="2031"/>
      <c r="Q9" s="2031"/>
      <c r="R9" s="2031"/>
    </row>
    <row r="10" spans="1:19" ht="18" customHeight="1" thickTop="1">
      <c r="A10" s="2065" t="s">
        <v>1750</v>
      </c>
      <c r="B10" s="2066" t="s">
        <v>3011</v>
      </c>
      <c r="C10" s="2067" t="s">
        <v>3013</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3012</v>
      </c>
      <c r="C11" s="2074" t="s">
        <v>3007</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3014</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v>65744</v>
      </c>
      <c r="E13" s="2082">
        <v>54787</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f>IF(B12="出让",IF(D13="","",ROUNDDOWN(MIN((D13-$D$3)/365,D14),2)),D14)</f>
        <v>61.43</v>
      </c>
      <c r="E15" s="1052">
        <f>IF(B12="出让",IF(E13="","",ROUNDDOWN(MIN((E13-$D$3)/365,E14),2)),E14)</f>
        <v>31.41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82"/>
      <c r="C16" s="3083"/>
      <c r="D16" s="3084"/>
      <c r="E16" s="2088" t="s">
        <v>1765</v>
      </c>
      <c r="F16" s="3085"/>
      <c r="G16" s="3086"/>
      <c r="H16" s="3086"/>
      <c r="I16" s="3087"/>
      <c r="J16" s="2031"/>
      <c r="K16" s="2085"/>
      <c r="L16" s="2086"/>
      <c r="M16" s="2086"/>
      <c r="N16" s="2087"/>
      <c r="O16" s="2086"/>
      <c r="P16" s="2087"/>
      <c r="Q16" s="2031"/>
      <c r="R16" s="2031"/>
    </row>
    <row r="17" spans="1:22" ht="18" customHeight="1">
      <c r="A17" s="2089" t="s">
        <v>1766</v>
      </c>
      <c r="B17" s="2037" t="s">
        <v>1767</v>
      </c>
      <c r="C17" s="1057">
        <f>'数据-汇总表'!E3</f>
        <v>44412.450000000026</v>
      </c>
      <c r="D17" s="2090" t="s">
        <v>1768</v>
      </c>
      <c r="E17" s="3088" t="s">
        <v>3018</v>
      </c>
      <c r="F17" s="3089"/>
      <c r="G17" s="3089"/>
      <c r="H17" s="3089"/>
      <c r="I17" s="3090"/>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6969.29</v>
      </c>
      <c r="D18" s="2093" t="s">
        <v>1768</v>
      </c>
      <c r="E18" s="3091" t="s">
        <v>3019</v>
      </c>
      <c r="F18" s="3092"/>
      <c r="G18" s="3092"/>
      <c r="H18" s="3092"/>
      <c r="I18" s="3093"/>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3016</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78" t="s">
        <v>1775</v>
      </c>
      <c r="C20" s="3079"/>
      <c r="D20" s="3080" t="s">
        <v>1776</v>
      </c>
      <c r="E20" s="3081"/>
      <c r="F20" s="2100" t="s">
        <v>1777</v>
      </c>
      <c r="G20" s="2044"/>
      <c r="H20" s="2044"/>
      <c r="I20" s="2044"/>
      <c r="J20" s="2044"/>
      <c r="K20" s="307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3017</v>
      </c>
      <c r="D21" s="2103" t="s">
        <v>1780</v>
      </c>
      <c r="E21" s="2104" t="s">
        <v>70</v>
      </c>
      <c r="F21" s="2105"/>
      <c r="G21" s="2044"/>
      <c r="H21" s="2044"/>
      <c r="I21" s="2044"/>
      <c r="J21" s="2044"/>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5" t="s">
        <v>1789</v>
      </c>
      <c r="B27" s="2065" t="s">
        <v>1790</v>
      </c>
      <c r="C27" s="2122" t="s">
        <v>3027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5"/>
      <c r="B28" s="2037" t="s">
        <v>1791</v>
      </c>
      <c r="C28" s="2124" t="s">
        <v>3028</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5"/>
      <c r="B29" s="2037" t="s">
        <v>1792</v>
      </c>
      <c r="C29" s="2127" t="s">
        <v>3015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66"/>
      <c r="B30" s="2037" t="s">
        <v>1793</v>
      </c>
      <c r="C30" s="3067"/>
      <c r="D30" s="306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69" t="s">
        <v>1794</v>
      </c>
      <c r="B31" s="2129" t="s">
        <v>3026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3020</v>
      </c>
      <c r="C34" s="2136" t="s">
        <v>3021</v>
      </c>
      <c r="D34" s="2136" t="s">
        <v>3022</v>
      </c>
      <c r="E34" s="2136" t="s">
        <v>3023</v>
      </c>
      <c r="F34" s="2136" t="s">
        <v>3024</v>
      </c>
      <c r="G34" s="2136" t="s">
        <v>3025</v>
      </c>
      <c r="H34" s="2136"/>
      <c r="I34" s="2044"/>
      <c r="J34" s="2044"/>
      <c r="K34" s="1797">
        <f>COUNTIF(B34:H34,"——")</f>
        <v>0</v>
      </c>
      <c r="L34" s="2077" t="s">
        <v>1796</v>
      </c>
      <c r="M34" s="2077" t="s">
        <v>1797</v>
      </c>
      <c r="N34" s="2077" t="s">
        <v>1798</v>
      </c>
      <c r="O34" s="2077" t="s">
        <v>1799</v>
      </c>
      <c r="P34" s="2077" t="s">
        <v>1800</v>
      </c>
      <c r="Q34" s="2077" t="s">
        <v>1801</v>
      </c>
      <c r="R34" s="2077" t="s">
        <v>1802</v>
      </c>
      <c r="S34" s="3064" t="s">
        <v>1803</v>
      </c>
      <c r="T34" s="2137" t="str">
        <f>NUMBERSTRING(7-K34,1)&amp;"通"</f>
        <v>七通</v>
      </c>
      <c r="U34" s="2031"/>
      <c r="V34" s="2031"/>
    </row>
    <row r="35" spans="1:22" ht="18" customHeight="1">
      <c r="A35" s="2138"/>
      <c r="B35" s="3071" t="s">
        <v>1804</v>
      </c>
      <c r="C35" s="3071"/>
      <c r="D35" s="3071"/>
      <c r="E35" s="3071"/>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64"/>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2942.43+3449.1+3662.81</f>
        <v>10054.34</v>
      </c>
      <c r="B3" s="14">
        <f>IF(C3="否",G5-AT5,G5)</f>
        <v>64072.220000000016</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64072.220000000016</v>
      </c>
      <c r="H5" s="16">
        <f t="shared" ref="H5:AT5" si="0">SUM(H13:H656)</f>
        <v>62816.540000000023</v>
      </c>
      <c r="I5" s="16">
        <f t="shared" si="0"/>
        <v>62816.540000000023</v>
      </c>
      <c r="J5" s="16">
        <f t="shared" si="0"/>
        <v>19659.769999999993</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1255.68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1255.68</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44412.450000000026</v>
      </c>
      <c r="BA5" s="18">
        <f t="shared" si="1"/>
        <v>43156.770000000026</v>
      </c>
      <c r="BB5" s="18">
        <f t="shared" si="1"/>
        <v>43156.770000000026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1255.68</v>
      </c>
      <c r="BM5" s="18">
        <f t="shared" si="1"/>
        <v>0</v>
      </c>
      <c r="BN5" s="18">
        <f t="shared" si="1"/>
        <v>0</v>
      </c>
      <c r="BO5" s="18">
        <f t="shared" si="1"/>
        <v>0</v>
      </c>
      <c r="BP5" s="18">
        <f t="shared" si="1"/>
        <v>0</v>
      </c>
      <c r="BQ5" s="18">
        <f t="shared" si="1"/>
        <v>0</v>
      </c>
      <c r="BR5" s="18">
        <f t="shared" si="1"/>
        <v>1255.68</v>
      </c>
      <c r="BS5" s="18">
        <f t="shared" si="1"/>
        <v>0</v>
      </c>
      <c r="BT5" s="19">
        <f t="shared" si="1"/>
        <v>0</v>
      </c>
    </row>
    <row r="6" spans="1:72" s="2180" customFormat="1" ht="12.75">
      <c r="A6" s="15" t="s">
        <v>1841</v>
      </c>
      <c r="B6" s="2177"/>
      <c r="C6" s="2177"/>
      <c r="D6" s="2178"/>
      <c r="E6" s="16">
        <f>H6+AC6+AT6</f>
        <v>10054.34</v>
      </c>
      <c r="F6" s="16" t="s">
        <v>1</v>
      </c>
      <c r="G6" s="16" t="s">
        <v>2</v>
      </c>
      <c r="H6" s="20">
        <f>SUMIF(I$12:AB$12,"总值",I6:AB6)</f>
        <v>9857.2999999999993</v>
      </c>
      <c r="I6" s="16">
        <f t="shared" ref="I6:AB6" si="2">ROUND($A$3*I5/$B$3,2)</f>
        <v>9857.2999999999993</v>
      </c>
      <c r="J6" s="16">
        <f t="shared" si="2"/>
        <v>3085.05</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197.04</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6969.29</v>
      </c>
      <c r="AZ6" s="16" t="s">
        <v>3</v>
      </c>
      <c r="BA6" s="16">
        <f>ROUND($AY$6*BA5/$AZ$5,2)</f>
        <v>6772.25</v>
      </c>
      <c r="BB6" s="16">
        <f>ROUND($AY$6*BB5/$AZ$5,2)</f>
        <v>6772.25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197.04</v>
      </c>
      <c r="BM6" s="16">
        <f t="shared" si="5"/>
        <v>0</v>
      </c>
      <c r="BN6" s="16">
        <f t="shared" si="5"/>
        <v>0</v>
      </c>
      <c r="BO6" s="16">
        <f t="shared" si="5"/>
        <v>0</v>
      </c>
      <c r="BP6" s="16">
        <f t="shared" si="5"/>
        <v>0</v>
      </c>
      <c r="BQ6" s="16">
        <f t="shared" si="5"/>
        <v>0</v>
      </c>
      <c r="BR6" s="16">
        <f t="shared" si="5"/>
        <v>197.04</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3033</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3034</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高层住宅用房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3029</v>
      </c>
      <c r="D13" s="2216" t="s">
        <v>3016</v>
      </c>
      <c r="E13" s="16">
        <f>IF($C$3="是",ROUND($A$3*G13/$B$3,2),ROUND($A$3*(G13-AT13)/$B$3,2))</f>
        <v>2373.71</v>
      </c>
      <c r="F13" s="32"/>
      <c r="G13" s="33">
        <f>H13+AC13+AT13</f>
        <v>15126.660000000003</v>
      </c>
      <c r="H13" s="20">
        <f>SUMIF(I$12:AB$12,"总值",I13:AB13)</f>
        <v>15126.660000000003</v>
      </c>
      <c r="I13" s="2217">
        <f>测绘面积!E135</f>
        <v>15126.660000000003</v>
      </c>
      <c r="J13" s="2217">
        <v>3035.3</v>
      </c>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17#</v>
      </c>
      <c r="AY13" s="1808">
        <f>ROUND($AY$6*AZ13/$AZ$5,2)</f>
        <v>1897.4</v>
      </c>
      <c r="AZ13" s="16">
        <f>BA13+BL13</f>
        <v>12091.360000000004</v>
      </c>
      <c r="BA13" s="16">
        <f>SUM(BB13:BK13)</f>
        <v>12091.360000000004</v>
      </c>
      <c r="BB13" s="16">
        <f>IF($D13="是",I13-J13,0)</f>
        <v>12091.360000000004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3030</v>
      </c>
      <c r="D14" s="2216" t="s">
        <v>3016</v>
      </c>
      <c r="E14" s="16">
        <f>IF($C$3="是",ROUND($A$3*G14/$B$3,2),ROUND($A$3*(G14-AT14)/$B$3,2))</f>
        <v>2396.3200000000002</v>
      </c>
      <c r="F14" s="32"/>
      <c r="G14" s="33">
        <f>H14+AC14+AT14</f>
        <v>15270.760000000026</v>
      </c>
      <c r="H14" s="20">
        <f>SUMIF(I$12:AB$12,"总值",I14:AB14)</f>
        <v>14641.040000000026</v>
      </c>
      <c r="I14" s="2217">
        <f>测绘面积!J145-AN14</f>
        <v>14641.040000000026</v>
      </c>
      <c r="J14" s="2217">
        <f>不抵押面积!S6</f>
        <v>8069.2299999999959</v>
      </c>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629.72</v>
      </c>
      <c r="AD14" s="2218"/>
      <c r="AE14" s="2218"/>
      <c r="AF14" s="2218"/>
      <c r="AG14" s="2218"/>
      <c r="AH14" s="2218"/>
      <c r="AI14" s="2218"/>
      <c r="AJ14" s="2218"/>
      <c r="AK14" s="2218"/>
      <c r="AL14" s="2218"/>
      <c r="AM14" s="2218"/>
      <c r="AN14" s="2218">
        <f>测绘面积!J4+测绘面积!J5+测绘面积!J6+测绘面积!J7+测绘面积!J8+测绘面积!J10+测绘面积!J9+测绘面积!J11+测绘面积!J12</f>
        <v>629.72</v>
      </c>
      <c r="AO14" s="2218"/>
      <c r="AP14" s="2218"/>
      <c r="AQ14" s="2218"/>
      <c r="AR14" s="2218"/>
      <c r="AS14" s="2218"/>
      <c r="AT14" s="2219"/>
      <c r="AU14" s="2220"/>
      <c r="AV14" s="11">
        <f t="shared" si="6"/>
        <v>0</v>
      </c>
      <c r="AW14" s="11">
        <f t="shared" si="6"/>
        <v>0</v>
      </c>
      <c r="AX14" s="11" t="str">
        <f t="shared" si="6"/>
        <v>18#</v>
      </c>
      <c r="AY14" s="1808">
        <f>ROUND($AY$6*AZ14/$AZ$5,2)</f>
        <v>1130.08</v>
      </c>
      <c r="AZ14" s="16">
        <f>BA14+BL14</f>
        <v>7201.5300000000307</v>
      </c>
      <c r="BA14" s="16">
        <f>SUM(BB14:BK14)</f>
        <v>6571.8100000000304</v>
      </c>
      <c r="BB14" s="16">
        <f>IF($D14="是",I14-J14,0)</f>
        <v>6571.8100000000304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629.72</v>
      </c>
      <c r="BM14" s="16">
        <f>IF($D14="是",AD14-AE14,0)</f>
        <v>0</v>
      </c>
      <c r="BN14" s="16">
        <f>IF($D14="是",AF14-AG14,0)</f>
        <v>0</v>
      </c>
      <c r="BO14" s="16">
        <f>IF($D14="是",AH14-AI14,0)</f>
        <v>0</v>
      </c>
      <c r="BP14" s="16">
        <f>IF($D14="是",AJ14-AK14,0)</f>
        <v>0</v>
      </c>
      <c r="BQ14" s="16">
        <f>IF($D14="是",AL14-AM14,0)</f>
        <v>0</v>
      </c>
      <c r="BR14" s="16">
        <f>IF($D14="是",AN14-AO14,0)</f>
        <v>629.72</v>
      </c>
      <c r="BS14" s="16">
        <f>IF($D14="是",AP14-AQ14,0)</f>
        <v>0</v>
      </c>
      <c r="BT14" s="22">
        <f>IF($D14="是",AR14-AS14,0)</f>
        <v>0</v>
      </c>
    </row>
    <row r="15" spans="1:72" s="2170" customFormat="1" ht="12.75">
      <c r="A15" s="1275"/>
      <c r="B15" s="1275"/>
      <c r="C15" s="1275" t="s">
        <v>3031</v>
      </c>
      <c r="D15" s="2216" t="s">
        <v>3016</v>
      </c>
      <c r="E15" s="16">
        <f>IF($C$3="是",ROUND($A$3*G15/$B$3,2),ROUND($A$3*(G15-AT15)/$B$3,2))</f>
        <v>2658.03</v>
      </c>
      <c r="F15" s="32"/>
      <c r="G15" s="33">
        <f>H15+AC15+AT15</f>
        <v>16938.51999999999</v>
      </c>
      <c r="H15" s="20">
        <f>SUMIF(I$12:AB$12,"总值",I15:AB15)</f>
        <v>16312.55999999999</v>
      </c>
      <c r="I15" s="2217">
        <f>测绘面积!O144-AN15</f>
        <v>16312.55999999999</v>
      </c>
      <c r="J15" s="2217">
        <f>不抵押面积!S7</f>
        <v>2897.5999999999985</v>
      </c>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625.96</v>
      </c>
      <c r="AD15" s="2218"/>
      <c r="AE15" s="2218"/>
      <c r="AF15" s="2218"/>
      <c r="AG15" s="2218"/>
      <c r="AH15" s="2218"/>
      <c r="AI15" s="2218"/>
      <c r="AJ15" s="2218"/>
      <c r="AK15" s="2218"/>
      <c r="AL15" s="2218"/>
      <c r="AM15" s="2218"/>
      <c r="AN15" s="2218">
        <f>测绘面积!O4+测绘面积!O5+测绘面积!O6+测绘面积!O8+测绘面积!O7+测绘面积!O9+测绘面积!O10+测绘面积!O11</f>
        <v>625.96</v>
      </c>
      <c r="AO15" s="2218"/>
      <c r="AP15" s="2218"/>
      <c r="AQ15" s="2218"/>
      <c r="AR15" s="2218"/>
      <c r="AS15" s="2218"/>
      <c r="AT15" s="2219"/>
      <c r="AU15" s="2220"/>
      <c r="AV15" s="11">
        <f t="shared" si="6"/>
        <v>0</v>
      </c>
      <c r="AW15" s="11">
        <f t="shared" si="6"/>
        <v>0</v>
      </c>
      <c r="AX15" s="11" t="str">
        <f t="shared" si="6"/>
        <v>19#</v>
      </c>
      <c r="AY15" s="1808">
        <f>ROUND($AY$6*AZ15/$AZ$5,2)</f>
        <v>2203.33</v>
      </c>
      <c r="AZ15" s="16">
        <f>BA15+BL15</f>
        <v>14040.919999999991</v>
      </c>
      <c r="BA15" s="16">
        <f>SUM(BB15:BK15)</f>
        <v>13414.959999999992</v>
      </c>
      <c r="BB15" s="16">
        <f>IF($D15="是",I15-J15,0)</f>
        <v>13414.959999999992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625.96</v>
      </c>
      <c r="BM15" s="16">
        <f>IF($D15="是",AD15-AE15,0)</f>
        <v>0</v>
      </c>
      <c r="BN15" s="16">
        <f>IF($D15="是",AF15-AG15,0)</f>
        <v>0</v>
      </c>
      <c r="BO15" s="16">
        <f>IF($D15="是",AH15-AI15,0)</f>
        <v>0</v>
      </c>
      <c r="BP15" s="16">
        <f>IF($D15="是",AJ15-AK15,0)</f>
        <v>0</v>
      </c>
      <c r="BQ15" s="16">
        <f>IF($D15="是",AL15-AM15,0)</f>
        <v>0</v>
      </c>
      <c r="BR15" s="16">
        <f>IF($D15="是",AN15-AO15,0)</f>
        <v>625.96</v>
      </c>
      <c r="BS15" s="16">
        <f>IF($D15="是",AP15-AQ15,0)</f>
        <v>0</v>
      </c>
      <c r="BT15" s="22">
        <f>IF($D15="是",AR15-AS15,0)</f>
        <v>0</v>
      </c>
    </row>
    <row r="16" spans="1:72" s="2170" customFormat="1" ht="12.75">
      <c r="A16" s="1275"/>
      <c r="B16" s="1275"/>
      <c r="C16" s="2156" t="s">
        <v>3032</v>
      </c>
      <c r="D16" s="2216" t="s">
        <v>3016</v>
      </c>
      <c r="E16" s="16">
        <f>IF($C$3="是",ROUND($A$3*G16/$B$3,2),ROUND($A$3*(G16-AT16)/$B$3,2))</f>
        <v>2626.29</v>
      </c>
      <c r="F16" s="32"/>
      <c r="G16" s="33">
        <f>H16+AC16+AT16</f>
        <v>16736.28</v>
      </c>
      <c r="H16" s="20">
        <f>SUMIF(I$12:AB$12,"总值",I16:AB16)</f>
        <v>16736.28</v>
      </c>
      <c r="I16" s="2217">
        <f>测绘面积!T136</f>
        <v>16736.28</v>
      </c>
      <c r="J16" s="2217">
        <f>不抵押面积!S8</f>
        <v>5657.6399999999994</v>
      </c>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20#</v>
      </c>
      <c r="AY16" s="1808">
        <f>ROUND($AY$6*AZ16/$AZ$5,2)</f>
        <v>1738.48</v>
      </c>
      <c r="AZ16" s="16">
        <f>BA16+BL16</f>
        <v>11078.64</v>
      </c>
      <c r="BA16" s="16">
        <f>SUM(BB16:BK16)</f>
        <v>11078.64</v>
      </c>
      <c r="BB16" s="16">
        <f>IF($D16="是",I16-J16,0)</f>
        <v>11078.64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105" t="s">
        <v>1900</v>
      </c>
      <c r="B2" s="3105"/>
      <c r="C2" s="3105"/>
      <c r="D2" s="970" t="s">
        <v>1876</v>
      </c>
      <c r="E2" s="2230" t="s">
        <v>1877</v>
      </c>
      <c r="F2" s="1395"/>
      <c r="G2" s="2231"/>
      <c r="H2" s="2232"/>
      <c r="I2" s="2233" t="s">
        <v>1901</v>
      </c>
      <c r="J2" s="1395"/>
      <c r="K2" s="1395"/>
      <c r="L2" s="1395"/>
      <c r="M2" s="1395"/>
      <c r="N2" s="1430"/>
      <c r="O2" s="1395"/>
      <c r="P2" s="1395"/>
    </row>
    <row r="3" spans="1:16" ht="15.75" thickBot="1">
      <c r="A3" s="3106" t="s">
        <v>1874</v>
      </c>
      <c r="B3" s="3106"/>
      <c r="C3" s="3106"/>
      <c r="D3" s="46">
        <f>'数据-基础表'!AY6</f>
        <v>6969.29</v>
      </c>
      <c r="E3" s="46">
        <f>'数据-基础表'!AZ5</f>
        <v>44412.450000000026</v>
      </c>
      <c r="F3" s="1395"/>
      <c r="G3" s="1402"/>
      <c r="H3" s="1250" t="s">
        <v>1875</v>
      </c>
      <c r="I3" s="55">
        <f>ROUND('数据-基础表'!B3/'数据-基础表'!A3,2)</f>
        <v>6.37</v>
      </c>
      <c r="J3" s="1395"/>
      <c r="K3" s="1395"/>
      <c r="L3" s="1395"/>
      <c r="M3" s="1395"/>
      <c r="N3" s="1430"/>
      <c r="O3" s="1395"/>
      <c r="P3" s="1395"/>
    </row>
    <row r="4" spans="1:16" ht="15">
      <c r="A4" s="3107"/>
      <c r="B4" s="3108"/>
      <c r="C4" s="3109"/>
      <c r="D4" s="2234" t="s">
        <v>1876</v>
      </c>
      <c r="E4" s="2235" t="s">
        <v>1877</v>
      </c>
      <c r="F4" s="1395"/>
      <c r="G4" s="2236" t="s">
        <v>1902</v>
      </c>
      <c r="H4" s="1250" t="s">
        <v>1882</v>
      </c>
      <c r="I4" s="55">
        <f>ROUND(SUMIF('数据-基础表'!I9:AS9,"地上",'数据-基础表'!I5:AS5)/'数据-基础表'!A3,2)</f>
        <v>6.25</v>
      </c>
      <c r="J4" s="1395"/>
      <c r="K4" s="1395"/>
      <c r="L4" s="1395"/>
      <c r="M4" s="1395"/>
      <c r="N4" s="1430"/>
      <c r="O4" s="1395"/>
      <c r="P4" s="1395"/>
    </row>
    <row r="5" spans="1:16">
      <c r="A5" s="47" t="s">
        <v>1878</v>
      </c>
      <c r="B5" s="3110" t="s">
        <v>1879</v>
      </c>
      <c r="C5" s="3110"/>
      <c r="D5" s="48">
        <f>ROUND($D$3*E5/$E$3,2)</f>
        <v>6772.25</v>
      </c>
      <c r="E5" s="49">
        <f>SUMIF('数据-基础表'!$11:$11,"住宅",'数据-基础表'!$5:$5)</f>
        <v>43156.770000000026</v>
      </c>
      <c r="F5" s="1395"/>
      <c r="G5" s="1402"/>
      <c r="H5" s="1250" t="s">
        <v>1875</v>
      </c>
      <c r="I5" s="55">
        <f>ROUND(E31/D31,2)</f>
        <v>6.37</v>
      </c>
      <c r="J5" s="1395"/>
      <c r="K5" s="1395"/>
      <c r="L5" s="1395"/>
      <c r="M5" s="1395"/>
      <c r="N5" s="1395"/>
      <c r="O5" s="1395"/>
      <c r="P5" s="1395"/>
    </row>
    <row r="6" spans="1:16" ht="15" thickBot="1">
      <c r="A6" s="2237"/>
      <c r="B6" s="3110" t="s">
        <v>1880</v>
      </c>
      <c r="C6" s="3110"/>
      <c r="D6" s="48">
        <f>ROUND($D$3*E6/$E$3,2)</f>
        <v>197.04</v>
      </c>
      <c r="E6" s="49">
        <f>E3-E5</f>
        <v>1255.6800000000003</v>
      </c>
      <c r="F6" s="1395"/>
      <c r="G6" s="2238" t="s">
        <v>1881</v>
      </c>
      <c r="H6" s="1402" t="s">
        <v>1882</v>
      </c>
      <c r="I6" s="942">
        <f>ROUND(F31/D31,2)</f>
        <v>6.19</v>
      </c>
      <c r="J6" s="1395"/>
      <c r="K6" s="1395"/>
      <c r="L6" s="1395"/>
      <c r="M6" s="1395"/>
      <c r="N6" s="1395"/>
      <c r="O6" s="1395"/>
      <c r="P6" s="1395"/>
    </row>
    <row r="7" spans="1:16" ht="15">
      <c r="A7" s="3102"/>
      <c r="B7" s="3103"/>
      <c r="C7" s="3104"/>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6772.25</v>
      </c>
      <c r="E8" s="51">
        <f>SUMIF('数据-基础表'!BB10:BK10,"地上",'数据-基础表'!BB5:BK5)</f>
        <v>43156.770000000026</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6772.25</v>
      </c>
      <c r="E16" s="53">
        <f>SUM(E8:E15)</f>
        <v>43156.770000000026</v>
      </c>
      <c r="F16" s="1395"/>
      <c r="G16" s="2240"/>
      <c r="H16" s="2243" t="s">
        <v>1904</v>
      </c>
      <c r="I16" s="2244"/>
      <c r="J16" s="1395"/>
      <c r="K16" s="3099" t="s">
        <v>1904</v>
      </c>
      <c r="L16" s="3100"/>
      <c r="M16" s="3100"/>
      <c r="N16" s="3100"/>
      <c r="O16" s="3100"/>
      <c r="P16" s="3101"/>
    </row>
    <row r="17" spans="1:19" ht="15">
      <c r="A17" s="2245" t="s">
        <v>1905</v>
      </c>
      <c r="B17" s="2246" t="s">
        <v>1906</v>
      </c>
      <c r="C17" s="2247" t="s">
        <v>1907</v>
      </c>
      <c r="D17" s="2248" t="s">
        <v>1895</v>
      </c>
      <c r="E17" s="2249" t="s">
        <v>1896</v>
      </c>
      <c r="F17" s="2250"/>
      <c r="G17" s="2251"/>
      <c r="H17" s="2252" t="s">
        <v>1908</v>
      </c>
      <c r="I17" s="2253" t="s">
        <v>1893</v>
      </c>
      <c r="J17" s="1395"/>
      <c r="K17" s="3096" t="s">
        <v>1909</v>
      </c>
      <c r="L17" s="3097"/>
      <c r="M17" s="3098"/>
      <c r="N17" s="3096" t="s">
        <v>1910</v>
      </c>
      <c r="O17" s="3097"/>
      <c r="P17" s="3098"/>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高层住宅用房</v>
      </c>
      <c r="D19" s="48">
        <f>ROUND($D$3*E19/$E$3,2)</f>
        <v>6772.25</v>
      </c>
      <c r="E19" s="56">
        <f t="shared" ref="E19:E26" si="1">SUM(F19:G19)</f>
        <v>43156.770000000033</v>
      </c>
      <c r="F19" s="57">
        <f>'数据-基础表'!I5-'数据-基础表'!J5</f>
        <v>43156.770000000033</v>
      </c>
      <c r="G19" s="58"/>
      <c r="H19" s="723">
        <f>ROUND($D$3*I19/$E$3,2)</f>
        <v>197.04</v>
      </c>
      <c r="I19" s="51">
        <f t="shared" ref="I19:I26" si="2">IF($I$17="自定义",P19,M19)</f>
        <v>1255.68</v>
      </c>
      <c r="J19" s="1395"/>
      <c r="K19" s="1394">
        <f t="shared" ref="K19:K26" si="3">ROUND(E$28*E19/E$27,2)</f>
        <v>1255.68</v>
      </c>
      <c r="L19" s="1250">
        <f t="shared" ref="L19:L26" si="4">ROUND(IF(COUNTIF(C19,"*住宅*")&gt;0,E$29*E19/E$32,0),2)</f>
        <v>0</v>
      </c>
      <c r="M19" s="1406">
        <f>K19+L19</f>
        <v>1255.68</v>
      </c>
      <c r="N19" s="2264"/>
      <c r="O19" s="2265"/>
      <c r="P19" s="1406">
        <f>N19+O19</f>
        <v>0</v>
      </c>
      <c r="R19" s="1250">
        <f t="shared" ref="R19:S26" si="5">D19+H19</f>
        <v>6969.29</v>
      </c>
      <c r="S19" s="1251">
        <f t="shared" si="5"/>
        <v>44412.450000000033</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6772.25</v>
      </c>
      <c r="E27" s="1397">
        <f>IF(SUM(E19:E26)='数据-基础表'!BA5,SUM(E19:E26),IF(F27="地上面积有误","面积有误","地下面积有误"))</f>
        <v>43156.770000000033</v>
      </c>
      <c r="F27" s="1396">
        <f>IF(SUM(F19:F26)=E8,SUM(F19:F26),"地上面积有误")</f>
        <v>43156.770000000033</v>
      </c>
      <c r="G27" s="1398">
        <f>SUM(G19:G26)</f>
        <v>0</v>
      </c>
      <c r="H27" s="1399">
        <f>SUM(H19:H26)</f>
        <v>197.04</v>
      </c>
      <c r="I27" s="1400">
        <f>SUM(I19:I26)</f>
        <v>1255.68</v>
      </c>
      <c r="J27" s="1395"/>
      <c r="K27" s="1403">
        <f>SUM(K19:K26)</f>
        <v>1255.68</v>
      </c>
      <c r="L27" s="1404">
        <f>SUM(L19:L26)</f>
        <v>0</v>
      </c>
      <c r="M27" s="1407">
        <f>SUM(M19:M26)</f>
        <v>1255.68</v>
      </c>
      <c r="N27" s="1403">
        <f t="shared" ref="N27:O27" si="10">SUM(N19:N26)</f>
        <v>0</v>
      </c>
      <c r="O27" s="1404">
        <f t="shared" si="10"/>
        <v>0</v>
      </c>
      <c r="P27" s="1405">
        <f>SUM(P19:P26)</f>
        <v>0</v>
      </c>
      <c r="R27" s="1252">
        <f>IF(SUM(R19:R26)=$D$3,SUM(R19:R26),SUM(R19:R26)&amp;"误差"&amp;ROUND(SUM(R19:R26)-$D$3,2))</f>
        <v>6969.29</v>
      </c>
      <c r="S27" s="1250">
        <f>IF(SUM(S19:S26)=$E$3,SUM(S19:S26),SUM(S19:S26)&amp;"误差"&amp;ROUND(SUM(S19:S26)-E3,2))</f>
        <v>44412.450000000033</v>
      </c>
    </row>
    <row r="28" spans="1:19">
      <c r="A28" s="2266"/>
      <c r="B28" s="50" t="s">
        <v>1924</v>
      </c>
      <c r="C28" s="1262" t="s">
        <v>1925</v>
      </c>
      <c r="D28" s="48">
        <f>ROUND($D$3*E28/$E$3,2)</f>
        <v>197.04</v>
      </c>
      <c r="E28" s="56">
        <f>SUM(F28:G28)</f>
        <v>1255.68</v>
      </c>
      <c r="F28" s="64">
        <f>'数据-基础表'!BQ5+'数据-基础表'!BS5</f>
        <v>0</v>
      </c>
      <c r="G28" s="65">
        <f>'数据-基础表'!BR5+'数据-基础表'!BT5</f>
        <v>1255.68</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197.04</v>
      </c>
      <c r="E30" s="1396">
        <f>SUM(E28:E29)</f>
        <v>1255.68</v>
      </c>
      <c r="F30" s="1396">
        <f>SUM(F28:F29)</f>
        <v>0</v>
      </c>
      <c r="G30" s="1398">
        <f>SUM(G28:G29)</f>
        <v>1255.68</v>
      </c>
      <c r="H30" s="1395"/>
      <c r="I30" s="1395"/>
      <c r="J30" s="1395"/>
      <c r="K30" s="1395"/>
      <c r="L30" s="1395"/>
      <c r="M30" s="1395"/>
      <c r="N30" s="1395"/>
      <c r="O30" s="1395"/>
      <c r="P30" s="1395"/>
    </row>
    <row r="31" spans="1:19" ht="15.75" thickBot="1">
      <c r="A31" s="2272"/>
      <c r="B31" s="2273"/>
      <c r="C31" s="1010" t="s">
        <v>1927</v>
      </c>
      <c r="D31" s="729">
        <f>D27+D30</f>
        <v>6969.29</v>
      </c>
      <c r="E31" s="729">
        <f>E27+E30</f>
        <v>44412.450000000033</v>
      </c>
      <c r="F31" s="730">
        <f>F27+F30</f>
        <v>43156.770000000033</v>
      </c>
      <c r="G31" s="731">
        <f>G27+G30</f>
        <v>1255.68</v>
      </c>
      <c r="H31" s="1395"/>
      <c r="I31" s="1395"/>
      <c r="J31" s="1395"/>
      <c r="K31" s="1395"/>
      <c r="L31" s="1395"/>
      <c r="M31" s="1395"/>
      <c r="N31" s="1395"/>
      <c r="O31" s="1395"/>
      <c r="P31" s="1395"/>
    </row>
    <row r="32" spans="1:19">
      <c r="A32" s="2236"/>
      <c r="B32" s="2236" t="s">
        <v>1928</v>
      </c>
      <c r="C32" s="2236"/>
      <c r="D32" s="2236"/>
      <c r="E32" s="1277">
        <f>SUMIF(C19:C26,"*住宅*",E19:E26)</f>
        <v>43156.770000000033</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高层住宅用房</v>
      </c>
      <c r="B6" s="2310" t="str">
        <f>IF(A6=0,"","经营性")</f>
        <v>经营性</v>
      </c>
      <c r="C6" s="2311" t="s">
        <v>3034</v>
      </c>
      <c r="D6" s="1054">
        <f>SUMIF(项目基本情况!D$12:I$12,C6,项目基本情况!D$14:I$14)</f>
        <v>70</v>
      </c>
      <c r="E6" s="1051">
        <f>IF(B6="","",SUMIF(项目基本情况!D$12:I$12,C6,项目基本情况!D$13:I$13))</f>
        <v>65744</v>
      </c>
      <c r="F6" s="72">
        <f>SUMIF(项目基本情况!D$12:I$12,C6,项目基本情况!D$15:I$15)</f>
        <v>61.43</v>
      </c>
      <c r="G6" s="73">
        <f>IF(ISERROR(ROUND(POWER(1+H6,D6-F6)*(POWER(1+H6,F6)-1)/(POWER(1+H6,D6)-1),3)),0,ROUND(POWER(1+H6,D6-F6)*(POWER(1+H6,F6)-1)/(POWER(1+H6,D6)-1),3))</f>
        <v>0.97299999999999998</v>
      </c>
      <c r="H6" s="802">
        <v>0.04</v>
      </c>
      <c r="I6" s="802">
        <v>0.05</v>
      </c>
      <c r="J6" s="74">
        <v>8.5000000000000006E-2</v>
      </c>
      <c r="K6" s="1254">
        <f>SUMIF('数据-汇总表'!C$19:C$33,A6,'数据-汇总表'!E$19:E$33)</f>
        <v>43156.770000000033</v>
      </c>
      <c r="L6" s="803">
        <v>2500</v>
      </c>
      <c r="M6" s="75">
        <f t="shared" ref="M6:M14" si="0">ROUND(K6*L6/10000,0)</f>
        <v>10789</v>
      </c>
      <c r="N6" s="801">
        <v>0.6</v>
      </c>
      <c r="O6" s="75">
        <f>IF($N$5="成新度","——",ROUND(M6*N6,0))</f>
        <v>6473</v>
      </c>
      <c r="P6" s="76">
        <f>IF($N$5="成新度","——",M6-O6)</f>
        <v>4316</v>
      </c>
      <c r="Q6" s="804">
        <v>0.1</v>
      </c>
      <c r="R6" s="77">
        <f ca="1">SUMIF('数据-汇总表'!C$19:C$33,A6,'数据-汇总表'!R$19:R$27)</f>
        <v>6969.29</v>
      </c>
      <c r="S6" s="54">
        <f>IF('数据-汇总表'!$I$17="按面积比例",SUMIF('数据-汇总表'!C$19:C$33,A6,'数据-汇总表'!K$19:K$33),SUMIF('数据-汇总表'!C$19:C$33,A6,'数据-汇总表'!N$19:N$33))</f>
        <v>1255.68</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2"/>
      <c r="AO6" s="55" t="e">
        <f ca="1">SUMIF(INDIRECT("'"&amp;AN6&amp;"'"&amp;"!A:A"),"总价",INDIRECT("'"&amp;AN6&amp;"'"&amp;"!B:B"))</f>
        <v>#REF!</v>
      </c>
      <c r="AP6" s="2313">
        <f>IF(C6="住宅",K6*L6,0)</f>
        <v>107891925.00000009</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1255.68</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0.97299999999999998</v>
      </c>
      <c r="H16" s="99">
        <f>ROUND(SUMPRODUCT(H6:H13,K6:K13)/SUMPRODUCT((H6:H13&gt;0)*(K6:K13)),3)</f>
        <v>0.04</v>
      </c>
      <c r="I16" s="100"/>
      <c r="J16" s="100"/>
      <c r="K16" s="101">
        <f>SUM(K6:K15)</f>
        <v>44412.450000000033</v>
      </c>
      <c r="L16" s="102">
        <f>ROUND(M16*10000/SUM(K6:K14),0)</f>
        <v>2429</v>
      </c>
      <c r="M16" s="102">
        <f>SUM(M6:M14)</f>
        <v>10789</v>
      </c>
      <c r="N16" s="103">
        <f>ROUND(SUMPRODUCT(M6:M14,N6:N14)/M16,3)</f>
        <v>0.6</v>
      </c>
      <c r="O16" s="102">
        <f>SUM(O6:O14)</f>
        <v>6473</v>
      </c>
      <c r="P16" s="102">
        <f>SUM(P6:P14)</f>
        <v>4316</v>
      </c>
      <c r="Q16" s="104">
        <f>ROUND(SUMPRODUCT(Q6:Q13,K6:K13)/SUMPRODUCT((Q6:Q13&gt;0)*(K6:K13)),2)</f>
        <v>0.1</v>
      </c>
      <c r="R16" s="1258">
        <f ca="1">SUM(R6:R13)</f>
        <v>6969.29</v>
      </c>
      <c r="S16" s="105">
        <f>SUM(S6:S13)</f>
        <v>1255.68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1</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f ca="1">成本法!C9+成本法!C10</f>
        <v>538</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1" t="s">
        <v>2046</v>
      </c>
      <c r="B1" s="3112"/>
      <c r="C1" s="3112"/>
      <c r="D1" s="3112"/>
      <c r="E1" s="3112"/>
      <c r="F1" s="3112"/>
      <c r="G1" s="311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3035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3036</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3037</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3038</v>
      </c>
      <c r="D7" s="2380"/>
      <c r="E7" s="2381"/>
      <c r="F7" s="2382" t="s">
        <v>2058</v>
      </c>
      <c r="G7" s="2383"/>
      <c r="H7" s="2371"/>
      <c r="I7" s="2371"/>
      <c r="J7" s="2371"/>
      <c r="K7" s="2371"/>
      <c r="L7" s="2371"/>
      <c r="M7" s="2371"/>
      <c r="N7" s="2371"/>
      <c r="O7" s="2371"/>
      <c r="P7" s="2371"/>
      <c r="Q7" s="2371"/>
      <c r="R7" s="2371"/>
    </row>
    <row r="8" spans="1:29" ht="28.5">
      <c r="A8" s="431"/>
      <c r="B8" s="1797" t="s">
        <v>2057</v>
      </c>
      <c r="C8" s="2379" t="s">
        <v>3039</v>
      </c>
      <c r="D8" s="2380"/>
      <c r="E8" s="2380"/>
      <c r="F8" s="1136"/>
      <c r="G8" s="1136"/>
      <c r="H8" s="2371"/>
      <c r="I8" s="2371"/>
      <c r="J8" s="2371"/>
      <c r="K8" s="2371"/>
      <c r="L8" s="2371"/>
      <c r="M8" s="2371"/>
      <c r="N8" s="2371"/>
      <c r="O8" s="2371"/>
      <c r="P8" s="2371"/>
      <c r="Q8" s="2371"/>
      <c r="R8" s="2371"/>
    </row>
    <row r="9" spans="1:29" ht="57">
      <c r="A9" s="431"/>
      <c r="B9" s="1797" t="s">
        <v>2059</v>
      </c>
      <c r="C9" s="2377" t="s">
        <v>3040</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3041</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估价对象周边居住用地比例较高、居住小区规模和社区发展完善程度较好，周边1公里内有水墨林溪等住宅项目，综合评价居住社区成熟度一般</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3042</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估价对象所在区域公共配套设施齐备度一般</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3043</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城市次干道——友谊路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44412.450000000026</v>
      </c>
      <c r="C1" s="1744"/>
      <c r="D1" s="1744"/>
      <c r="E1" s="1744"/>
      <c r="F1" s="1744"/>
      <c r="G1" s="1742"/>
    </row>
    <row r="2" spans="1:10" ht="16.5">
      <c r="A2" s="1745" t="s">
        <v>1349</v>
      </c>
      <c r="B2" s="1745">
        <f>SUM(C14:C23)</f>
        <v>6969.29</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31956</v>
      </c>
      <c r="C5" s="1745">
        <f ca="1">ROUND(B5*10000/$B$1,0)</f>
        <v>7195</v>
      </c>
      <c r="D5" s="1745">
        <f ca="1">ROUND(B5*10000/$B$2,0)</f>
        <v>45853</v>
      </c>
      <c r="E5" s="1744"/>
      <c r="F5" s="1742"/>
      <c r="G5" s="1742"/>
    </row>
    <row r="6" spans="1:10" ht="16.5">
      <c r="A6" s="1745" t="s">
        <v>1352</v>
      </c>
      <c r="B6" s="1745">
        <f ca="1">SUM(G14:G23)</f>
        <v>31956</v>
      </c>
      <c r="C6" s="1745">
        <f ca="1">ROUND(B6*10000/$B$1,0)</f>
        <v>7195</v>
      </c>
      <c r="D6" s="1745">
        <f ca="1">ROUND(B6*10000/$B$2,0)</f>
        <v>45853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44412.450000000026</v>
      </c>
      <c r="C14" s="1743">
        <f>结果表!C118</f>
        <v>6969.29</v>
      </c>
      <c r="D14" s="1743">
        <f ca="1">结果表!H118</f>
        <v>31956</v>
      </c>
      <c r="E14" s="1743">
        <f ca="1">ROUND(D14*10000/B14,0)</f>
        <v>7195</v>
      </c>
      <c r="F14" s="1743">
        <f ca="1">ROUND(D14*10000/C14,0)</f>
        <v>45853</v>
      </c>
      <c r="G14" s="1743">
        <f ca="1">结果表!D122</f>
        <v>31956</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46" t="str">
        <f>项目基本情况!S2</f>
        <v>湖南省长沙市出让国有建设用地使用权及在建建筑物房地产</v>
      </c>
      <c r="B2" s="3147"/>
      <c r="C2" s="3147"/>
      <c r="D2" s="3147"/>
      <c r="E2" s="3147"/>
      <c r="F2" s="3147"/>
      <c r="G2" s="3147"/>
      <c r="H2" s="3147"/>
      <c r="I2" s="3148"/>
    </row>
    <row r="3" spans="1:12" ht="12.75">
      <c r="A3" s="3150" t="s">
        <v>2077</v>
      </c>
      <c r="B3" s="3151"/>
      <c r="C3" s="3151"/>
      <c r="D3" s="3151"/>
      <c r="E3" s="3151"/>
      <c r="F3" s="3151"/>
      <c r="G3" s="3151"/>
      <c r="H3" s="3151"/>
      <c r="I3" s="3151"/>
    </row>
    <row r="4" spans="1:12" ht="14.25">
      <c r="A4" s="2429" t="s">
        <v>2078</v>
      </c>
      <c r="B4" s="2430" t="s">
        <v>2079</v>
      </c>
      <c r="C4" s="2431" t="s">
        <v>3118</v>
      </c>
      <c r="D4" s="2431" t="s">
        <v>3119</v>
      </c>
      <c r="E4" s="3143" t="s">
        <v>2080</v>
      </c>
      <c r="F4" s="3144"/>
      <c r="G4" s="3144"/>
      <c r="H4" s="3144"/>
      <c r="I4" s="315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2081</v>
      </c>
      <c r="B5" s="3064">
        <v>25</v>
      </c>
      <c r="C5" s="3129"/>
      <c r="D5" s="3149"/>
      <c r="E5" s="140" t="s">
        <v>2082</v>
      </c>
      <c r="F5" s="2433"/>
      <c r="G5" s="2433"/>
      <c r="H5" s="2433"/>
      <c r="I5" s="1833"/>
    </row>
    <row r="6" spans="1:12" ht="12.75">
      <c r="A6" s="3126"/>
      <c r="B6" s="3064"/>
      <c r="C6" s="3130"/>
      <c r="D6" s="3149"/>
      <c r="E6" s="140" t="s">
        <v>2083</v>
      </c>
      <c r="F6" s="2433"/>
      <c r="G6" s="2433"/>
      <c r="H6" s="2433"/>
      <c r="I6" s="1833"/>
    </row>
    <row r="7" spans="1:12" ht="12.75">
      <c r="A7" s="3126"/>
      <c r="B7" s="3064"/>
      <c r="C7" s="3131"/>
      <c r="D7" s="3149"/>
      <c r="E7" s="140" t="s">
        <v>2084</v>
      </c>
      <c r="F7" s="2433"/>
      <c r="G7" s="2433"/>
      <c r="H7" s="2433"/>
      <c r="I7" s="1833"/>
    </row>
    <row r="8" spans="1:12" ht="12.75">
      <c r="A8" s="3126" t="s">
        <v>2085</v>
      </c>
      <c r="B8" s="3064">
        <v>15</v>
      </c>
      <c r="C8" s="3129"/>
      <c r="D8" s="3149"/>
      <c r="E8" s="140" t="s">
        <v>2086</v>
      </c>
      <c r="F8" s="2433"/>
      <c r="G8" s="2433"/>
      <c r="H8" s="2433"/>
      <c r="I8" s="1833"/>
    </row>
    <row r="9" spans="1:12" ht="12.75">
      <c r="A9" s="3126"/>
      <c r="B9" s="3064"/>
      <c r="C9" s="3131"/>
      <c r="D9" s="3149"/>
      <c r="E9" s="140" t="s">
        <v>2087</v>
      </c>
      <c r="F9" s="2433"/>
      <c r="G9" s="2433"/>
      <c r="H9" s="2433"/>
      <c r="I9" s="1833"/>
    </row>
    <row r="10" spans="1:12" ht="12.75">
      <c r="A10" s="3126" t="s">
        <v>2088</v>
      </c>
      <c r="B10" s="3064">
        <v>15</v>
      </c>
      <c r="C10" s="3129"/>
      <c r="D10" s="3149"/>
      <c r="E10" s="140" t="s">
        <v>2089</v>
      </c>
      <c r="F10" s="2433"/>
      <c r="G10" s="2433"/>
      <c r="H10" s="2433"/>
      <c r="I10" s="1833"/>
    </row>
    <row r="11" spans="1:12" ht="12.75">
      <c r="A11" s="3126"/>
      <c r="B11" s="3064"/>
      <c r="C11" s="3131"/>
      <c r="D11" s="3149"/>
      <c r="E11" s="140" t="s">
        <v>2090</v>
      </c>
      <c r="F11" s="2433"/>
      <c r="G11" s="2433"/>
      <c r="H11" s="2433"/>
      <c r="I11" s="1833"/>
    </row>
    <row r="12" spans="1:12" ht="12.75">
      <c r="A12" s="3126" t="s">
        <v>2091</v>
      </c>
      <c r="B12" s="3064">
        <v>15</v>
      </c>
      <c r="C12" s="3129"/>
      <c r="D12" s="3149"/>
      <c r="E12" s="140" t="s">
        <v>2092</v>
      </c>
      <c r="F12" s="2433"/>
      <c r="G12" s="2433"/>
      <c r="H12" s="2433"/>
      <c r="I12" s="1833"/>
    </row>
    <row r="13" spans="1:12" ht="12.75">
      <c r="A13" s="3126"/>
      <c r="B13" s="3064"/>
      <c r="C13" s="3131"/>
      <c r="D13" s="3149"/>
      <c r="E13" s="140" t="s">
        <v>2093</v>
      </c>
      <c r="F13" s="2433"/>
      <c r="G13" s="2433"/>
      <c r="H13" s="2433"/>
      <c r="I13" s="1833"/>
    </row>
    <row r="14" spans="1:12" ht="12.75">
      <c r="A14" s="3126" t="s">
        <v>2094</v>
      </c>
      <c r="B14" s="3064">
        <v>30</v>
      </c>
      <c r="C14" s="3129">
        <v>6</v>
      </c>
      <c r="D14" s="3149">
        <v>4</v>
      </c>
      <c r="E14" s="140" t="s">
        <v>2095</v>
      </c>
      <c r="F14" s="2433"/>
      <c r="G14" s="2433"/>
      <c r="H14" s="2433"/>
      <c r="I14" s="1833"/>
    </row>
    <row r="15" spans="1:12" ht="12.75">
      <c r="A15" s="3126"/>
      <c r="B15" s="3064"/>
      <c r="C15" s="3130"/>
      <c r="D15" s="3149"/>
      <c r="E15" s="140" t="s">
        <v>2096</v>
      </c>
      <c r="F15" s="2433"/>
      <c r="G15" s="2433"/>
      <c r="H15" s="2433"/>
      <c r="I15" s="1833"/>
    </row>
    <row r="16" spans="1:12" ht="12.75">
      <c r="A16" s="3126"/>
      <c r="B16" s="3064"/>
      <c r="C16" s="3131"/>
      <c r="D16" s="3149"/>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44412.450000000026</v>
      </c>
      <c r="M18" s="2432">
        <f>IF(C1="",'数据-汇总表'!E3,SUMIF(项目类型,C1,'数据-汇总表'!E17:E26))</f>
        <v>44412.450000000026</v>
      </c>
    </row>
    <row r="19" spans="1:35" ht="15">
      <c r="A19" s="2438" t="s">
        <v>2103</v>
      </c>
      <c r="B19" s="2439" t="s">
        <v>2104</v>
      </c>
      <c r="C19" s="143">
        <f ca="1">SUMIF(INDIRECT("'"&amp;C4&amp;"'"&amp;"!A:A"),结果表!B19,INDIRECT("'"&amp;C4&amp;"'"&amp;"!B:B"))</f>
        <v>35664</v>
      </c>
      <c r="D19" s="144">
        <f ca="1">SUMIF(INDIRECT("'"&amp;D4&amp;"'"&amp;"!A:A"),结果表!B19,INDIRECT("'"&amp;D4&amp;"'"&amp;"!B:B"))</f>
        <v>26393</v>
      </c>
      <c r="E19" s="2438" t="s">
        <v>2105</v>
      </c>
      <c r="F19" s="2439" t="s">
        <v>2104</v>
      </c>
      <c r="G19" s="145">
        <f ca="1">ROUND(C19*$C$18+D19*$D$18,0)</f>
        <v>31956</v>
      </c>
      <c r="H19" s="2440" t="s">
        <v>2106</v>
      </c>
      <c r="I19" s="138"/>
      <c r="K19" s="2432" t="s">
        <v>2107</v>
      </c>
      <c r="L19" s="2432">
        <f>IF(C1="",'数据-汇总表'!D3,SUMIF(项目类型,C1,'数据-汇总表'!D17:D26)+SUMIF(项目类型,C1,'数据-汇总表'!H17:H27))</f>
        <v>6969.29</v>
      </c>
      <c r="M19" s="2432">
        <f>IF(C1="",'数据-汇总表'!D3,SUMIF(项目类型,C1,'数据-汇总表'!D17:D26))</f>
        <v>6969.29</v>
      </c>
    </row>
    <row r="20" spans="1:35" ht="15">
      <c r="A20" s="2441"/>
      <c r="B20" s="1250" t="s">
        <v>2108</v>
      </c>
      <c r="C20" s="146">
        <f ca="1">SUMIF(INDIRECT("'"&amp;C4&amp;"'"&amp;"!A:A"),结果表!B20,INDIRECT("'"&amp;C4&amp;"'"&amp;"!B:B"))</f>
        <v>8030</v>
      </c>
      <c r="D20" s="147">
        <f ca="1">SUMIF(INDIRECT("'"&amp;D4&amp;"'"&amp;"!A:A"),结果表!B20,INDIRECT("'"&amp;D4&amp;"'"&amp;"!B:B"))</f>
        <v>5943</v>
      </c>
      <c r="E20" s="2441"/>
      <c r="F20" s="1250" t="s">
        <v>2108</v>
      </c>
      <c r="G20" s="148">
        <f ca="1">ROUND(C20*$C$18+D20*$D$18,0)</f>
        <v>7195</v>
      </c>
      <c r="H20" s="983" t="s">
        <v>2109</v>
      </c>
      <c r="I20" s="138"/>
    </row>
    <row r="21" spans="1:35" ht="15" customHeight="1" thickBot="1">
      <c r="A21" s="1003"/>
      <c r="B21" s="2442" t="s">
        <v>2110</v>
      </c>
      <c r="C21" s="789">
        <f ca="1">ROUND(C19*10000/L19,0)</f>
        <v>51173</v>
      </c>
      <c r="D21" s="790">
        <f ca="1">ROUND(D19*10000/L19,0)</f>
        <v>37870</v>
      </c>
      <c r="E21" s="1003"/>
      <c r="F21" s="2442" t="s">
        <v>2110</v>
      </c>
      <c r="G21" s="149">
        <f ca="1">ROUND(G19*10000/L19,0)</f>
        <v>45853</v>
      </c>
      <c r="H21" s="2443" t="s">
        <v>2109</v>
      </c>
      <c r="I21" s="138"/>
    </row>
    <row r="22" spans="1:35" ht="15" thickBot="1">
      <c r="A22" s="2284" t="s">
        <v>2111</v>
      </c>
      <c r="B22" s="2444"/>
      <c r="C22" s="2445"/>
      <c r="D22" s="791">
        <f ca="1">IF(C19&lt;D19,D19/C19-1,C19/D19-1)</f>
        <v>0.35126738150267123</v>
      </c>
      <c r="E22" s="138"/>
      <c r="F22" s="138"/>
      <c r="G22" s="138"/>
      <c r="H22" s="138"/>
      <c r="I22" s="138"/>
    </row>
    <row r="23" spans="1:35" ht="13.5" thickBot="1">
      <c r="A23" s="2422"/>
      <c r="B23" s="2422"/>
      <c r="C23" s="2422"/>
      <c r="D23" s="2422"/>
      <c r="E23" s="138"/>
      <c r="F23" s="138"/>
      <c r="G23" s="138"/>
      <c r="H23" s="138"/>
      <c r="I23" s="138"/>
    </row>
    <row r="24" spans="1:35" ht="14.25">
      <c r="A24" s="3120" t="s">
        <v>2112</v>
      </c>
      <c r="B24" s="2439" t="s">
        <v>2104</v>
      </c>
      <c r="C24" s="145">
        <f>IF(B30=0,0,D30)</f>
        <v>0</v>
      </c>
      <c r="D24" s="2446"/>
      <c r="E24" s="138"/>
      <c r="F24" s="138"/>
      <c r="G24" s="138"/>
      <c r="H24" s="138"/>
      <c r="I24" s="138"/>
    </row>
    <row r="25" spans="1:35" ht="14.25">
      <c r="A25" s="3121"/>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31956</v>
      </c>
      <c r="D32" s="2453" t="s">
        <v>2119</v>
      </c>
      <c r="E32" s="138"/>
      <c r="F32" s="138"/>
      <c r="G32" s="138"/>
      <c r="H32" s="138"/>
      <c r="I32" s="138"/>
    </row>
    <row r="33" spans="1:15" ht="15">
      <c r="A33" s="960" t="s">
        <v>2120</v>
      </c>
      <c r="B33" s="2454"/>
      <c r="C33" s="2455" t="s">
        <v>3137</v>
      </c>
      <c r="D33" s="2456" t="s">
        <v>3118</v>
      </c>
      <c r="E33" s="2457" t="s">
        <v>2121</v>
      </c>
      <c r="F33" s="2458" t="str">
        <f>IF(D32="楼面单价","取值（单价）","取值（总价）")</f>
        <v>取值（总价）</v>
      </c>
      <c r="G33" s="138"/>
      <c r="H33" s="138"/>
      <c r="I33" s="138"/>
    </row>
    <row r="34" spans="1:15" ht="15">
      <c r="A34" s="2459"/>
      <c r="B34" s="2460" t="s">
        <v>2122</v>
      </c>
      <c r="C34" s="157">
        <f ca="1">IF(C33="自定义",F34,C32-C35)</f>
        <v>23488</v>
      </c>
      <c r="D34" s="1058">
        <f ca="1">IF(C33="自定义",ROUND(C34/C32,3),IF(C33="收益比率",SUMIF(INDIRECT("'"&amp;D33&amp;"'"&amp;"!b:b"),"土地收益比率",INDIRECT("'"&amp;D33&amp;"'"&amp;"!c:c")),SUMIF(INDIRECT("'"&amp;D33&amp;"'"&amp;"!b:b"),"土地成本比率",INDIRECT("'"&amp;D33&amp;"'"&amp;"!c:c"))))</f>
        <v>0.73499999999999999</v>
      </c>
      <c r="E34" s="2461" t="s">
        <v>2123</v>
      </c>
      <c r="F34" s="1738"/>
      <c r="G34" s="138"/>
      <c r="H34" s="138"/>
      <c r="I34" s="138"/>
    </row>
    <row r="35" spans="1:15" ht="15.75" thickBot="1">
      <c r="A35" s="2462"/>
      <c r="B35" s="2463" t="s">
        <v>2124</v>
      </c>
      <c r="C35" s="1444">
        <f ca="1">IF(C33="自定义",F35,ROUND(C32*D35,0))</f>
        <v>8468</v>
      </c>
      <c r="D35" s="1445">
        <f ca="1">IF(C33="自定义",ROUND(C35/C32,3),IF(C33="收益比率",SUMIF(INDIRECT("'"&amp;D33&amp;"'"&amp;"!b:b"),"建筑物收益比率",INDIRECT("'"&amp;D33&amp;"'"&amp;"!c:c")),SUMIF(INDIRECT("'"&amp;D33&amp;"'"&amp;"!b:b"),"建筑物成本比率",INDIRECT("'"&amp;D33&amp;"'"&amp;"!c:c"))))</f>
        <v>0.26500000000000001</v>
      </c>
      <c r="E35" s="2464" t="s">
        <v>2125</v>
      </c>
      <c r="F35" s="163"/>
      <c r="G35" s="138"/>
      <c r="H35" s="138"/>
      <c r="I35" s="138"/>
    </row>
    <row r="36" spans="1:15" ht="15.75" thickBot="1">
      <c r="A36" s="3138" t="s">
        <v>2126</v>
      </c>
      <c r="B36" s="2465" t="s">
        <v>2127</v>
      </c>
      <c r="C36" s="154"/>
      <c r="D36" s="2466"/>
      <c r="E36" s="2467"/>
      <c r="F36" s="2468"/>
      <c r="G36" s="138"/>
      <c r="H36" s="138"/>
      <c r="I36" s="138"/>
    </row>
    <row r="37" spans="1:15" ht="15.75" thickBot="1">
      <c r="A37" s="3139"/>
      <c r="B37" s="2270" t="s">
        <v>2128</v>
      </c>
      <c r="C37" s="156"/>
      <c r="D37" s="1395"/>
      <c r="E37" s="1395"/>
      <c r="F37" s="2468"/>
      <c r="G37" s="138"/>
      <c r="H37" s="138"/>
      <c r="I37" s="138"/>
    </row>
    <row r="38" spans="1:15" ht="15.75" thickBot="1">
      <c r="A38" s="3140"/>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17" t="s">
        <v>2140</v>
      </c>
      <c r="B45" s="3118"/>
      <c r="C45" s="3119"/>
      <c r="D45" s="164">
        <f ca="1">ROUND(H101*F45,0)</f>
        <v>31956</v>
      </c>
      <c r="E45" s="165" t="s">
        <v>2141</v>
      </c>
      <c r="F45" s="166">
        <v>1</v>
      </c>
      <c r="G45" s="167" t="s">
        <v>2142</v>
      </c>
      <c r="H45" s="138"/>
      <c r="I45" s="138"/>
      <c r="J45" s="3177" t="s">
        <v>2143</v>
      </c>
      <c r="K45" s="3177"/>
      <c r="L45" s="3177"/>
      <c r="M45" s="3177"/>
      <c r="N45" s="3177"/>
      <c r="O45" s="3177"/>
    </row>
    <row r="46" spans="1:15" ht="14.25" customHeight="1">
      <c r="A46" s="3114" t="s">
        <v>2144</v>
      </c>
      <c r="B46" s="3115"/>
      <c r="C46" s="3115"/>
      <c r="D46" s="3115"/>
      <c r="E46" s="3115"/>
      <c r="F46" s="3115"/>
      <c r="G46" s="3116"/>
      <c r="H46" s="2484"/>
      <c r="I46" s="168"/>
      <c r="J46" s="1811">
        <v>1</v>
      </c>
      <c r="K46" s="3177" t="s">
        <v>2145</v>
      </c>
      <c r="L46" s="3177"/>
      <c r="M46" s="3197"/>
      <c r="N46" s="3197"/>
      <c r="O46" s="3197"/>
    </row>
    <row r="47" spans="1:15" ht="12" customHeight="1">
      <c r="A47" s="169" t="s">
        <v>2146</v>
      </c>
      <c r="B47" s="170"/>
      <c r="C47" s="171"/>
      <c r="D47" s="172" t="s">
        <v>2147</v>
      </c>
      <c r="E47" s="24" t="s">
        <v>2148</v>
      </c>
      <c r="F47" s="173" t="s">
        <v>2149</v>
      </c>
      <c r="G47" s="174" t="s">
        <v>2150</v>
      </c>
      <c r="H47" s="2484"/>
      <c r="I47" s="168"/>
      <c r="J47" s="1811">
        <v>2</v>
      </c>
      <c r="K47" s="3177" t="s">
        <v>2151</v>
      </c>
      <c r="L47" s="3177"/>
      <c r="M47" s="3198">
        <f>'数据-取费表'!B2</f>
        <v>43321</v>
      </c>
      <c r="N47" s="3198"/>
      <c r="O47" s="3198"/>
    </row>
    <row r="48" spans="1:15" ht="25.5">
      <c r="A48" s="3145" t="s">
        <v>2152</v>
      </c>
      <c r="B48" s="3128"/>
      <c r="C48" s="3128"/>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177" t="s">
        <v>2155</v>
      </c>
      <c r="L48" s="3177"/>
      <c r="M48" s="3199">
        <f ca="1">H101</f>
        <v>31956</v>
      </c>
      <c r="N48" s="3199"/>
      <c r="O48" s="3199"/>
    </row>
    <row r="49" spans="1:35" ht="25.5" customHeight="1">
      <c r="A49" s="176" t="s">
        <v>2156</v>
      </c>
      <c r="B49" s="3113" t="s">
        <v>2157</v>
      </c>
      <c r="C49" s="3113"/>
      <c r="D49" s="177">
        <v>0</v>
      </c>
      <c r="E49" s="23" t="s">
        <v>2158</v>
      </c>
      <c r="F49" s="28" t="s">
        <v>34</v>
      </c>
      <c r="G49" s="3183"/>
      <c r="H49" s="138"/>
      <c r="I49" s="2487"/>
      <c r="J49" s="1811">
        <v>4</v>
      </c>
      <c r="K49" s="3177" t="str">
        <f>IF(项目基本情况!E8="房地产抵押价值","房地产抵押价值","抵押担保权已注销时的房地产抵押价值")</f>
        <v>房地产抵押价值</v>
      </c>
      <c r="L49" s="3177"/>
      <c r="M49" s="3199">
        <f ca="1">IF(项目基本情况!E8="房地产抵押价值",H107,H109)</f>
        <v>31956</v>
      </c>
      <c r="N49" s="3199"/>
      <c r="O49" s="3199"/>
    </row>
    <row r="50" spans="1:35" ht="25.5" customHeight="1">
      <c r="A50" s="178"/>
      <c r="B50" s="3113" t="s">
        <v>2159</v>
      </c>
      <c r="C50" s="3113"/>
      <c r="D50" s="179"/>
      <c r="E50" s="31"/>
      <c r="F50" s="180"/>
      <c r="G50" s="3184"/>
      <c r="H50" s="138"/>
      <c r="I50" s="2487"/>
      <c r="J50" s="3177" t="s">
        <v>2160</v>
      </c>
      <c r="K50" s="3177"/>
      <c r="L50" s="3177"/>
      <c r="M50" s="3177"/>
      <c r="N50" s="3177"/>
      <c r="O50" s="3177"/>
    </row>
    <row r="51" spans="1:35" ht="12" customHeight="1">
      <c r="A51" s="181"/>
      <c r="B51" s="3113" t="s">
        <v>2161</v>
      </c>
      <c r="C51" s="3113"/>
      <c r="D51" s="182"/>
      <c r="E51" s="30"/>
      <c r="F51" s="180"/>
      <c r="G51" s="3185"/>
      <c r="H51" s="138"/>
      <c r="I51" s="2487"/>
      <c r="J51" s="2488" t="s">
        <v>2162</v>
      </c>
      <c r="K51" s="3177" t="s">
        <v>2163</v>
      </c>
      <c r="L51" s="3177"/>
      <c r="M51" s="2488" t="s">
        <v>2164</v>
      </c>
      <c r="N51" s="2488" t="s">
        <v>2165</v>
      </c>
      <c r="O51" s="2488" t="s">
        <v>2166</v>
      </c>
    </row>
    <row r="52" spans="1:35" ht="24" customHeight="1">
      <c r="A52" s="183" t="s">
        <v>2167</v>
      </c>
      <c r="B52" s="3113" t="s">
        <v>2168</v>
      </c>
      <c r="C52" s="3113"/>
      <c r="D52" s="182">
        <f ca="1">ROUND(D45*'数据-取费表'!B41/(1+'数据-取费表'!C42),0)</f>
        <v>1704</v>
      </c>
      <c r="E52" s="11" t="s">
        <v>2169</v>
      </c>
      <c r="F52" s="184">
        <f>'数据-取费表'!B41</f>
        <v>5.6000000000000001E-2</v>
      </c>
      <c r="G52" s="2489"/>
      <c r="H52" s="138"/>
      <c r="I52" s="2487"/>
      <c r="J52" s="1811">
        <v>1</v>
      </c>
      <c r="K52" s="3178" t="s">
        <v>2170</v>
      </c>
      <c r="L52" s="3178"/>
      <c r="M52" s="1753">
        <f>D48</f>
        <v>0</v>
      </c>
      <c r="N52" s="1811" t="str">
        <f>E48</f>
        <v>销售额×税（费）率</v>
      </c>
      <c r="O52" s="1754" t="str">
        <f>F48</f>
        <v>免征</v>
      </c>
    </row>
    <row r="53" spans="1:35" ht="12" customHeight="1">
      <c r="A53" s="183" t="s">
        <v>2171</v>
      </c>
      <c r="B53" s="3136" t="s">
        <v>2172</v>
      </c>
      <c r="C53" s="3137"/>
      <c r="D53" s="182">
        <f ca="1">ROUND(D45*'数据-取费表'!B41/(1+'数据-取费表'!C42),0)</f>
        <v>1704</v>
      </c>
      <c r="E53" s="11" t="s">
        <v>2169</v>
      </c>
      <c r="F53" s="184">
        <f>'数据-取费表'!B41</f>
        <v>5.6000000000000001E-2</v>
      </c>
      <c r="G53" s="2489"/>
      <c r="H53" s="138"/>
      <c r="I53" s="2487"/>
      <c r="J53" s="1811">
        <v>2</v>
      </c>
      <c r="K53" s="3178" t="s">
        <v>2173</v>
      </c>
      <c r="L53" s="3178"/>
      <c r="M53" s="1753">
        <f t="shared" ref="M53:O54" ca="1" si="0">D55</f>
        <v>16</v>
      </c>
      <c r="N53" s="1811" t="str">
        <f t="shared" si="0"/>
        <v>销售额×税（费）率</v>
      </c>
      <c r="O53" s="1754">
        <f t="shared" si="0"/>
        <v>5.0000000000000001E-4</v>
      </c>
    </row>
    <row r="54" spans="1:35" ht="12" customHeight="1">
      <c r="A54" s="183" t="s">
        <v>2174</v>
      </c>
      <c r="B54" s="3136" t="s">
        <v>2175</v>
      </c>
      <c r="C54" s="3137"/>
      <c r="D54" s="182">
        <f ca="1">C68</f>
        <v>1704</v>
      </c>
      <c r="E54" s="30" t="s">
        <v>2176</v>
      </c>
      <c r="F54" s="184">
        <f>'数据-取费表'!B41</f>
        <v>5.6000000000000001E-2</v>
      </c>
      <c r="G54" s="2489"/>
      <c r="H54" s="2490"/>
      <c r="I54" s="2487"/>
      <c r="J54" s="1811">
        <v>3</v>
      </c>
      <c r="K54" s="3178" t="s">
        <v>2177</v>
      </c>
      <c r="L54" s="3178"/>
      <c r="M54" s="1753">
        <f t="shared" ca="1" si="0"/>
        <v>18087</v>
      </c>
      <c r="N54" s="1811" t="str">
        <f t="shared" si="0"/>
        <v>增值额×税（费）率</v>
      </c>
      <c r="O54" s="1755" t="str">
        <f t="shared" si="0"/>
        <v>——</v>
      </c>
    </row>
    <row r="55" spans="1:35" ht="24" customHeight="1">
      <c r="A55" s="3127" t="s">
        <v>2178</v>
      </c>
      <c r="B55" s="3128"/>
      <c r="C55" s="3128"/>
      <c r="D55" s="185">
        <f ca="1">IF(H55="个人住宅",0,ROUND(D45*I55,0))</f>
        <v>16</v>
      </c>
      <c r="E55" s="11" t="s">
        <v>2179</v>
      </c>
      <c r="F55" s="184">
        <f>IF(H55="正常",I55,"免征")</f>
        <v>5.0000000000000001E-4</v>
      </c>
      <c r="G55" s="2489"/>
      <c r="H55" s="2486" t="s">
        <v>2180</v>
      </c>
      <c r="I55" s="186">
        <f>'数据-取费表'!B49</f>
        <v>5.0000000000000001E-4</v>
      </c>
      <c r="J55" s="1811" t="str">
        <f>IF(H59="非个人房产","",4)</f>
        <v/>
      </c>
      <c r="K55" s="3178" t="str">
        <f>IF(H59="非个人房产","——","个人所得税")</f>
        <v>——</v>
      </c>
      <c r="L55" s="3178"/>
      <c r="M55" s="1756" t="str">
        <f>D59</f>
        <v>——</v>
      </c>
      <c r="N55" s="1809" t="str">
        <f>E59</f>
        <v>——</v>
      </c>
      <c r="O55" s="1757" t="str">
        <f>F59</f>
        <v>——</v>
      </c>
    </row>
    <row r="56" spans="1:35" ht="24.75">
      <c r="A56" s="3127" t="s">
        <v>2181</v>
      </c>
      <c r="B56" s="3128"/>
      <c r="C56" s="3128"/>
      <c r="D56" s="185">
        <f ca="1">IF(H56="个人住宅",D57,D58)</f>
        <v>18087</v>
      </c>
      <c r="E56" s="11" t="s">
        <v>2182</v>
      </c>
      <c r="F56" s="184" t="str">
        <f>IF(H56="正常",F58,"免征")</f>
        <v>——</v>
      </c>
      <c r="G56" s="2491" t="s">
        <v>2183</v>
      </c>
      <c r="H56" s="2492" t="s">
        <v>2180</v>
      </c>
      <c r="I56" s="2493"/>
      <c r="J56" s="1811" t="str">
        <f>IF(项目基本情况!K6="上海银行",IF(J55="",4,J55+1),"")</f>
        <v/>
      </c>
      <c r="K56" s="3201" t="str">
        <f>IF(项目基本情况!K6="上海银行","其他处置费用","")</f>
        <v/>
      </c>
      <c r="L56" s="3202"/>
      <c r="M56" s="1753" t="str">
        <f>IF(项目基本情况!K6="上海银行",M69,"")</f>
        <v/>
      </c>
      <c r="N56" s="3204" t="str">
        <f>IF(项目基本情况!K6="上海银行","包含处置中涉及的律师、诉讼、拍卖、评估等费用","")</f>
        <v/>
      </c>
      <c r="O56" s="3205"/>
    </row>
    <row r="57" spans="1:35" ht="12.75">
      <c r="A57" s="183" t="s">
        <v>2156</v>
      </c>
      <c r="B57" s="3143" t="s">
        <v>2184</v>
      </c>
      <c r="C57" s="3152"/>
      <c r="D57" s="187">
        <v>0</v>
      </c>
      <c r="E57" s="23" t="s">
        <v>2158</v>
      </c>
      <c r="F57" s="155"/>
      <c r="G57" s="2489"/>
      <c r="H57" s="2493"/>
      <c r="I57" s="2493"/>
      <c r="J57" s="3178">
        <f>IF(AND(J55="",J56=""),4,IF(项目基本情况!K6="上海银行",结果表!J56+1,结果表!J55+1))</f>
        <v>4</v>
      </c>
      <c r="K57" s="3178" t="s">
        <v>2185</v>
      </c>
      <c r="L57" s="2494" t="s">
        <v>2186</v>
      </c>
      <c r="M57" s="1758"/>
      <c r="N57" s="1759">
        <f ca="1">SUMIF(M52:M56,"&lt;9e307")</f>
        <v>18103</v>
      </c>
      <c r="O57" s="2495"/>
      <c r="P57" s="1752">
        <f ca="1">N57/M49</f>
        <v>0.56649768431593439</v>
      </c>
    </row>
    <row r="58" spans="1:35" ht="24.75">
      <c r="A58" s="183" t="s">
        <v>2167</v>
      </c>
      <c r="B58" s="3143" t="s">
        <v>2187</v>
      </c>
      <c r="C58" s="3144"/>
      <c r="D58" s="185">
        <f ca="1">IF(H58="转让取得",C81,C97)</f>
        <v>18087</v>
      </c>
      <c r="E58" s="11" t="s">
        <v>2182</v>
      </c>
      <c r="F58" s="24" t="s">
        <v>34</v>
      </c>
      <c r="G58" s="2489"/>
      <c r="H58" s="2492" t="s">
        <v>2188</v>
      </c>
      <c r="I58" s="2493"/>
      <c r="J58" s="3178"/>
      <c r="K58" s="3178"/>
      <c r="L58" s="2494" t="s">
        <v>2189</v>
      </c>
      <c r="M58" s="1760"/>
      <c r="N58" s="2496" t="str">
        <f ca="1">NUMBERSTRING(INT(N57*10000),2)&amp;"元整"</f>
        <v>壹亿捌仟壹佰零叁万元整</v>
      </c>
      <c r="O58" s="2497"/>
    </row>
    <row r="59" spans="1:35" ht="24.75" thickBot="1">
      <c r="A59" s="3181" t="s">
        <v>2190</v>
      </c>
      <c r="B59" s="3182"/>
      <c r="C59" s="3182"/>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179">
        <f>J57+1</f>
        <v>5</v>
      </c>
      <c r="K59" s="3178" t="s">
        <v>2192</v>
      </c>
      <c r="L59" s="1811" t="s">
        <v>2186</v>
      </c>
      <c r="M59" s="1761"/>
      <c r="N59" s="1762">
        <f ca="1">M49-N57</f>
        <v>13853</v>
      </c>
      <c r="O59" s="2499"/>
    </row>
    <row r="60" spans="1:35" ht="12" customHeight="1">
      <c r="A60" s="2500"/>
      <c r="B60" s="2422"/>
      <c r="C60" s="2422"/>
      <c r="D60" s="2422"/>
      <c r="E60" s="2169"/>
      <c r="F60" s="2493"/>
      <c r="G60" s="2493"/>
      <c r="H60" s="2501"/>
      <c r="I60" s="138"/>
      <c r="J60" s="3180"/>
      <c r="K60" s="3178"/>
      <c r="L60" s="2494" t="s">
        <v>2189</v>
      </c>
      <c r="M60" s="1760"/>
      <c r="N60" s="2496" t="str">
        <f ca="1">NUMBERSTRING(INT(N59*10000),2)&amp;"元整"</f>
        <v>壹亿叁仟捌佰伍拾叁万元整</v>
      </c>
      <c r="O60" s="2497"/>
    </row>
    <row r="61" spans="1:35" ht="13.5" thickBot="1">
      <c r="A61" s="3125" t="s">
        <v>2193</v>
      </c>
      <c r="B61" s="3125"/>
      <c r="C61" s="3125"/>
      <c r="D61" s="3125"/>
      <c r="E61" s="3125"/>
      <c r="F61" s="2493"/>
      <c r="G61" s="2493"/>
      <c r="H61" s="2501"/>
      <c r="I61" s="138"/>
      <c r="J61" s="1811">
        <f>J59+1</f>
        <v>6</v>
      </c>
      <c r="K61" s="3178" t="s">
        <v>2194</v>
      </c>
      <c r="L61" s="3178"/>
      <c r="M61" s="1763"/>
      <c r="N61" s="1764">
        <f ca="1">ROUND(N59*10000/'数据-汇总表'!E3,0)</f>
        <v>3119</v>
      </c>
      <c r="O61" s="2502"/>
    </row>
    <row r="62" spans="1:35" ht="12.75">
      <c r="A62" s="3141" t="s">
        <v>2195</v>
      </c>
      <c r="B62" s="3142"/>
      <c r="C62" s="1803"/>
      <c r="D62" s="1803" t="s">
        <v>2196</v>
      </c>
      <c r="E62" s="192" t="s">
        <v>2197</v>
      </c>
      <c r="F62" s="2493"/>
      <c r="G62" s="2493"/>
      <c r="H62" s="2501"/>
      <c r="I62" s="138"/>
    </row>
    <row r="63" spans="1:35" ht="12.75">
      <c r="A63" s="203" t="s">
        <v>774</v>
      </c>
      <c r="B63" s="193" t="s">
        <v>2198</v>
      </c>
      <c r="C63" s="194">
        <f ca="1">ROUND((C64+C65)/(1+'数据-取费表'!C42),0)</f>
        <v>30434</v>
      </c>
      <c r="D63" s="195"/>
      <c r="E63" s="196"/>
      <c r="F63" s="2493"/>
      <c r="G63" s="2493"/>
      <c r="H63" s="2501"/>
      <c r="I63" s="138"/>
      <c r="J63" s="3203" t="s">
        <v>2199</v>
      </c>
      <c r="K63" s="2503" t="s">
        <v>2200</v>
      </c>
      <c r="L63" s="1751">
        <f ca="1">IF(M49&gt;10000,M49*0.5%,IF(AND(M49&gt;1000,M49&lt;=10000),M49*1%,IF(AND(M49&gt;100,M49&lt;=1000),M49*3%,IF(AND(M49&gt;10,M49&lt;=100),M49*5%,M49*8%))))</f>
        <v>159.78</v>
      </c>
      <c r="M63" s="24">
        <f ca="1">ROUND(L63,1)</f>
        <v>159.80000000000001</v>
      </c>
      <c r="Z63" s="2427"/>
      <c r="AI63" s="2428"/>
    </row>
    <row r="64" spans="1:35" ht="14.25" customHeight="1">
      <c r="A64" s="197" t="s">
        <v>769</v>
      </c>
      <c r="B64" s="198" t="s">
        <v>2201</v>
      </c>
      <c r="C64" s="199">
        <f ca="1">D45</f>
        <v>31956</v>
      </c>
      <c r="D64" s="200" t="s">
        <v>32</v>
      </c>
      <c r="E64" s="201"/>
      <c r="F64" s="2493"/>
      <c r="G64" s="2493"/>
      <c r="H64" s="2501"/>
      <c r="I64" s="138"/>
      <c r="J64" s="3203"/>
      <c r="K64" s="2503" t="s">
        <v>2202</v>
      </c>
      <c r="L64" s="1751">
        <f ca="1">IF(M49&gt;2000,M49*0.5%,IF(AND(M49&gt;1000,M49&lt;=2000),M49*0.6%,IF(AND(M49&gt;500,M49&lt;=1000),M49*0.7%,IF(AND(M49&gt;200,M49&lt;=500),M49*0.8%,IF(AND(M49&gt;100,M49&lt;=200),M49*0.9%,IF(AND(M49&gt;50,M49&lt;=100),M49*1%,IF(AND(M49&gt;20,M49&lt;=50),M49*1.5%,IF(AND(M49&gt;10,M49&lt;=20),M49*2%,IF(AND(M49&gt;1,M49&lt;=10),M49*2.5%)))))))))</f>
        <v>159.78</v>
      </c>
      <c r="M64" s="24">
        <f t="shared" ref="M64:M65" ca="1" si="1">ROUND(L64,1)</f>
        <v>159.80000000000001</v>
      </c>
      <c r="N64" s="138" t="s">
        <v>2203</v>
      </c>
      <c r="Z64" s="2427"/>
      <c r="AI64" s="2428"/>
    </row>
    <row r="65" spans="1:35" ht="14.25" customHeight="1">
      <c r="A65" s="197" t="s">
        <v>770</v>
      </c>
      <c r="B65" s="198" t="s">
        <v>2204</v>
      </c>
      <c r="C65" s="202"/>
      <c r="D65" s="200"/>
      <c r="E65" s="201"/>
      <c r="F65" s="2493"/>
      <c r="G65" s="2493"/>
      <c r="H65" s="2501"/>
      <c r="I65" s="138"/>
      <c r="J65" s="3203"/>
      <c r="K65" s="2503" t="s">
        <v>2205</v>
      </c>
      <c r="L65" s="1751">
        <f ca="1">IF(M49&gt;1000,M49*0.1%,IF(AND(M49&gt;500,M49&lt;=1000),M49*0.5%,IF(AND(M49&gt;50,M49&lt;=500),M49*1%,IF(AND(M49&gt;1,M49&lt;=50),M49*1.5%))))</f>
        <v>31.956</v>
      </c>
      <c r="M65" s="24">
        <f t="shared" ca="1" si="1"/>
        <v>32</v>
      </c>
      <c r="N65" s="138" t="s">
        <v>2203</v>
      </c>
      <c r="Z65" s="2427"/>
      <c r="AI65" s="2428"/>
    </row>
    <row r="66" spans="1:35" ht="14.25" customHeight="1">
      <c r="A66" s="203" t="s">
        <v>771</v>
      </c>
      <c r="B66" s="204" t="s">
        <v>2206</v>
      </c>
      <c r="C66" s="205"/>
      <c r="D66" s="206" t="s">
        <v>32</v>
      </c>
      <c r="E66" s="1775" t="s">
        <v>1367</v>
      </c>
      <c r="F66" s="2493"/>
      <c r="G66" s="2493"/>
      <c r="H66" s="2501"/>
      <c r="I66" s="138"/>
      <c r="J66" s="3203"/>
      <c r="K66" s="2503" t="s">
        <v>2207</v>
      </c>
      <c r="L66" s="1751">
        <f ca="1">M49*0.5%</f>
        <v>159.78</v>
      </c>
      <c r="M66" s="24">
        <f ca="1">IF(L66&gt;0.5,0.5,ROUND(L66,0))</f>
        <v>0.5</v>
      </c>
      <c r="N66" s="138" t="s">
        <v>2208</v>
      </c>
      <c r="Z66" s="2427"/>
      <c r="AI66" s="2428"/>
    </row>
    <row r="67" spans="1:35" ht="14.25" customHeight="1">
      <c r="A67" s="203" t="s">
        <v>772</v>
      </c>
      <c r="B67" s="204" t="s">
        <v>2209</v>
      </c>
      <c r="C67" s="207">
        <f ca="1">C63-C66</f>
        <v>30434</v>
      </c>
      <c r="D67" s="200" t="s">
        <v>32</v>
      </c>
      <c r="E67" s="201"/>
      <c r="F67" s="2493"/>
      <c r="G67" s="2493"/>
      <c r="H67" s="2501"/>
      <c r="I67" s="138"/>
      <c r="J67" s="3203"/>
      <c r="K67" s="2503" t="s">
        <v>2210</v>
      </c>
      <c r="L67" s="1751">
        <f ca="1">IF(M49&gt;=10000,(8.25+(M49-10000)*0.01%),IF(AND(M49&gt;=8000,M49&lt;10000),(7.85+(M49-8000)*0.02%),IF(AND(M49&gt;=5000,M49&lt;8000),(6.65+(M49-5000)*0.04%),IF(AND(M49&gt;=2000,M49&lt;5000),(4.25+(PM49-2000)*0.08%),IF(AND(M49&gt;=1000,M49&lt;2000),(2.75+(M49-1000)*0.15%),IF(AND(M49&gt;=100,M49&lt;1000),(0.5+(M49-100)*0.25%),IF(AND(M49&gt;0,M49&lt;100),M49*0.5%)))))))</f>
        <v>10.445600000000001</v>
      </c>
      <c r="M67" s="24">
        <f ca="1">ROUND(L67*0.9,1)</f>
        <v>9.4</v>
      </c>
      <c r="Z67" s="2427"/>
      <c r="AI67" s="2428"/>
    </row>
    <row r="68" spans="1:35" ht="14.25" customHeight="1" thickBot="1">
      <c r="A68" s="208" t="s">
        <v>773</v>
      </c>
      <c r="B68" s="209" t="s">
        <v>2211</v>
      </c>
      <c r="C68" s="210">
        <f ca="1">IF(C67&lt;=0,0,ROUND(C67*D68,0))</f>
        <v>1704</v>
      </c>
      <c r="D68" s="211">
        <f>'数据-取费表'!B41</f>
        <v>5.6000000000000001E-2</v>
      </c>
      <c r="E68" s="212"/>
      <c r="F68" s="2493"/>
      <c r="G68" s="2493"/>
      <c r="H68" s="2501"/>
      <c r="I68" s="138"/>
      <c r="J68" s="3203"/>
      <c r="K68" s="2503" t="s">
        <v>2212</v>
      </c>
      <c r="L68" s="1751">
        <f ca="1">IF(M49&gt;10000,M49*0.5%,IF(AND(M49&gt;5000,M49&lt;=10000),M49*1%,IF(AND(M49&gt;1000,M49&lt;=5000),M49*2%,IF(AND(M49&gt;200,M49&lt;=1000),M49*3%,M49*5%))))</f>
        <v>159.78</v>
      </c>
      <c r="M68" s="24">
        <f ca="1">ROUND(L68,1)</f>
        <v>159.80000000000001</v>
      </c>
      <c r="Z68" s="2427"/>
      <c r="AI68" s="2428"/>
    </row>
    <row r="69" spans="1:35" s="2450" customFormat="1" ht="16.5" customHeight="1">
      <c r="A69" s="2504"/>
      <c r="B69" s="2505"/>
      <c r="C69" s="2506"/>
      <c r="D69" s="2507"/>
      <c r="E69" s="2508"/>
      <c r="F69" s="2169"/>
      <c r="G69" s="2169"/>
      <c r="H69" s="2168"/>
      <c r="I69" s="2422"/>
      <c r="J69" s="3203"/>
      <c r="K69" s="2503" t="s">
        <v>2213</v>
      </c>
      <c r="L69" s="2509"/>
      <c r="M69" s="24">
        <f ca="1">ROUND(SUM(M63:M68),0)</f>
        <v>521</v>
      </c>
      <c r="N69" s="1752">
        <f ca="1">M69/M49</f>
        <v>1.6303667542871447E-2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2" t="s">
        <v>2214</v>
      </c>
      <c r="B70" s="3163"/>
      <c r="C70" s="3163"/>
      <c r="D70" s="3163"/>
      <c r="E70" s="3163"/>
      <c r="F70" s="3163"/>
      <c r="G70" s="3163"/>
      <c r="H70" s="316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1" t="s">
        <v>2195</v>
      </c>
      <c r="B71" s="3142"/>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30434</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183</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36" t="s">
        <v>2223</v>
      </c>
      <c r="F76" s="3113"/>
      <c r="G76" s="3113"/>
      <c r="H76" s="316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183</v>
      </c>
      <c r="D78" s="226">
        <f>'数据-取费表'!B43</f>
        <v>6.000000000000001E-3</v>
      </c>
      <c r="E78" s="3122" t="s">
        <v>2228</v>
      </c>
      <c r="F78" s="3123"/>
      <c r="G78" s="3123"/>
      <c r="H78" s="313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30251</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165.30601092896174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18087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2" t="s">
        <v>2232</v>
      </c>
      <c r="B83" s="3163"/>
      <c r="C83" s="3163"/>
      <c r="D83" s="3163"/>
      <c r="E83" s="3163"/>
      <c r="F83" s="3163"/>
      <c r="G83" s="3163"/>
      <c r="H83" s="316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1" t="s">
        <v>2195</v>
      </c>
      <c r="B84" s="3142"/>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30434</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183</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22" t="s">
        <v>2241</v>
      </c>
      <c r="F91" s="3123"/>
      <c r="G91" s="3123"/>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22" t="s">
        <v>2245</v>
      </c>
      <c r="F92" s="3123"/>
      <c r="G92" s="3123"/>
      <c r="H92" s="313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183</v>
      </c>
      <c r="D93" s="226">
        <f>'数据-取费表'!B43</f>
        <v>6.000000000000001E-3</v>
      </c>
      <c r="E93" s="3122" t="s">
        <v>2228</v>
      </c>
      <c r="F93" s="3123"/>
      <c r="G93" s="3123"/>
      <c r="H93" s="313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33" t="s">
        <v>2249</v>
      </c>
      <c r="F94" s="3134"/>
      <c r="G94" s="3134"/>
      <c r="H94" s="313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30251</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165.30601092896174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18087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107" t="s">
        <v>2251</v>
      </c>
      <c r="B100" s="3108"/>
      <c r="C100" s="3108"/>
      <c r="D100" s="3124"/>
      <c r="E100" s="3108" t="s">
        <v>2252</v>
      </c>
      <c r="F100" s="3108"/>
      <c r="G100" s="3108"/>
      <c r="H100" s="3124"/>
      <c r="I100" s="138"/>
    </row>
    <row r="101" spans="1:35" ht="18.75" customHeight="1">
      <c r="A101" s="3186" t="s">
        <v>2253</v>
      </c>
      <c r="B101" s="3187"/>
      <c r="C101" s="736" t="str">
        <f>C4</f>
        <v>成本法</v>
      </c>
      <c r="D101" s="737" t="str">
        <f>D4</f>
        <v>假设开发法</v>
      </c>
      <c r="E101" s="3200" t="s">
        <v>2254</v>
      </c>
      <c r="F101" s="3154"/>
      <c r="G101" s="2524" t="s">
        <v>2255</v>
      </c>
      <c r="H101" s="1048">
        <f ca="1">H118</f>
        <v>31956</v>
      </c>
      <c r="I101" s="138"/>
    </row>
    <row r="102" spans="1:35" ht="18.75" customHeight="1">
      <c r="A102" s="3156" t="s">
        <v>2256</v>
      </c>
      <c r="B102" s="2524" t="s">
        <v>2255</v>
      </c>
      <c r="C102" s="736">
        <f ca="1">C19</f>
        <v>35664</v>
      </c>
      <c r="D102" s="737">
        <f ca="1">D19</f>
        <v>26393</v>
      </c>
      <c r="E102" s="3200"/>
      <c r="F102" s="3154"/>
      <c r="G102" s="2524" t="s">
        <v>2257</v>
      </c>
      <c r="H102" s="371">
        <f ca="1">I118</f>
        <v>7195</v>
      </c>
      <c r="I102" s="138"/>
    </row>
    <row r="103" spans="1:35" ht="42.75" customHeight="1">
      <c r="A103" s="3156"/>
      <c r="B103" s="2524" t="s">
        <v>2257</v>
      </c>
      <c r="C103" s="738">
        <f ca="1">C20</f>
        <v>8030</v>
      </c>
      <c r="D103" s="739">
        <f ca="1">D20</f>
        <v>5943</v>
      </c>
      <c r="E103" s="3195" t="s">
        <v>2258</v>
      </c>
      <c r="F103" s="3196"/>
      <c r="G103" s="2525" t="s">
        <v>2259</v>
      </c>
      <c r="H103" s="1048">
        <f>IF(D36="正常操作",H104+H105+H106,H105+H106)</f>
        <v>0</v>
      </c>
      <c r="I103" s="138"/>
    </row>
    <row r="104" spans="1:35" ht="18.75" customHeight="1">
      <c r="A104" s="3156" t="s">
        <v>2260</v>
      </c>
      <c r="B104" s="2526" t="s">
        <v>2255</v>
      </c>
      <c r="C104" s="740">
        <f ca="1">H118</f>
        <v>31956</v>
      </c>
      <c r="D104" s="741"/>
      <c r="E104" s="2270" t="s">
        <v>2261</v>
      </c>
      <c r="F104" s="2261"/>
      <c r="G104" s="2525" t="s">
        <v>2259</v>
      </c>
      <c r="H104" s="1049">
        <f>IF(D36="同一抵押权人同一抵押物续贷",C36&amp;"（未扣减，详见特别提示）",C36)</f>
        <v>0</v>
      </c>
      <c r="I104" s="138"/>
    </row>
    <row r="105" spans="1:35" ht="18.75" customHeight="1" thickBot="1">
      <c r="A105" s="3157"/>
      <c r="B105" s="2527" t="s">
        <v>2257</v>
      </c>
      <c r="C105" s="742">
        <f ca="1">I118</f>
        <v>7195</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153" t="str">
        <f>IF(项目基本情况!E8="已注销","——","3.房地产抵押价值")</f>
        <v>3.房地产抵押价值</v>
      </c>
      <c r="F107" s="3154"/>
      <c r="G107" s="2524" t="s">
        <v>2255</v>
      </c>
      <c r="H107" s="1048">
        <f ca="1">IF(E107="——","——",H101-H103)</f>
        <v>31956</v>
      </c>
      <c r="I107" s="138"/>
    </row>
    <row r="108" spans="1:35" ht="18.75" customHeight="1">
      <c r="A108" s="138"/>
      <c r="B108" s="138"/>
      <c r="C108" s="138"/>
      <c r="D108" s="138"/>
      <c r="E108" s="3153"/>
      <c r="F108" s="3154"/>
      <c r="G108" s="2524" t="s">
        <v>2257</v>
      </c>
      <c r="H108" s="371">
        <f ca="1">ROUND(H107*10000/'数据-汇总表'!E3,0)</f>
        <v>7195</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24" t="s">
        <v>2255</v>
      </c>
      <c r="H109" s="348" t="str">
        <f>IF(E109="——","——",H101-H105-H106)</f>
        <v>——</v>
      </c>
      <c r="I109" s="138"/>
    </row>
    <row r="110" spans="1:35" ht="18.75" customHeight="1">
      <c r="A110" s="138"/>
      <c r="B110" s="138"/>
      <c r="C110" s="138"/>
      <c r="D110" s="138"/>
      <c r="E110" s="3153"/>
      <c r="F110" s="3154"/>
      <c r="G110" s="2524" t="s">
        <v>2257</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24" t="s">
        <v>2255</v>
      </c>
      <c r="H111" s="1048" t="str">
        <f>IF(E111="——","——",N59)</f>
        <v>——</v>
      </c>
      <c r="I111" s="138"/>
    </row>
    <row r="112" spans="1:35" ht="18.75" customHeight="1" thickBot="1">
      <c r="A112" s="138"/>
      <c r="B112" s="138"/>
      <c r="C112" s="138"/>
      <c r="D112" s="138"/>
      <c r="E112" s="3190"/>
      <c r="F112" s="3191"/>
      <c r="G112" s="2529" t="s">
        <v>2257</v>
      </c>
      <c r="H112" s="790" t="str">
        <f>IF(E111="——","——",N61)</f>
        <v>——</v>
      </c>
      <c r="I112" s="138"/>
    </row>
    <row r="113" spans="1:11" ht="18.75" customHeight="1">
      <c r="A113" s="138"/>
      <c r="B113" s="138"/>
      <c r="C113" s="138"/>
      <c r="D113" s="138"/>
      <c r="E113" s="3158" t="s">
        <v>2263</v>
      </c>
      <c r="F113" s="3158"/>
      <c r="G113" s="3158"/>
      <c r="H113" s="3158"/>
      <c r="I113" s="138"/>
    </row>
    <row r="114" spans="1:11" ht="3.75" customHeight="1">
      <c r="A114" s="2422"/>
      <c r="B114" s="2422"/>
      <c r="C114" s="2422"/>
      <c r="D114" s="2422"/>
      <c r="E114" s="2500"/>
      <c r="F114" s="2500"/>
      <c r="G114" s="2500"/>
      <c r="H114" s="2500"/>
      <c r="I114" s="2422"/>
    </row>
    <row r="115" spans="1:11" ht="18.75" customHeight="1">
      <c r="A115" s="3171" t="s">
        <v>2265</v>
      </c>
      <c r="B115" s="3172"/>
      <c r="C115" s="3172"/>
      <c r="D115" s="3172"/>
      <c r="E115" s="3172"/>
      <c r="F115" s="3172"/>
      <c r="G115" s="3172"/>
      <c r="H115" s="3172"/>
      <c r="I115" s="3173"/>
    </row>
    <row r="116" spans="1:11" ht="27" customHeight="1">
      <c r="A116" s="3064" t="s">
        <v>2266</v>
      </c>
      <c r="B116" s="3159" t="s">
        <v>2267</v>
      </c>
      <c r="C116" s="3159" t="s">
        <v>2268</v>
      </c>
      <c r="D116" s="3175" t="s">
        <v>2269</v>
      </c>
      <c r="E116" s="3176"/>
      <c r="F116" s="3167" t="s">
        <v>2270</v>
      </c>
      <c r="G116" s="3167"/>
      <c r="H116" s="3064" t="s">
        <v>2271</v>
      </c>
      <c r="I116" s="3064"/>
    </row>
    <row r="117" spans="1:11" ht="18.75" customHeight="1">
      <c r="A117" s="3064"/>
      <c r="B117" s="3160"/>
      <c r="C117" s="3160"/>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44412.450000000026</v>
      </c>
      <c r="C118" s="1797">
        <f>M19</f>
        <v>6969.29</v>
      </c>
      <c r="D118" s="1797">
        <f ca="1">ROUND(IF(D32="总价",C34,E118*B118/10000),0)</f>
        <v>23488</v>
      </c>
      <c r="E118" s="1797">
        <f ca="1">ROUND(IF(C33="自定义",IF(D32="楼面单价",C34,D118*10000/B118),I118-G118),0)</f>
        <v>5288</v>
      </c>
      <c r="F118" s="1797">
        <f ca="1">ROUND(IF(D32="总价",C35,G118*B118/10000),0)</f>
        <v>8468</v>
      </c>
      <c r="G118" s="1797">
        <f ca="1">ROUND(IF(D32="楼面单价",C35,F118*10000/B118),0)</f>
        <v>1907</v>
      </c>
      <c r="H118" s="1797">
        <f ca="1">ROUND(IF(D32="总价",C32,I118*B118/10000),0)</f>
        <v>31956</v>
      </c>
      <c r="I118" s="1797">
        <f ca="1">ROUND(IF(D32="楼面单价",C32,H118*10000/B118),0)</f>
        <v>7195</v>
      </c>
    </row>
    <row r="119" spans="1:11" ht="18.75" customHeight="1">
      <c r="A119" s="3064" t="s">
        <v>2275</v>
      </c>
      <c r="B119" s="3064"/>
      <c r="C119" s="3064"/>
      <c r="D119" s="3164" t="str">
        <f ca="1">NUMBERSTRING(INT(D118*10000),2)&amp;"元整"</f>
        <v>贰亿叁仟肆佰捌拾捌万元整</v>
      </c>
      <c r="E119" s="3166"/>
      <c r="F119" s="3164" t="str">
        <f ca="1">NUMBERSTRING(INT(F118*10000),2)&amp;"元整"</f>
        <v>捌仟肆佰陆拾捌万元整</v>
      </c>
      <c r="G119" s="3166"/>
      <c r="H119" s="3164" t="str">
        <f ca="1">NUMBERSTRING(INT(H118*10000),2)&amp;"元整"</f>
        <v>叁亿壹仟玖佰伍拾陆万元整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27" t="str">
        <f>IF(D120=0,"故，本次评估不存在"&amp;A120,"故，本次评估"&amp;A120&amp;"为人民币"&amp;D120&amp;"万元整。")</f>
        <v>故，本次评估不存在估价师知悉的法定优先受偿款</v>
      </c>
    </row>
    <row r="121" spans="1:11" ht="18.75" customHeight="1">
      <c r="A121" s="3168" t="s">
        <v>2275</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31956</v>
      </c>
      <c r="E122" s="3193"/>
      <c r="F122" s="3193"/>
      <c r="G122" s="3193"/>
      <c r="H122" s="3193"/>
      <c r="I122" s="3194"/>
    </row>
    <row r="123" spans="1:11" ht="18.75" customHeight="1">
      <c r="A123" s="3064" t="s">
        <v>2275</v>
      </c>
      <c r="B123" s="3064"/>
      <c r="C123" s="3064"/>
      <c r="D123" s="3164" t="str">
        <f ca="1">NUMBERSTRING(INT(D122*10000),2)&amp;"元整"</f>
        <v>叁亿壹仟玖佰伍拾陆万元整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4" t="s">
        <v>2275</v>
      </c>
      <c r="B125" s="3064"/>
      <c r="C125" s="3064"/>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4" t="s">
        <v>2275</v>
      </c>
      <c r="B127" s="3064"/>
      <c r="C127" s="3064"/>
      <c r="D127" s="3164" t="e">
        <f>NUMBERSTRING(INT(D126*10000),2)&amp;"元整"</f>
        <v>#VALUE!</v>
      </c>
      <c r="E127" s="3165"/>
      <c r="F127" s="3165"/>
      <c r="G127" s="3165"/>
      <c r="H127" s="3165"/>
      <c r="I127" s="3166"/>
    </row>
    <row r="128" spans="1:11" ht="21.75" customHeight="1">
      <c r="A128" s="3174" t="s">
        <v>2276</v>
      </c>
      <c r="B128" s="3174"/>
      <c r="C128" s="3174"/>
      <c r="D128" s="3174"/>
      <c r="E128" s="3174"/>
      <c r="F128" s="3174"/>
      <c r="G128" s="3174"/>
      <c r="H128" s="3174"/>
      <c r="I128" s="3174"/>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I18" sqref="I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20314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4574</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30" ht="15">
      <c r="A5" s="404"/>
      <c r="B5" s="405"/>
      <c r="C5" s="3245" t="s">
        <v>3094</v>
      </c>
      <c r="D5" s="3241"/>
      <c r="E5" s="3248" t="s">
        <v>3044</v>
      </c>
      <c r="F5" s="3249"/>
      <c r="G5" s="3240" t="s">
        <v>3045</v>
      </c>
      <c r="H5" s="3241"/>
      <c r="I5" s="3240" t="s">
        <v>3046</v>
      </c>
      <c r="J5" s="3241"/>
      <c r="K5" s="610"/>
      <c r="L5" s="1133"/>
      <c r="M5" s="1134"/>
      <c r="N5" s="1134"/>
      <c r="O5" s="1134"/>
      <c r="P5" s="3228"/>
      <c r="Q5" s="3229"/>
      <c r="R5" s="3234"/>
      <c r="S5" s="3235"/>
      <c r="T5" s="3234"/>
      <c r="U5" s="3235"/>
      <c r="V5" s="3219"/>
      <c r="W5" s="3219"/>
      <c r="X5" s="1815"/>
      <c r="Y5" s="3234"/>
      <c r="Z5" s="3235"/>
      <c r="AA5" s="3221"/>
      <c r="AB5" s="3221"/>
      <c r="AC5" s="3221"/>
    </row>
    <row r="6" spans="1:30"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242" t="s">
        <v>2504</v>
      </c>
      <c r="Q7" s="3244"/>
      <c r="R7" s="770" t="s">
        <v>17</v>
      </c>
      <c r="S7" s="771">
        <f t="shared" ref="S7:S15" si="0">F7</f>
        <v>94</v>
      </c>
      <c r="T7" s="770" t="s">
        <v>17</v>
      </c>
      <c r="U7" s="771">
        <f t="shared" ref="U7:U15" si="1">H7</f>
        <v>93</v>
      </c>
      <c r="V7" s="770" t="s">
        <v>17</v>
      </c>
      <c r="W7" s="771">
        <f t="shared" ref="W7:W15" si="2">J7</f>
        <v>100</v>
      </c>
      <c r="X7" s="772"/>
      <c r="Y7" s="3242" t="s">
        <v>2504</v>
      </c>
      <c r="Z7" s="3243"/>
      <c r="AA7" s="773">
        <f>D7/F7</f>
        <v>1.0638297872340425</v>
      </c>
      <c r="AB7" s="773">
        <f>D7/H7</f>
        <v>1.075268817204301</v>
      </c>
      <c r="AC7" s="773">
        <f>D7/J7</f>
        <v>1</v>
      </c>
    </row>
    <row r="8" spans="1:30" s="117" customFormat="1" ht="15.75" thickBot="1">
      <c r="A8" s="408" t="s">
        <v>2505</v>
      </c>
      <c r="B8" s="409"/>
      <c r="C8" s="414" t="s">
        <v>3047</v>
      </c>
      <c r="D8" s="411">
        <v>100</v>
      </c>
      <c r="E8" s="414" t="s">
        <v>3047</v>
      </c>
      <c r="F8" s="413">
        <f>SUMIF(73:73,E8,74:74)-SUMIF(73:73,C8,74:74)+100</f>
        <v>100</v>
      </c>
      <c r="G8" s="414" t="s">
        <v>3047</v>
      </c>
      <c r="H8" s="411">
        <f>SUMIF(73:73,G8,74:74)-SUMIF(73:73,C8,74:74)+100</f>
        <v>100</v>
      </c>
      <c r="I8" s="414" t="s">
        <v>3047</v>
      </c>
      <c r="J8" s="411">
        <f>SUMIF(73:73,I8,74:74)-SUMIF(73:73,C8,74:74)+100</f>
        <v>100</v>
      </c>
      <c r="K8" s="611"/>
      <c r="L8" s="1135"/>
      <c r="M8" s="1136"/>
      <c r="N8" s="1136"/>
      <c r="O8" s="1136"/>
      <c r="P8" s="3242" t="s">
        <v>2507</v>
      </c>
      <c r="Q8" s="3243"/>
      <c r="R8" s="770" t="s">
        <v>17</v>
      </c>
      <c r="S8" s="771">
        <f t="shared" si="0"/>
        <v>100</v>
      </c>
      <c r="T8" s="770" t="s">
        <v>17</v>
      </c>
      <c r="U8" s="771">
        <f t="shared" si="1"/>
        <v>100</v>
      </c>
      <c r="V8" s="770" t="s">
        <v>17</v>
      </c>
      <c r="W8" s="771">
        <f t="shared" si="2"/>
        <v>100</v>
      </c>
      <c r="X8" s="772"/>
      <c r="Y8" s="3242" t="s">
        <v>2507</v>
      </c>
      <c r="Z8" s="3243"/>
      <c r="AA8" s="773">
        <f t="shared" ref="AA8:AA45" si="3">D8/F8</f>
        <v>1</v>
      </c>
      <c r="AB8" s="773">
        <f t="shared" ref="AB8:AB45" si="4">D8/H8</f>
        <v>1</v>
      </c>
      <c r="AC8" s="773">
        <f t="shared" ref="AC8:AC45" si="5">D8/J8</f>
        <v>1</v>
      </c>
    </row>
    <row r="9" spans="1:30" s="117" customFormat="1">
      <c r="A9" s="415" t="s">
        <v>2508</v>
      </c>
      <c r="B9" s="71" t="s">
        <v>2509</v>
      </c>
      <c r="C9" s="2705" t="s">
        <v>3048</v>
      </c>
      <c r="D9" s="135">
        <v>100</v>
      </c>
      <c r="E9" s="2705" t="s">
        <v>3048</v>
      </c>
      <c r="F9" s="135">
        <f>SUMIF(75:75,E9,76:76)-SUMIF(75:75,C9,76:76)+100</f>
        <v>100</v>
      </c>
      <c r="G9" s="2705" t="s">
        <v>3048</v>
      </c>
      <c r="H9" s="135">
        <f>SUMIF(75:75,G9,76:76)-SUMIF(75:75,C9,76:76)+100</f>
        <v>100</v>
      </c>
      <c r="I9" s="2705" t="s">
        <v>3048</v>
      </c>
      <c r="J9" s="135">
        <f>SUMIF(75:75,I9,76:76)-SUMIF(75:75,C9,76:76)+100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30" s="427" customFormat="1" ht="28.5">
      <c r="A10" s="421"/>
      <c r="B10" s="422" t="s">
        <v>2512</v>
      </c>
      <c r="C10" s="432" t="s">
        <v>3050</v>
      </c>
      <c r="D10" s="136">
        <v>100</v>
      </c>
      <c r="E10" s="465" t="s">
        <v>3076</v>
      </c>
      <c r="F10" s="136">
        <f>ROUND(100/'数据-取费表'!G16,0)</f>
        <v>103</v>
      </c>
      <c r="G10" s="463" t="s">
        <v>3076</v>
      </c>
      <c r="H10" s="136">
        <f>ROUND(100/'数据-取费表'!G16,0)</f>
        <v>103</v>
      </c>
      <c r="I10" s="463" t="s">
        <v>3076</v>
      </c>
      <c r="J10" s="136">
        <f>ROUND(100/'数据-取费表'!G16,0)</f>
        <v>103</v>
      </c>
      <c r="K10" s="672"/>
      <c r="L10" s="1138"/>
      <c r="M10" s="1139"/>
      <c r="N10" s="1139"/>
      <c r="O10" s="1140"/>
      <c r="P10" s="3213"/>
      <c r="Q10" s="1797" t="str">
        <f t="shared" si="6"/>
        <v>土地使用年限（年）</v>
      </c>
      <c r="R10" s="770" t="s">
        <v>17</v>
      </c>
      <c r="S10" s="771">
        <f t="shared" si="0"/>
        <v>103</v>
      </c>
      <c r="T10" s="770" t="s">
        <v>17</v>
      </c>
      <c r="U10" s="771">
        <f t="shared" si="1"/>
        <v>103</v>
      </c>
      <c r="V10" s="770" t="s">
        <v>17</v>
      </c>
      <c r="W10" s="771">
        <f t="shared" si="2"/>
        <v>103</v>
      </c>
      <c r="X10" s="772"/>
      <c r="Y10" s="3064"/>
      <c r="Z10" s="55" t="str">
        <f t="shared" si="7"/>
        <v>土地使用年限（年）</v>
      </c>
      <c r="AA10" s="773">
        <f t="shared" si="3"/>
        <v>0.970873786407767</v>
      </c>
      <c r="AB10" s="773">
        <f t="shared" si="4"/>
        <v>0.970873786407767</v>
      </c>
      <c r="AC10" s="773">
        <f t="shared" si="5"/>
        <v>0.970873786407767</v>
      </c>
    </row>
    <row r="11" spans="1:30" ht="15">
      <c r="A11" s="428"/>
      <c r="B11" s="422" t="s">
        <v>2513</v>
      </c>
      <c r="C11" s="429">
        <v>4.08</v>
      </c>
      <c r="D11" s="136">
        <v>100</v>
      </c>
      <c r="E11" s="429">
        <v>3</v>
      </c>
      <c r="F11" s="136">
        <f>LOOKUP(E11,80:80,81:81)-LOOKUP(C11,80:80,81:81)+100</f>
        <v>102</v>
      </c>
      <c r="G11" s="430">
        <v>2.5</v>
      </c>
      <c r="H11" s="136">
        <f>LOOKUP(G11,80:80,81:81)-LOOKUP(C11,80:80,81:81)+100</f>
        <v>104</v>
      </c>
      <c r="I11" s="429">
        <v>5.8</v>
      </c>
      <c r="J11" s="136">
        <f>LOOKUP(I11,80:80,81:81)-LOOKUP(C11,80:80,81:81)+100</f>
        <v>98</v>
      </c>
      <c r="K11" s="673">
        <v>2</v>
      </c>
      <c r="L11" s="1141"/>
      <c r="M11" s="1134"/>
      <c r="N11" s="1134"/>
      <c r="O11" s="1142"/>
      <c r="P11" s="3213"/>
      <c r="Q11" s="1797" t="str">
        <f t="shared" si="6"/>
        <v>容积率</v>
      </c>
      <c r="R11" s="770" t="s">
        <v>17</v>
      </c>
      <c r="S11" s="771">
        <f t="shared" si="0"/>
        <v>102</v>
      </c>
      <c r="T11" s="770" t="s">
        <v>17</v>
      </c>
      <c r="U11" s="771">
        <f t="shared" si="1"/>
        <v>104</v>
      </c>
      <c r="V11" s="770" t="s">
        <v>17</v>
      </c>
      <c r="W11" s="771">
        <f t="shared" si="2"/>
        <v>98</v>
      </c>
      <c r="X11" s="772"/>
      <c r="Y11" s="3064"/>
      <c r="Z11" s="55" t="str">
        <f t="shared" si="7"/>
        <v>容积率</v>
      </c>
      <c r="AA11" s="773">
        <f t="shared" si="3"/>
        <v>0.98039215686274506</v>
      </c>
      <c r="AB11" s="773">
        <f t="shared" si="4"/>
        <v>0.96153846153846156</v>
      </c>
      <c r="AC11" s="773">
        <f t="shared" si="5"/>
        <v>1.0204081632653061</v>
      </c>
    </row>
    <row r="12" spans="1:30" s="117" customFormat="1" ht="15">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7">
        <f t="shared" si="6"/>
        <v>0</v>
      </c>
      <c r="R12" s="770" t="s">
        <v>17</v>
      </c>
      <c r="S12" s="771">
        <f t="shared" si="0"/>
        <v>100</v>
      </c>
      <c r="T12" s="770" t="s">
        <v>17</v>
      </c>
      <c r="U12" s="771">
        <f t="shared" si="1"/>
        <v>100</v>
      </c>
      <c r="V12" s="770" t="s">
        <v>17</v>
      </c>
      <c r="W12" s="771">
        <f t="shared" si="2"/>
        <v>100</v>
      </c>
      <c r="X12" s="772"/>
      <c r="Y12" s="3064"/>
      <c r="Z12" s="55">
        <f t="shared" si="7"/>
        <v>0</v>
      </c>
      <c r="AA12" s="773">
        <f>D12/F12</f>
        <v>1</v>
      </c>
      <c r="AB12" s="773">
        <f>D12/H12</f>
        <v>1</v>
      </c>
      <c r="AC12" s="773">
        <f>D12/J12</f>
        <v>1</v>
      </c>
    </row>
    <row r="13" spans="1:30" ht="15">
      <c r="A13" s="428"/>
      <c r="B13" s="2954" t="s">
        <v>3122</v>
      </c>
      <c r="C13" s="2621" t="s">
        <v>3120</v>
      </c>
      <c r="D13" s="435">
        <v>100</v>
      </c>
      <c r="E13" s="2621" t="s">
        <v>3120</v>
      </c>
      <c r="F13" s="136">
        <f>SUMIF(84:84,E13,85:85)-SUMIF(84:84,C13,85:85)+100</f>
        <v>100</v>
      </c>
      <c r="G13" s="2621" t="s">
        <v>3120</v>
      </c>
      <c r="H13" s="435">
        <f>SUMIF(84:84,G13,85:85)-SUMIF(84:84,C13,85:85)+100</f>
        <v>100</v>
      </c>
      <c r="I13" s="674" t="s">
        <v>3121</v>
      </c>
      <c r="J13" s="435">
        <f>SUMIF(84:84,I13,85:85)-SUMIF(84:84,C13,85:85)+100</f>
        <v>105</v>
      </c>
      <c r="K13" s="672"/>
      <c r="L13" s="1143"/>
      <c r="M13" s="1134"/>
      <c r="N13" s="1134"/>
      <c r="O13" s="1142"/>
      <c r="P13" s="3213"/>
      <c r="Q13" s="1797" t="str">
        <f t="shared" si="6"/>
        <v>商业占比</v>
      </c>
      <c r="R13" s="770" t="s">
        <v>17</v>
      </c>
      <c r="S13" s="771">
        <f t="shared" si="0"/>
        <v>100</v>
      </c>
      <c r="T13" s="770" t="s">
        <v>17</v>
      </c>
      <c r="U13" s="771">
        <f t="shared" si="1"/>
        <v>100</v>
      </c>
      <c r="V13" s="770" t="s">
        <v>17</v>
      </c>
      <c r="W13" s="771">
        <f t="shared" si="2"/>
        <v>105</v>
      </c>
      <c r="X13" s="772"/>
      <c r="Y13" s="3064"/>
      <c r="Z13" s="55" t="str">
        <f t="shared" si="7"/>
        <v>商业占比</v>
      </c>
      <c r="AA13" s="773">
        <f>D13/F13</f>
        <v>1</v>
      </c>
      <c r="AB13" s="773">
        <f>D13/H13</f>
        <v>1</v>
      </c>
      <c r="AC13" s="773">
        <f>D13/J13</f>
        <v>0.95238095238095233</v>
      </c>
    </row>
    <row r="14" spans="1:30" ht="15.75" thickBot="1">
      <c r="A14" s="436"/>
      <c r="B14" s="2955" t="s">
        <v>3134</v>
      </c>
      <c r="C14" s="2622" t="s">
        <v>3015</v>
      </c>
      <c r="D14" s="438">
        <v>100</v>
      </c>
      <c r="E14" s="2622" t="s">
        <v>3015</v>
      </c>
      <c r="F14" s="438">
        <f>SUMIF(86:86,E14,87:87)-SUMIF(86:86,C14,87:87)+100</f>
        <v>100</v>
      </c>
      <c r="G14" s="2622" t="s">
        <v>3015</v>
      </c>
      <c r="H14" s="438">
        <f>SUMIF(86:86,G14,87:87)-SUMIF(86:86,C14,87:87)+100</f>
        <v>100</v>
      </c>
      <c r="I14" s="674" t="s">
        <v>3016</v>
      </c>
      <c r="J14" s="438">
        <f>SUMIF(86:86,I14,87:87)-SUMIF(86:86,C14,87:87)+100</f>
        <v>95</v>
      </c>
      <c r="K14" s="672"/>
      <c r="L14" s="1143"/>
      <c r="M14" s="1134"/>
      <c r="N14" s="1134"/>
      <c r="O14" s="1142"/>
      <c r="P14" s="3213"/>
      <c r="Q14" s="1797" t="str">
        <f t="shared" si="6"/>
        <v xml:space="preserve">是否还建 </v>
      </c>
      <c r="R14" s="770" t="s">
        <v>17</v>
      </c>
      <c r="S14" s="771">
        <f t="shared" si="0"/>
        <v>100</v>
      </c>
      <c r="T14" s="770" t="s">
        <v>17</v>
      </c>
      <c r="U14" s="771">
        <f t="shared" si="1"/>
        <v>100</v>
      </c>
      <c r="V14" s="770" t="s">
        <v>17</v>
      </c>
      <c r="W14" s="771">
        <f t="shared" si="2"/>
        <v>95</v>
      </c>
      <c r="X14" s="772"/>
      <c r="Y14" s="3064"/>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估价对象周边居住用地比例较高、居住小区规模和社区发展完善程度较好，周边1公里内有水墨林溪等住宅项目，综合评价居住社区成熟度一般</v>
      </c>
      <c r="D15" s="441">
        <v>100</v>
      </c>
      <c r="E15" s="442" t="s">
        <v>3077</v>
      </c>
      <c r="F15" s="441">
        <f>SUMIF(88:88,E16,89:89)-SUMIF(88:88,C16,89:89)+100</f>
        <v>106</v>
      </c>
      <c r="G15" s="442" t="s">
        <v>3084</v>
      </c>
      <c r="H15" s="441">
        <f>SUMIF(88:88,G16,89:89)-SUMIF(88:88,C16,89:89)+100</f>
        <v>100</v>
      </c>
      <c r="I15" s="444" t="s">
        <v>3089</v>
      </c>
      <c r="J15" s="441">
        <f>SUMIF(88:88,I16,89:89)-SUMIF(88:88,C16,89:89)+100</f>
        <v>106</v>
      </c>
      <c r="K15" s="673">
        <v>6</v>
      </c>
      <c r="L15" s="1143"/>
      <c r="M15" s="1134"/>
      <c r="N15" s="1134"/>
      <c r="O15" s="1142"/>
      <c r="P15" s="3215" t="s">
        <v>2515</v>
      </c>
      <c r="Q15" s="1812" t="str">
        <f t="shared" si="6"/>
        <v>居住社区成熟度</v>
      </c>
      <c r="R15" s="774" t="s">
        <v>17</v>
      </c>
      <c r="S15" s="775">
        <f t="shared" si="0"/>
        <v>106</v>
      </c>
      <c r="T15" s="774" t="s">
        <v>17</v>
      </c>
      <c r="U15" s="775">
        <f t="shared" si="1"/>
        <v>100</v>
      </c>
      <c r="V15" s="774" t="s">
        <v>17</v>
      </c>
      <c r="W15" s="775">
        <f t="shared" si="2"/>
        <v>106</v>
      </c>
      <c r="X15" s="1815"/>
      <c r="Y15" s="3215" t="s">
        <v>2515</v>
      </c>
      <c r="Z15" s="1816" t="str">
        <f t="shared" si="7"/>
        <v>居住社区成熟度</v>
      </c>
      <c r="AA15" s="1813">
        <f t="shared" si="3"/>
        <v>0.94339622641509435</v>
      </c>
      <c r="AB15" s="1813">
        <f t="shared" si="4"/>
        <v>1</v>
      </c>
      <c r="AC15" s="1813">
        <f t="shared" si="5"/>
        <v>0.94339622641509435</v>
      </c>
    </row>
    <row r="16" spans="1:30" ht="15">
      <c r="A16" s="428"/>
      <c r="B16" s="446"/>
      <c r="C16" s="447" t="s">
        <v>3051</v>
      </c>
      <c r="D16" s="448"/>
      <c r="E16" s="2611" t="s">
        <v>3073</v>
      </c>
      <c r="F16" s="448"/>
      <c r="G16" s="2611" t="s">
        <v>3051</v>
      </c>
      <c r="H16" s="450"/>
      <c r="I16" s="2610" t="s">
        <v>3073</v>
      </c>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3078</v>
      </c>
      <c r="F17" s="450">
        <f>SUMIF(90:90,E18,91:91)-SUMIF(90:90,C18,91:91)+100</f>
        <v>102</v>
      </c>
      <c r="G17" s="452" t="s">
        <v>3085</v>
      </c>
      <c r="H17" s="455">
        <f>SUMIF(90:90,G18,91:91)-SUMIF(90:90,C18,91:91)+100</f>
        <v>100</v>
      </c>
      <c r="I17" s="454" t="s">
        <v>3090</v>
      </c>
      <c r="J17" s="455">
        <f>SUMIF(90:90,I18,91:91)-SUMIF(90:90,C18,91:91)+100</f>
        <v>102</v>
      </c>
      <c r="K17" s="673">
        <v>2</v>
      </c>
      <c r="L17" s="1143"/>
      <c r="M17" s="1134"/>
      <c r="N17" s="1134"/>
      <c r="O17" s="1142"/>
      <c r="P17" s="3216"/>
      <c r="Q17" s="1812" t="str">
        <f>B17</f>
        <v>商业繁华度</v>
      </c>
      <c r="R17" s="774" t="s">
        <v>17</v>
      </c>
      <c r="S17" s="775">
        <f>F17</f>
        <v>102</v>
      </c>
      <c r="T17" s="774" t="s">
        <v>17</v>
      </c>
      <c r="U17" s="775">
        <f>H17</f>
        <v>100</v>
      </c>
      <c r="V17" s="774" t="s">
        <v>17</v>
      </c>
      <c r="W17" s="775">
        <f>J17</f>
        <v>102</v>
      </c>
      <c r="X17" s="1815"/>
      <c r="Y17" s="3216"/>
      <c r="Z17" s="1816" t="str">
        <f>Q17</f>
        <v>商业繁华度</v>
      </c>
      <c r="AA17" s="1813">
        <f t="shared" si="3"/>
        <v>0.98039215686274506</v>
      </c>
      <c r="AB17" s="1813">
        <f t="shared" si="4"/>
        <v>1</v>
      </c>
      <c r="AC17" s="1813">
        <f t="shared" si="5"/>
        <v>0.98039215686274506</v>
      </c>
    </row>
    <row r="18" spans="1:29" ht="15">
      <c r="A18" s="428"/>
      <c r="B18" s="456"/>
      <c r="C18" s="2614" t="s">
        <v>3051</v>
      </c>
      <c r="D18" s="450"/>
      <c r="E18" s="2614" t="s">
        <v>3073</v>
      </c>
      <c r="F18" s="450"/>
      <c r="G18" s="2614" t="s">
        <v>3051</v>
      </c>
      <c r="H18" s="448"/>
      <c r="I18" s="2614" t="s">
        <v>3073</v>
      </c>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216"/>
      <c r="Q19" s="1812" t="str">
        <f>B19</f>
        <v>办公集聚程度</v>
      </c>
      <c r="R19" s="774" t="s">
        <v>17</v>
      </c>
      <c r="S19" s="775">
        <f>F19</f>
        <v>100</v>
      </c>
      <c r="T19" s="774" t="s">
        <v>17</v>
      </c>
      <c r="U19" s="775">
        <f>H19</f>
        <v>100</v>
      </c>
      <c r="V19" s="774" t="s">
        <v>17</v>
      </c>
      <c r="W19" s="775">
        <f>J19</f>
        <v>100</v>
      </c>
      <c r="X19" s="1815"/>
      <c r="Y19" s="3216"/>
      <c r="Z19" s="1816" t="str">
        <f>Q19</f>
        <v>办公集聚程度</v>
      </c>
      <c r="AA19" s="1813">
        <f t="shared" si="3"/>
        <v>1</v>
      </c>
      <c r="AB19" s="1813">
        <f t="shared" si="4"/>
        <v>1</v>
      </c>
      <c r="AC19" s="1813">
        <f t="shared" si="5"/>
        <v>1</v>
      </c>
    </row>
    <row r="20" spans="1:29" ht="15">
      <c r="A20" s="428"/>
      <c r="B20" s="456"/>
      <c r="C20" s="2611" t="s">
        <v>3079</v>
      </c>
      <c r="D20" s="448"/>
      <c r="E20" s="2611" t="s">
        <v>3079</v>
      </c>
      <c r="F20" s="448"/>
      <c r="G20" s="2611" t="s">
        <v>3079</v>
      </c>
      <c r="H20" s="448"/>
      <c r="I20" s="2610" t="s">
        <v>3079</v>
      </c>
      <c r="J20" s="448"/>
      <c r="K20" s="672"/>
      <c r="L20" s="1143"/>
      <c r="M20" s="1134"/>
      <c r="N20" s="1134"/>
      <c r="O20" s="1142"/>
      <c r="P20" s="3216"/>
      <c r="Q20" s="1812"/>
      <c r="R20" s="774"/>
      <c r="S20" s="775"/>
      <c r="T20" s="774"/>
      <c r="U20" s="775"/>
      <c r="V20" s="774"/>
      <c r="W20" s="775"/>
      <c r="X20" s="1815"/>
      <c r="Y20" s="3216"/>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3080</v>
      </c>
      <c r="F21" s="455">
        <f>SUMIF(94:94,E22,95:95)-SUMIF(94:94,C22,95:95)+100</f>
        <v>100</v>
      </c>
      <c r="G21" s="452" t="s">
        <v>3086</v>
      </c>
      <c r="H21" s="450">
        <f>SUMIF(94:94,G22,95:95)-SUMIF(94:94,C22,95:95)+100</f>
        <v>100</v>
      </c>
      <c r="I21" s="454" t="s">
        <v>3091</v>
      </c>
      <c r="J21" s="450">
        <f>SUMIF(94:94,I22,95:95)-SUMIF(94:94,C22,95:95)+100</f>
        <v>100</v>
      </c>
      <c r="K21" s="673">
        <v>1</v>
      </c>
      <c r="L21" s="1143"/>
      <c r="M21" s="1134"/>
      <c r="N21" s="1134"/>
      <c r="O21" s="1142"/>
      <c r="P21" s="3216"/>
      <c r="Q21" s="1812" t="str">
        <f>B21</f>
        <v>交通便捷度</v>
      </c>
      <c r="R21" s="774" t="s">
        <v>17</v>
      </c>
      <c r="S21" s="775">
        <f>F21</f>
        <v>100</v>
      </c>
      <c r="T21" s="774" t="s">
        <v>17</v>
      </c>
      <c r="U21" s="775">
        <f>H21</f>
        <v>100</v>
      </c>
      <c r="V21" s="774" t="s">
        <v>17</v>
      </c>
      <c r="W21" s="775">
        <f>J21</f>
        <v>100</v>
      </c>
      <c r="X21" s="1815"/>
      <c r="Y21" s="3216"/>
      <c r="Z21" s="1816" t="str">
        <f>Q21</f>
        <v>交通便捷度</v>
      </c>
      <c r="AA21" s="1813">
        <f t="shared" si="3"/>
        <v>1</v>
      </c>
      <c r="AB21" s="1813">
        <f t="shared" si="4"/>
        <v>1</v>
      </c>
      <c r="AC21" s="1813">
        <f t="shared" si="5"/>
        <v>1</v>
      </c>
    </row>
    <row r="22" spans="1:29" ht="15">
      <c r="A22" s="428"/>
      <c r="B22" s="1387"/>
      <c r="C22" s="447" t="s">
        <v>3073</v>
      </c>
      <c r="D22" s="450"/>
      <c r="E22" s="447" t="s">
        <v>3073</v>
      </c>
      <c r="F22" s="448"/>
      <c r="G22" s="447" t="s">
        <v>3073</v>
      </c>
      <c r="H22" s="448"/>
      <c r="I22" s="447" t="s">
        <v>3073</v>
      </c>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ht="42.75">
      <c r="A23" s="404"/>
      <c r="B23" s="451" t="s">
        <v>2701</v>
      </c>
      <c r="C23" s="1392" t="str">
        <f>估价对象房地状况!C19</f>
        <v>零星有其他用地，基本不影响本宗地</v>
      </c>
      <c r="D23" s="455">
        <v>100</v>
      </c>
      <c r="E23" s="452" t="s">
        <v>3042</v>
      </c>
      <c r="F23" s="455">
        <f>SUMIF(96:96,E24,97:97)-SUMIF(96:96,C24,97:97)+100</f>
        <v>100</v>
      </c>
      <c r="G23" s="454" t="s">
        <v>3042</v>
      </c>
      <c r="H23" s="455">
        <f>SUMIF(96:96,G24,97:97)-SUMIF(96:96,C24,97:97)+100</f>
        <v>100</v>
      </c>
      <c r="I23" s="454" t="s">
        <v>3042</v>
      </c>
      <c r="J23" s="455">
        <f>SUMIF(96:96,I24,97:97)-SUMIF(96:96,C24,97:97)+100</f>
        <v>100</v>
      </c>
      <c r="K23" s="673">
        <v>1</v>
      </c>
      <c r="L23" s="1143"/>
      <c r="M23" s="1134"/>
      <c r="N23" s="1134"/>
      <c r="O23" s="1142"/>
      <c r="P23" s="3216"/>
      <c r="Q23" s="1812" t="str">
        <f t="shared" ref="Q23:Q37" si="8">B23</f>
        <v>区域土地利用方向</v>
      </c>
      <c r="R23" s="774" t="s">
        <v>17</v>
      </c>
      <c r="S23" s="775">
        <f>F23</f>
        <v>100</v>
      </c>
      <c r="T23" s="774" t="s">
        <v>17</v>
      </c>
      <c r="U23" s="775">
        <f>H23</f>
        <v>100</v>
      </c>
      <c r="V23" s="774" t="s">
        <v>17</v>
      </c>
      <c r="W23" s="775">
        <f>J23</f>
        <v>100</v>
      </c>
      <c r="X23" s="1815"/>
      <c r="Y23" s="3216"/>
      <c r="Z23" s="1816" t="str">
        <f>Q23</f>
        <v>区域土地利用方向</v>
      </c>
      <c r="AA23" s="1813">
        <f t="shared" si="3"/>
        <v>1</v>
      </c>
      <c r="AB23" s="1813">
        <f t="shared" si="4"/>
        <v>1</v>
      </c>
      <c r="AC23" s="1813">
        <f t="shared" si="5"/>
        <v>1</v>
      </c>
    </row>
    <row r="24" spans="1:29" ht="15">
      <c r="A24" s="404"/>
      <c r="B24" s="456"/>
      <c r="C24" s="616" t="s">
        <v>3073</v>
      </c>
      <c r="D24" s="448"/>
      <c r="E24" s="2611" t="s">
        <v>3073</v>
      </c>
      <c r="F24" s="448"/>
      <c r="G24" s="2610" t="s">
        <v>3073</v>
      </c>
      <c r="H24" s="448"/>
      <c r="I24" s="2610" t="s">
        <v>3073</v>
      </c>
      <c r="J24" s="448"/>
      <c r="K24" s="812"/>
      <c r="L24" s="1143"/>
      <c r="M24" s="1134"/>
      <c r="N24" s="1134"/>
      <c r="O24" s="1142"/>
      <c r="P24" s="3216"/>
      <c r="Q24" s="1812"/>
      <c r="R24" s="774"/>
      <c r="S24" s="775"/>
      <c r="T24" s="774"/>
      <c r="U24" s="775"/>
      <c r="V24" s="774"/>
      <c r="W24" s="775"/>
      <c r="X24" s="1815"/>
      <c r="Y24" s="3216"/>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3081</v>
      </c>
      <c r="F25" s="450">
        <f>SUMIF(98:98,E26,99:99)-SUMIF(98:98,C26,99:99)+100</f>
        <v>101</v>
      </c>
      <c r="G25" s="452" t="s">
        <v>3087</v>
      </c>
      <c r="H25" s="450">
        <f>SUMIF(98:98,G26,99:99)-SUMIF(98:98,C26,99:99)+100</f>
        <v>99</v>
      </c>
      <c r="I25" s="454" t="s">
        <v>3092</v>
      </c>
      <c r="J25" s="450">
        <f>SUMIF(98:98,I26,99:99)-SUMIF(98:98,C26,99:99)+100</f>
        <v>100</v>
      </c>
      <c r="K25" s="673">
        <v>1</v>
      </c>
      <c r="L25" s="1143"/>
      <c r="M25" s="1134"/>
      <c r="N25" s="1134"/>
      <c r="O25" s="1142"/>
      <c r="P25" s="3216"/>
      <c r="Q25" s="1812" t="str">
        <f t="shared" si="8"/>
        <v>自然及人文环境状况</v>
      </c>
      <c r="R25" s="774" t="s">
        <v>17</v>
      </c>
      <c r="S25" s="775">
        <f>F25</f>
        <v>101</v>
      </c>
      <c r="T25" s="774" t="s">
        <v>17</v>
      </c>
      <c r="U25" s="775">
        <f>H25</f>
        <v>99</v>
      </c>
      <c r="V25" s="774" t="s">
        <v>17</v>
      </c>
      <c r="W25" s="775">
        <f>J25</f>
        <v>100</v>
      </c>
      <c r="X25" s="1815"/>
      <c r="Y25" s="3216"/>
      <c r="Z25" s="1816" t="str">
        <f>Q25</f>
        <v>自然及人文环境状况</v>
      </c>
      <c r="AA25" s="1813">
        <f t="shared" si="3"/>
        <v>0.99009900990099009</v>
      </c>
      <c r="AB25" s="1813">
        <f t="shared" si="4"/>
        <v>1.0101010101010102</v>
      </c>
      <c r="AC25" s="1813">
        <f t="shared" si="5"/>
        <v>1</v>
      </c>
    </row>
    <row r="26" spans="1:29" ht="15">
      <c r="A26" s="404"/>
      <c r="B26" s="456"/>
      <c r="C26" s="447" t="s">
        <v>3073</v>
      </c>
      <c r="D26" s="448"/>
      <c r="E26" s="2617" t="s">
        <v>3072</v>
      </c>
      <c r="F26" s="448"/>
      <c r="G26" s="2617" t="s">
        <v>3051</v>
      </c>
      <c r="H26" s="448"/>
      <c r="I26" s="447" t="s">
        <v>3073</v>
      </c>
      <c r="J26" s="448"/>
      <c r="K26" s="672"/>
      <c r="L26" s="1143"/>
      <c r="M26" s="1134"/>
      <c r="N26" s="1134"/>
      <c r="O26" s="1142"/>
      <c r="P26" s="3216"/>
      <c r="Q26" s="1812"/>
      <c r="R26" s="774"/>
      <c r="S26" s="775"/>
      <c r="T26" s="774"/>
      <c r="U26" s="775"/>
      <c r="V26" s="774"/>
      <c r="W26" s="775"/>
      <c r="X26" s="1815"/>
      <c r="Y26" s="3216"/>
      <c r="Z26" s="1816"/>
      <c r="AA26" s="1813">
        <v>1</v>
      </c>
      <c r="AB26" s="1813">
        <v>1</v>
      </c>
      <c r="AC26" s="1813">
        <v>1</v>
      </c>
    </row>
    <row r="27" spans="1:29" s="117" customFormat="1" ht="42.75">
      <c r="A27" s="649"/>
      <c r="B27" s="1387" t="s">
        <v>2608</v>
      </c>
      <c r="C27" s="2613" t="str">
        <f>估价对象房地状况!C21</f>
        <v>估价对象所在区域公共配套设施齐备度一般</v>
      </c>
      <c r="D27" s="450">
        <v>100</v>
      </c>
      <c r="E27" s="452" t="s">
        <v>3082</v>
      </c>
      <c r="F27" s="450">
        <f>SUMIF(100:100,E28,101:101)-SUMIF(100:100,C28,101:101)+100</f>
        <v>101</v>
      </c>
      <c r="G27" s="452" t="s">
        <v>3038</v>
      </c>
      <c r="H27" s="450">
        <f>SUMIF(100:100,G28,101:101)-SUMIF(100:100,C28,101:101)+100</f>
        <v>100</v>
      </c>
      <c r="I27" s="454" t="s">
        <v>3082</v>
      </c>
      <c r="J27" s="450">
        <f>SUMIF(100:100,I28,101:101)-SUMIF(100:100,C28,101:101)+100</f>
        <v>101</v>
      </c>
      <c r="K27" s="673">
        <v>1</v>
      </c>
      <c r="L27" s="1135"/>
      <c r="M27" s="1136"/>
      <c r="N27" s="1136"/>
      <c r="O27" s="1137"/>
      <c r="P27" s="3216"/>
      <c r="Q27" s="1797" t="str">
        <f t="shared" si="8"/>
        <v>公共配套设施</v>
      </c>
      <c r="R27" s="770" t="s">
        <v>17</v>
      </c>
      <c r="S27" s="771">
        <f>F27</f>
        <v>101</v>
      </c>
      <c r="T27" s="770" t="s">
        <v>17</v>
      </c>
      <c r="U27" s="771">
        <f>H27</f>
        <v>100</v>
      </c>
      <c r="V27" s="770" t="s">
        <v>17</v>
      </c>
      <c r="W27" s="771">
        <f>J27</f>
        <v>101</v>
      </c>
      <c r="X27" s="772"/>
      <c r="Y27" s="3216"/>
      <c r="Z27" s="55" t="str">
        <f>Q27</f>
        <v>公共配套设施</v>
      </c>
      <c r="AA27" s="1813">
        <f>D27/F27</f>
        <v>0.99009900990099009</v>
      </c>
      <c r="AB27" s="1813">
        <f>D27/H27</f>
        <v>1</v>
      </c>
      <c r="AC27" s="1813">
        <f>D27/J27</f>
        <v>0.99009900990099009</v>
      </c>
    </row>
    <row r="28" spans="1:29" s="117" customFormat="1" ht="15">
      <c r="A28" s="649"/>
      <c r="B28" s="456"/>
      <c r="C28" s="2706" t="s">
        <v>3051</v>
      </c>
      <c r="D28" s="448"/>
      <c r="E28" s="2617" t="s">
        <v>3073</v>
      </c>
      <c r="F28" s="448"/>
      <c r="G28" s="2617" t="s">
        <v>3051</v>
      </c>
      <c r="H28" s="448"/>
      <c r="I28" s="447" t="s">
        <v>3073</v>
      </c>
      <c r="J28" s="448"/>
      <c r="K28" s="672"/>
      <c r="L28" s="1135"/>
      <c r="M28" s="1136"/>
      <c r="N28" s="1136"/>
      <c r="O28" s="1137"/>
      <c r="P28" s="3216"/>
      <c r="Q28" s="1797"/>
      <c r="R28" s="770"/>
      <c r="S28" s="771"/>
      <c r="T28" s="770"/>
      <c r="U28" s="771"/>
      <c r="V28" s="770"/>
      <c r="W28" s="771"/>
      <c r="X28" s="772"/>
      <c r="Y28" s="3216"/>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3039</v>
      </c>
      <c r="F29" s="450">
        <f>SUMIF(102:102,E30,103:103)-SUMIF(102:102,C30,103:103)+100</f>
        <v>100</v>
      </c>
      <c r="G29" s="452" t="s">
        <v>3039</v>
      </c>
      <c r="H29" s="450">
        <f>SUMIF(102:102,G30,103:103)-SUMIF(102:102,C30,103:103)+100</f>
        <v>100</v>
      </c>
      <c r="I29" s="454" t="s">
        <v>3039</v>
      </c>
      <c r="J29" s="450">
        <f>SUMIF(102:102,I30,103:103)-SUMIF(102:102,C30,103:103)+100</f>
        <v>100</v>
      </c>
      <c r="K29" s="673">
        <v>1</v>
      </c>
      <c r="L29" s="1135"/>
      <c r="M29" s="1136"/>
      <c r="N29" s="1136"/>
      <c r="O29" s="1137"/>
      <c r="P29" s="3216"/>
      <c r="Q29" s="1797"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3">
        <f>D29/F29</f>
        <v>1</v>
      </c>
      <c r="AB29" s="1813">
        <f>D29/H29</f>
        <v>1</v>
      </c>
      <c r="AC29" s="1813">
        <f>D29/J29</f>
        <v>1</v>
      </c>
    </row>
    <row r="30" spans="1:29" s="117" customFormat="1" ht="15">
      <c r="A30" s="649"/>
      <c r="B30" s="456"/>
      <c r="C30" s="2706" t="s">
        <v>3068</v>
      </c>
      <c r="D30" s="448"/>
      <c r="E30" s="2707" t="s">
        <v>3068</v>
      </c>
      <c r="F30" s="448"/>
      <c r="G30" s="2707" t="s">
        <v>3068</v>
      </c>
      <c r="H30" s="448"/>
      <c r="I30" s="2707" t="s">
        <v>3068</v>
      </c>
      <c r="J30" s="448"/>
      <c r="K30" s="672"/>
      <c r="L30" s="1135"/>
      <c r="M30" s="1136"/>
      <c r="N30" s="1136"/>
      <c r="O30" s="1137"/>
      <c r="P30" s="3216"/>
      <c r="Q30" s="1797"/>
      <c r="R30" s="770"/>
      <c r="S30" s="771"/>
      <c r="T30" s="770"/>
      <c r="U30" s="771"/>
      <c r="V30" s="770"/>
      <c r="W30" s="771"/>
      <c r="X30" s="772"/>
      <c r="Y30" s="3216"/>
      <c r="Z30" s="55"/>
      <c r="AA30" s="1813">
        <v>1</v>
      </c>
      <c r="AB30" s="1813">
        <v>1</v>
      </c>
      <c r="AC30" s="1813">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21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6"/>
      <c r="Z31" s="1816" t="str">
        <f t="shared" ref="Z31:Z45" si="13">Q31</f>
        <v>临街状况</v>
      </c>
      <c r="AA31" s="1813">
        <f t="shared" si="3"/>
        <v>1</v>
      </c>
      <c r="AB31" s="1813">
        <f t="shared" si="4"/>
        <v>1</v>
      </c>
      <c r="AC31" s="1813">
        <f t="shared" si="5"/>
        <v>1</v>
      </c>
    </row>
    <row r="32" spans="1:29" ht="28.5">
      <c r="A32" s="428"/>
      <c r="B32" s="1387" t="s">
        <v>2645</v>
      </c>
      <c r="C32" s="454" t="s">
        <v>3041</v>
      </c>
      <c r="D32" s="450">
        <v>100</v>
      </c>
      <c r="E32" s="452" t="s">
        <v>3083</v>
      </c>
      <c r="F32" s="450">
        <f>SUMIF(106:106,E33,107:107)-SUMIF(106:106,C33,107:107)+100</f>
        <v>100</v>
      </c>
      <c r="G32" s="452" t="s">
        <v>3088</v>
      </c>
      <c r="H32" s="450">
        <f>SUMIF(106:106,G33,107:107)-SUMIF(106:106,C33,107:107)+100</f>
        <v>100</v>
      </c>
      <c r="I32" s="454" t="s">
        <v>3093</v>
      </c>
      <c r="J32" s="450">
        <f>SUMIF(106:106,I33,107:107)-SUMIF(106:106,C33,107:107)+100</f>
        <v>101</v>
      </c>
      <c r="K32" s="673">
        <v>1</v>
      </c>
      <c r="L32" s="1143"/>
      <c r="M32" s="1134"/>
      <c r="N32" s="1134"/>
      <c r="O32" s="1142"/>
      <c r="P32" s="3216"/>
      <c r="Q32" s="1812" t="str">
        <f t="shared" si="8"/>
        <v>毗邻道路的类型与等级</v>
      </c>
      <c r="R32" s="774" t="s">
        <v>17</v>
      </c>
      <c r="S32" s="775">
        <f t="shared" si="10"/>
        <v>100</v>
      </c>
      <c r="T32" s="774" t="s">
        <v>17</v>
      </c>
      <c r="U32" s="775">
        <f t="shared" si="11"/>
        <v>100</v>
      </c>
      <c r="V32" s="774" t="s">
        <v>17</v>
      </c>
      <c r="W32" s="775">
        <f t="shared" si="12"/>
        <v>101</v>
      </c>
      <c r="X32" s="1815"/>
      <c r="Y32" s="3216"/>
      <c r="Z32" s="1816" t="str">
        <f t="shared" si="13"/>
        <v>毗邻道路的类型与等级</v>
      </c>
      <c r="AA32" s="1813">
        <f t="shared" si="3"/>
        <v>1</v>
      </c>
      <c r="AB32" s="1813">
        <f t="shared" si="4"/>
        <v>1</v>
      </c>
      <c r="AC32" s="1813">
        <f t="shared" si="5"/>
        <v>0.99009900990099009</v>
      </c>
    </row>
    <row r="33" spans="1:29" ht="15">
      <c r="A33" s="428"/>
      <c r="B33" s="456"/>
      <c r="C33" s="447" t="s">
        <v>3058</v>
      </c>
      <c r="D33" s="448"/>
      <c r="E33" s="2617" t="s">
        <v>3058</v>
      </c>
      <c r="F33" s="448"/>
      <c r="G33" s="2617" t="s">
        <v>3058</v>
      </c>
      <c r="H33" s="448"/>
      <c r="I33" s="447" t="s">
        <v>3057</v>
      </c>
      <c r="J33" s="448"/>
      <c r="K33" s="613"/>
      <c r="L33" s="1143"/>
      <c r="M33" s="1134"/>
      <c r="N33" s="1134"/>
      <c r="O33" s="1142"/>
      <c r="P33" s="3216"/>
      <c r="Q33" s="1812"/>
      <c r="R33" s="774"/>
      <c r="S33" s="775"/>
      <c r="T33" s="774"/>
      <c r="U33" s="775"/>
      <c r="V33" s="774"/>
      <c r="W33" s="775"/>
      <c r="X33" s="1815"/>
      <c r="Y33" s="3216"/>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216"/>
      <c r="Q34" s="1812" t="str">
        <f t="shared" si="8"/>
        <v>土地级别</v>
      </c>
      <c r="R34" s="774" t="s">
        <v>17</v>
      </c>
      <c r="S34" s="775">
        <f t="shared" si="10"/>
        <v>100</v>
      </c>
      <c r="T34" s="774" t="s">
        <v>17</v>
      </c>
      <c r="U34" s="775">
        <f t="shared" si="11"/>
        <v>100</v>
      </c>
      <c r="V34" s="774" t="s">
        <v>17</v>
      </c>
      <c r="W34" s="775">
        <f t="shared" si="12"/>
        <v>100</v>
      </c>
      <c r="X34" s="1815"/>
      <c r="Y34" s="321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2">
        <f t="shared" si="8"/>
        <v>0</v>
      </c>
      <c r="R35" s="774" t="s">
        <v>17</v>
      </c>
      <c r="S35" s="775">
        <f t="shared" si="10"/>
        <v>100</v>
      </c>
      <c r="T35" s="774" t="s">
        <v>17</v>
      </c>
      <c r="U35" s="775">
        <f t="shared" si="11"/>
        <v>100</v>
      </c>
      <c r="V35" s="774" t="s">
        <v>17</v>
      </c>
      <c r="W35" s="775">
        <f t="shared" si="12"/>
        <v>100</v>
      </c>
      <c r="X35" s="1815"/>
      <c r="Y35" s="321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2520</v>
      </c>
      <c r="Q36" s="1812">
        <f t="shared" si="8"/>
        <v>0</v>
      </c>
      <c r="R36" s="774" t="s">
        <v>17</v>
      </c>
      <c r="S36" s="775">
        <f t="shared" si="10"/>
        <v>100</v>
      </c>
      <c r="T36" s="774" t="s">
        <v>17</v>
      </c>
      <c r="U36" s="775">
        <f t="shared" si="11"/>
        <v>100</v>
      </c>
      <c r="V36" s="774" t="s">
        <v>17</v>
      </c>
      <c r="W36" s="775">
        <f t="shared" si="12"/>
        <v>100</v>
      </c>
      <c r="X36" s="1815"/>
      <c r="Y36" s="3218"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2">
        <f t="shared" si="8"/>
        <v>0</v>
      </c>
      <c r="R37" s="777" t="s">
        <v>17</v>
      </c>
      <c r="S37" s="778">
        <f t="shared" si="10"/>
        <v>100</v>
      </c>
      <c r="T37" s="777" t="s">
        <v>17</v>
      </c>
      <c r="U37" s="778">
        <f t="shared" si="11"/>
        <v>100</v>
      </c>
      <c r="V37" s="777" t="s">
        <v>17</v>
      </c>
      <c r="W37" s="778">
        <f t="shared" si="12"/>
        <v>100</v>
      </c>
      <c r="X37" s="779"/>
      <c r="Y37" s="3218"/>
      <c r="Z37" s="780">
        <f t="shared" si="13"/>
        <v>0</v>
      </c>
      <c r="AA37" s="1813">
        <f t="shared" si="3"/>
        <v>1</v>
      </c>
      <c r="AB37" s="1813">
        <f t="shared" si="4"/>
        <v>1</v>
      </c>
      <c r="AC37" s="1813">
        <f t="shared" si="5"/>
        <v>1</v>
      </c>
    </row>
    <row r="38" spans="1:29" ht="15">
      <c r="A38" s="472" t="s">
        <v>2518</v>
      </c>
      <c r="B38" s="456" t="s">
        <v>2704</v>
      </c>
      <c r="C38" s="679">
        <v>51821.84</v>
      </c>
      <c r="D38" s="467">
        <v>100</v>
      </c>
      <c r="E38" s="679">
        <v>30075.75</v>
      </c>
      <c r="F38" s="467">
        <f>LOOKUP(E38,117:117,118:118)-LOOKUP(C38,117:117,118:118)+100</f>
        <v>99</v>
      </c>
      <c r="G38" s="679">
        <v>64418.47</v>
      </c>
      <c r="H38" s="467">
        <f>LOOKUP(G38,117:117,118:118)-LOOKUP(C38,117:117,118:118)+100</f>
        <v>101</v>
      </c>
      <c r="I38" s="530">
        <v>67516.73</v>
      </c>
      <c r="J38" s="467">
        <f>LOOKUP(I38,117:117,118:118)-LOOKUP(C38,117:117,118:118)+100</f>
        <v>101</v>
      </c>
      <c r="K38" s="613"/>
      <c r="L38" s="1143"/>
      <c r="M38" s="1134"/>
      <c r="N38" s="1134"/>
      <c r="O38" s="1142"/>
      <c r="P38" s="3218"/>
      <c r="Q38" s="1812" t="str">
        <f>B38</f>
        <v>宗地面积</v>
      </c>
      <c r="R38" s="774" t="s">
        <v>17</v>
      </c>
      <c r="S38" s="775">
        <f t="shared" si="10"/>
        <v>99</v>
      </c>
      <c r="T38" s="774" t="s">
        <v>17</v>
      </c>
      <c r="U38" s="775">
        <f t="shared" si="11"/>
        <v>101</v>
      </c>
      <c r="V38" s="774" t="s">
        <v>17</v>
      </c>
      <c r="W38" s="775">
        <f t="shared" si="12"/>
        <v>101</v>
      </c>
      <c r="X38" s="1815"/>
      <c r="Y38" s="3218"/>
      <c r="Z38" s="1816" t="str">
        <f t="shared" si="13"/>
        <v>宗地面积</v>
      </c>
      <c r="AA38" s="1813">
        <f t="shared" si="3"/>
        <v>1.0101010101010102</v>
      </c>
      <c r="AB38" s="1813">
        <f t="shared" si="4"/>
        <v>0.99009900990099009</v>
      </c>
      <c r="AC38" s="1813">
        <f t="shared" si="5"/>
        <v>0.99009900990099009</v>
      </c>
    </row>
    <row r="39" spans="1:29" ht="15">
      <c r="A39" s="472"/>
      <c r="B39" s="422" t="s">
        <v>2705</v>
      </c>
      <c r="C39" s="2619" t="s">
        <v>3061</v>
      </c>
      <c r="D39" s="435">
        <v>100</v>
      </c>
      <c r="E39" s="2619" t="s">
        <v>3061</v>
      </c>
      <c r="F39" s="435">
        <f>SUMIF(119:119,E39,120:120)-SUMIF(119:119,C39,120:120)+100</f>
        <v>100</v>
      </c>
      <c r="G39" s="2619" t="s">
        <v>3061</v>
      </c>
      <c r="H39" s="435">
        <f>SUMIF(119:119,G39,120:120)-SUMIF(119:119,C39,120:120)+100</f>
        <v>100</v>
      </c>
      <c r="I39" s="2619" t="s">
        <v>3061</v>
      </c>
      <c r="J39" s="435">
        <f>SUMIF(119:119,I39,120:120)-SUMIF(119:119,C39,120:120)+100</f>
        <v>100</v>
      </c>
      <c r="K39" s="612">
        <v>1</v>
      </c>
      <c r="L39" s="1143"/>
      <c r="M39" s="1134"/>
      <c r="N39" s="1134"/>
      <c r="O39" s="1142"/>
      <c r="P39" s="3218"/>
      <c r="Q39" s="1812" t="str">
        <f t="shared" ref="Q39:Q45" si="14">B39</f>
        <v>宗地形状</v>
      </c>
      <c r="R39" s="774" t="s">
        <v>17</v>
      </c>
      <c r="S39" s="775">
        <f t="shared" si="10"/>
        <v>100</v>
      </c>
      <c r="T39" s="774" t="s">
        <v>17</v>
      </c>
      <c r="U39" s="775">
        <f t="shared" si="11"/>
        <v>100</v>
      </c>
      <c r="V39" s="774" t="s">
        <v>17</v>
      </c>
      <c r="W39" s="775">
        <f t="shared" si="12"/>
        <v>100</v>
      </c>
      <c r="X39" s="1815"/>
      <c r="Y39" s="3218"/>
      <c r="Z39" s="1816" t="str">
        <f t="shared" si="13"/>
        <v>宗地形状</v>
      </c>
      <c r="AA39" s="1813">
        <f t="shared" si="3"/>
        <v>1</v>
      </c>
      <c r="AB39" s="1813">
        <f t="shared" si="4"/>
        <v>1</v>
      </c>
      <c r="AC39" s="1813">
        <f t="shared" si="5"/>
        <v>1</v>
      </c>
    </row>
    <row r="40" spans="1:29" ht="15">
      <c r="A40" s="472"/>
      <c r="B40" s="422" t="s">
        <v>2706</v>
      </c>
      <c r="C40" s="2619" t="s">
        <v>3065</v>
      </c>
      <c r="D40" s="435">
        <v>100</v>
      </c>
      <c r="E40" s="2619" t="s">
        <v>3065</v>
      </c>
      <c r="F40" s="435">
        <f>SUMIF(121:121,E40,122:122)-SUMIF(121:121,C40,122:122)+100</f>
        <v>100</v>
      </c>
      <c r="G40" s="2619" t="s">
        <v>3065</v>
      </c>
      <c r="H40" s="435">
        <f>SUMIF(121:121,G40,122:122)-SUMIF(121:121,C40,122:122)+100</f>
        <v>100</v>
      </c>
      <c r="I40" s="2619" t="s">
        <v>3065</v>
      </c>
      <c r="J40" s="435">
        <f>SUMIF(121:121,I40,122:122)-SUMIF(121:121,C40,122:122)+100</f>
        <v>100</v>
      </c>
      <c r="K40" s="612">
        <v>1</v>
      </c>
      <c r="L40" s="1143"/>
      <c r="M40" s="1134"/>
      <c r="N40" s="1134"/>
      <c r="O40" s="1142"/>
      <c r="P40" s="3218"/>
      <c r="Q40" s="1812" t="str">
        <f t="shared" si="14"/>
        <v>临街宽度及深度</v>
      </c>
      <c r="R40" s="774" t="s">
        <v>17</v>
      </c>
      <c r="S40" s="775">
        <f t="shared" si="10"/>
        <v>100</v>
      </c>
      <c r="T40" s="774" t="s">
        <v>17</v>
      </c>
      <c r="U40" s="775">
        <f t="shared" si="11"/>
        <v>100</v>
      </c>
      <c r="V40" s="774" t="s">
        <v>17</v>
      </c>
      <c r="W40" s="775">
        <f t="shared" si="12"/>
        <v>100</v>
      </c>
      <c r="X40" s="1815"/>
      <c r="Y40" s="3218"/>
      <c r="Z40" s="1816" t="str">
        <f t="shared" si="13"/>
        <v>临街宽度及深度</v>
      </c>
      <c r="AA40" s="1813">
        <f t="shared" si="3"/>
        <v>1</v>
      </c>
      <c r="AB40" s="1813">
        <f t="shared" si="4"/>
        <v>1</v>
      </c>
      <c r="AC40" s="1813">
        <f t="shared" si="5"/>
        <v>1</v>
      </c>
    </row>
    <row r="41" spans="1:29" s="117" customFormat="1" ht="15">
      <c r="A41" s="473"/>
      <c r="B41" s="422" t="s">
        <v>2707</v>
      </c>
      <c r="C41" s="2708" t="s">
        <v>3068</v>
      </c>
      <c r="D41" s="136">
        <v>100</v>
      </c>
      <c r="E41" s="2708" t="s">
        <v>3068</v>
      </c>
      <c r="F41" s="435">
        <f>SUMIF(123:123,E41,124:124)-SUMIF(123:123,C41,124:124)+100</f>
        <v>100</v>
      </c>
      <c r="G41" s="2708" t="s">
        <v>3068</v>
      </c>
      <c r="H41" s="435">
        <f>SUMIF(123:123,G41,124:124)-SUMIF(123:123,C41,124:124)+100</f>
        <v>100</v>
      </c>
      <c r="I41" s="2708" t="s">
        <v>3068</v>
      </c>
      <c r="J41" s="435">
        <f>SUMIF(123:123,I41,124:124)-SUMIF(123:123,C41,124:124)+100</f>
        <v>100</v>
      </c>
      <c r="K41" s="612">
        <v>1</v>
      </c>
      <c r="L41" s="1135"/>
      <c r="M41" s="1136"/>
      <c r="N41" s="1136"/>
      <c r="O41" s="1137"/>
      <c r="P41" s="3218"/>
      <c r="Q41" s="1812"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2708</v>
      </c>
      <c r="C42" s="2619" t="s">
        <v>3073</v>
      </c>
      <c r="D42" s="435">
        <v>100</v>
      </c>
      <c r="E42" s="2619" t="s">
        <v>3073</v>
      </c>
      <c r="F42" s="435">
        <f>SUMIF(125:125,E42,126:126)-SUMIF(125:125,C42,126:126)+100</f>
        <v>100</v>
      </c>
      <c r="G42" s="2619" t="s">
        <v>3073</v>
      </c>
      <c r="H42" s="435">
        <f>SUMIF(125:125,G42,126:126)-SUMIF(125:125,C42,126:126)+100</f>
        <v>100</v>
      </c>
      <c r="I42" s="2619" t="s">
        <v>3073</v>
      </c>
      <c r="J42" s="435">
        <f>SUMIF(125:125,I42,126:126)-SUMIF(125:125,C42,126:126)+100</f>
        <v>100</v>
      </c>
      <c r="K42" s="612">
        <v>1</v>
      </c>
      <c r="L42" s="1143"/>
      <c r="M42" s="1134"/>
      <c r="N42" s="1134"/>
      <c r="O42" s="1142"/>
      <c r="P42" s="3218" t="s">
        <v>2520</v>
      </c>
      <c r="Q42" s="1812" t="str">
        <f t="shared" si="14"/>
        <v>工程地质条件</v>
      </c>
      <c r="R42" s="774" t="s">
        <v>17</v>
      </c>
      <c r="S42" s="775">
        <f t="shared" si="10"/>
        <v>100</v>
      </c>
      <c r="T42" s="774" t="s">
        <v>17</v>
      </c>
      <c r="U42" s="775">
        <f t="shared" si="11"/>
        <v>100</v>
      </c>
      <c r="V42" s="774" t="s">
        <v>17</v>
      </c>
      <c r="W42" s="775">
        <f t="shared" si="12"/>
        <v>100</v>
      </c>
      <c r="X42" s="1815"/>
      <c r="Y42" s="3218"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2">
        <f t="shared" si="14"/>
        <v>0</v>
      </c>
      <c r="R43" s="774" t="s">
        <v>17</v>
      </c>
      <c r="S43" s="775">
        <f t="shared" si="10"/>
        <v>100</v>
      </c>
      <c r="T43" s="774" t="s">
        <v>17</v>
      </c>
      <c r="U43" s="775">
        <f t="shared" si="11"/>
        <v>100</v>
      </c>
      <c r="V43" s="774" t="s">
        <v>17</v>
      </c>
      <c r="W43" s="775">
        <f t="shared" si="12"/>
        <v>100</v>
      </c>
      <c r="X43" s="1815"/>
      <c r="Y43" s="321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2">
        <f t="shared" si="14"/>
        <v>0</v>
      </c>
      <c r="R44" s="774" t="s">
        <v>17</v>
      </c>
      <c r="S44" s="775">
        <f t="shared" si="10"/>
        <v>100</v>
      </c>
      <c r="T44" s="774" t="s">
        <v>17</v>
      </c>
      <c r="U44" s="775">
        <f t="shared" si="11"/>
        <v>100</v>
      </c>
      <c r="V44" s="774" t="s">
        <v>17</v>
      </c>
      <c r="W44" s="775">
        <f t="shared" si="12"/>
        <v>100</v>
      </c>
      <c r="X44" s="1815"/>
      <c r="Y44" s="3218"/>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2">
        <f t="shared" si="14"/>
        <v>0</v>
      </c>
      <c r="R45" s="777" t="s">
        <v>17</v>
      </c>
      <c r="S45" s="778">
        <f t="shared" si="10"/>
        <v>100</v>
      </c>
      <c r="T45" s="777" t="s">
        <v>17</v>
      </c>
      <c r="U45" s="778">
        <f t="shared" si="11"/>
        <v>100</v>
      </c>
      <c r="V45" s="777" t="s">
        <v>17</v>
      </c>
      <c r="W45" s="778">
        <f t="shared" si="12"/>
        <v>100</v>
      </c>
      <c r="X45" s="779"/>
      <c r="Y45" s="3218"/>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213" t="str">
        <f>A46</f>
        <v>成交单价</v>
      </c>
      <c r="Q46" s="3213"/>
      <c r="R46" s="3219">
        <f>E46</f>
        <v>5573</v>
      </c>
      <c r="S46" s="3219"/>
      <c r="T46" s="3219">
        <f>G46</f>
        <v>4477</v>
      </c>
      <c r="U46" s="3219"/>
      <c r="V46" s="3219">
        <f>I46</f>
        <v>5000</v>
      </c>
      <c r="W46" s="3219"/>
      <c r="X46" s="759"/>
      <c r="Y46" s="781"/>
      <c r="Z46" s="759"/>
      <c r="AA46" s="759"/>
      <c r="AB46" s="759"/>
      <c r="AC46" s="759"/>
    </row>
    <row r="47" spans="1:29" ht="15.75" thickBot="1">
      <c r="A47" s="486" t="s">
        <v>2623</v>
      </c>
      <c r="B47" s="683"/>
      <c r="C47" s="490">
        <f>R48</f>
        <v>4707</v>
      </c>
      <c r="D47" s="489"/>
      <c r="E47" s="490">
        <f>R47</f>
        <v>5168</v>
      </c>
      <c r="F47" s="491"/>
      <c r="G47" s="488">
        <f>T47</f>
        <v>4494</v>
      </c>
      <c r="H47" s="489"/>
      <c r="I47" s="490">
        <f>V47</f>
        <v>4458</v>
      </c>
      <c r="J47" s="489"/>
      <c r="K47" s="784"/>
      <c r="L47" s="1146"/>
      <c r="M47" s="1147"/>
      <c r="N47" s="1147"/>
      <c r="O47" s="1147"/>
      <c r="P47" s="3213" t="str">
        <f>A47</f>
        <v>比较价值（元/平方米）</v>
      </c>
      <c r="Q47" s="3213"/>
      <c r="R47" s="3206">
        <f>ROUND(PRODUCT(R46,AA7:AA45),0)</f>
        <v>5168</v>
      </c>
      <c r="S47" s="3206"/>
      <c r="T47" s="3206">
        <f>ROUND(PRODUCT(T46,AB7:AB45),0)</f>
        <v>4494</v>
      </c>
      <c r="U47" s="3206"/>
      <c r="V47" s="3206">
        <f>ROUND(PRODUCT(V46,AC7:AC45),0)</f>
        <v>4458</v>
      </c>
      <c r="W47" s="3206"/>
      <c r="X47" s="759"/>
      <c r="Y47" s="759"/>
      <c r="Z47" s="759"/>
      <c r="AA47" s="759"/>
      <c r="AB47" s="759"/>
      <c r="AC47" s="759"/>
    </row>
    <row r="48" spans="1:29" ht="15.75" thickBot="1">
      <c r="A48" s="492" t="s">
        <v>2710</v>
      </c>
      <c r="B48" s="493"/>
      <c r="C48" s="494">
        <f>R48</f>
        <v>4707</v>
      </c>
      <c r="D48" s="494"/>
      <c r="E48" s="494"/>
      <c r="F48" s="494"/>
      <c r="G48" s="494"/>
      <c r="H48" s="494"/>
      <c r="I48" s="494"/>
      <c r="J48" s="494"/>
      <c r="K48" s="785"/>
      <c r="L48" s="1146"/>
      <c r="M48" s="1147"/>
      <c r="N48" s="1147"/>
      <c r="O48" s="1147"/>
      <c r="P48" s="3207" t="str">
        <f>A48</f>
        <v>估价对象XX用房的比较价值（楼面单价，元/平方米）</v>
      </c>
      <c r="Q48" s="3208"/>
      <c r="R48" s="3209">
        <f>ROUND(AVERAGE(R47:V47),0)</f>
        <v>4707</v>
      </c>
      <c r="S48" s="3209"/>
      <c r="T48" s="3209"/>
      <c r="U48" s="3209"/>
      <c r="V48" s="3209"/>
      <c r="W48" s="32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7.8366873065015552E-2</v>
      </c>
      <c r="F51" s="500" t="str">
        <f>IF(OR(E51&gt;=0.3,E51&lt;=-0.3),"超过30%","")</f>
        <v/>
      </c>
      <c r="G51" s="499">
        <f>IF(G46&lt;G47,G47/G46-1,G46/G47-1)</f>
        <v>3.7971856153673489E-3</v>
      </c>
      <c r="H51" s="500" t="str">
        <f>IF(OR(G51&gt;=0.3,G51&lt;=-0.3),"超过30%","")</f>
        <v/>
      </c>
      <c r="I51" s="499">
        <f>IF(I46&lt;I47,I47/I46-1,I46/I47-1)</f>
        <v>0.12157918349035435</v>
      </c>
      <c r="J51" s="500" t="str">
        <f>IF(OR(I51&gt;=0.3,I51&lt;=-0.3),"超过30%","")</f>
        <v/>
      </c>
      <c r="K51" s="1108"/>
      <c r="L51" s="1109"/>
      <c r="M51" s="1147"/>
      <c r="N51" s="1147"/>
      <c r="O51" s="1147"/>
    </row>
    <row r="52" spans="1:15" ht="13.5" customHeight="1">
      <c r="A52" s="1147"/>
      <c r="B52" s="1147"/>
      <c r="C52" s="497" t="s">
        <v>2626</v>
      </c>
      <c r="D52" s="501"/>
      <c r="E52" s="499">
        <f>IF(E47&lt;G47,G47/E47-1,E47/G47-1)</f>
        <v>0.14997774810858933</v>
      </c>
      <c r="F52" s="500" t="str">
        <f>IF(OR(E52&gt;=0.2,E52&lt;=-0.2),"超过20%","")</f>
        <v/>
      </c>
      <c r="G52" s="499">
        <f>IF(G47&lt;I47,I47/G47-1,G47/I47-1)</f>
        <v>8.0753701211304652E-3</v>
      </c>
      <c r="H52" s="500" t="str">
        <f>IF(OR(G52&gt;=0.2,G52&lt;=-0.2),"超过20%","")</f>
        <v/>
      </c>
      <c r="I52" s="499">
        <f>IF(I47&lt;E47,E47/I47-1,I47/E47-1)</f>
        <v>0.15926424405563022</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210" t="s">
        <v>2717</v>
      </c>
      <c r="H55" s="3211"/>
      <c r="I55" s="144" t="s">
        <v>2718</v>
      </c>
      <c r="J55" s="2713" t="str">
        <f>项目基本情况!F35</f>
        <v>湖南省长沙市</v>
      </c>
      <c r="K55" s="2714" t="s">
        <v>2719</v>
      </c>
      <c r="L55" s="1109"/>
      <c r="M55" s="1147"/>
      <c r="N55" s="1147"/>
      <c r="O55" s="1147"/>
    </row>
    <row r="56" spans="1:15" s="692" customFormat="1">
      <c r="A56" s="688" t="s">
        <v>2720</v>
      </c>
      <c r="B56" s="689">
        <f>C48</f>
        <v>4707</v>
      </c>
      <c r="C56" s="690">
        <v>1</v>
      </c>
      <c r="D56" s="1166">
        <v>1</v>
      </c>
      <c r="E56" s="690">
        <f>'数据-汇总表'!E8+'数据-汇总表'!E9</f>
        <v>43156.770000000026</v>
      </c>
      <c r="F56" s="1106">
        <f t="shared" ref="F56:F65" si="15">ROUND(B56*E56/10000,0)</f>
        <v>20314</v>
      </c>
      <c r="G56" s="3212"/>
      <c r="H56" s="3213"/>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214"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214"/>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214"/>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214"/>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43156.770000000026</v>
      </c>
      <c r="F66" s="697">
        <f>IF(B46="楼面地价",SUM(F56:F65),ROUND(C48*E66/10000,0))</f>
        <v>20314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3053</v>
      </c>
      <c r="D75" s="2948" t="s">
        <v>3394</v>
      </c>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3049</v>
      </c>
      <c r="D82" s="2950" t="s">
        <v>3054</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3120</v>
      </c>
      <c r="D84" s="554" t="s">
        <v>3121</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3015</v>
      </c>
      <c r="D86" s="523" t="s">
        <v>3016</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3055</v>
      </c>
      <c r="D106" s="554" t="s">
        <v>3056</v>
      </c>
      <c r="E106" s="554" t="s">
        <v>3057</v>
      </c>
      <c r="F106" s="554" t="s">
        <v>3058</v>
      </c>
      <c r="G106" s="554" t="s">
        <v>3059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3052</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3060</v>
      </c>
      <c r="D119" s="583" t="s">
        <v>3061</v>
      </c>
      <c r="E119" s="583" t="s">
        <v>3062</v>
      </c>
      <c r="F119" s="583" t="s">
        <v>3063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3064</v>
      </c>
      <c r="D121" s="554" t="s">
        <v>3065</v>
      </c>
      <c r="E121" s="554" t="s">
        <v>3066</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3067</v>
      </c>
      <c r="D123" s="2950" t="s">
        <v>3068</v>
      </c>
      <c r="E123" s="2950" t="s">
        <v>3069</v>
      </c>
      <c r="F123" s="2950" t="s">
        <v>3070</v>
      </c>
      <c r="G123" s="2950" t="s">
        <v>3071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3072</v>
      </c>
      <c r="D125" s="554" t="s">
        <v>3073</v>
      </c>
      <c r="E125" s="583" t="s">
        <v>3051</v>
      </c>
      <c r="F125" s="583" t="s">
        <v>3074</v>
      </c>
      <c r="G125" s="583" t="s">
        <v>3075</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3020" t="str">
        <f>项目基本情况!B1</f>
        <v>湖南省长沙市出让国有建设用地使用权及在建建筑物抵押价格预评估</v>
      </c>
      <c r="C37" s="3020"/>
      <c r="D37" s="3020"/>
      <c r="E37" s="3020"/>
      <c r="F37" s="3020"/>
      <c r="G37" s="3020"/>
      <c r="H37" s="3020"/>
      <c r="I37" s="3020"/>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35664</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8030</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 ca="1">C6+C7+C8</f>
        <v>21675</v>
      </c>
      <c r="D5" s="255" t="s">
        <v>2292</v>
      </c>
      <c r="E5" s="256" t="s">
        <v>2293</v>
      </c>
      <c r="F5" s="256" t="s">
        <v>2294</v>
      </c>
      <c r="G5" s="257"/>
    </row>
    <row r="6" spans="1:9" s="258" customFormat="1" ht="13.5" customHeight="1">
      <c r="A6" s="952" t="s">
        <v>2295</v>
      </c>
      <c r="B6" s="259" t="s">
        <v>2296</v>
      </c>
      <c r="C6" s="260">
        <f>'土地比较法-住宅、综合'!B2</f>
        <v>20314</v>
      </c>
      <c r="D6" s="261"/>
      <c r="E6" s="262"/>
      <c r="F6" s="262"/>
      <c r="G6" s="263"/>
    </row>
    <row r="7" spans="1:9" s="258" customFormat="1" ht="13.5" customHeight="1">
      <c r="A7" s="952" t="s">
        <v>2297</v>
      </c>
      <c r="B7" s="259" t="s">
        <v>2298</v>
      </c>
      <c r="C7" s="264">
        <f>ROUND(C6*F7,0)</f>
        <v>823</v>
      </c>
      <c r="D7" s="264"/>
      <c r="E7" s="262"/>
      <c r="F7" s="265">
        <f>'数据-取费表'!B48+'数据-取费表'!B49</f>
        <v>4.0500000000000001E-2</v>
      </c>
      <c r="G7" s="263"/>
    </row>
    <row r="8" spans="1:9" s="267" customFormat="1">
      <c r="A8" s="952" t="s">
        <v>2299</v>
      </c>
      <c r="B8" s="259" t="s">
        <v>2300</v>
      </c>
      <c r="C8" s="264">
        <f ca="1">IF(G8="已包含在土地购买价格中","0",IF(B1="",'数据-取费表'!B29,IF(G9="全部缴纳",C9+C10,H9)))</f>
        <v>538</v>
      </c>
      <c r="D8" s="266"/>
      <c r="E8" s="264"/>
      <c r="F8" s="265"/>
      <c r="G8" s="2556" t="s">
        <v>3395</v>
      </c>
    </row>
    <row r="9" spans="1:9" s="258" customFormat="1" ht="13.5" customHeight="1">
      <c r="A9" s="953" t="s">
        <v>799</v>
      </c>
      <c r="B9" s="268" t="s">
        <v>2301</v>
      </c>
      <c r="C9" s="269">
        <f ca="1">ROUND(D9*E9/10000,0)</f>
        <v>518</v>
      </c>
      <c r="D9" s="1035">
        <f ca="1">IF(B1="",'数据-汇总表'!E5,IF(INDIRECT("'数据-取费表'!c"&amp;$G$1)="住宅",INDIRECT("'数据-取费表'!k"&amp;$G$1),0))</f>
        <v>43156.770000000026</v>
      </c>
      <c r="E9" s="269">
        <f>'数据-取费表'!B27</f>
        <v>120</v>
      </c>
      <c r="F9" s="265"/>
      <c r="G9" s="2557" t="s">
        <v>3095</v>
      </c>
      <c r="H9" s="1393"/>
      <c r="I9" s="2558" t="s">
        <v>2302</v>
      </c>
    </row>
    <row r="10" spans="1:9" s="258" customFormat="1" ht="13.5" customHeight="1">
      <c r="A10" s="953" t="s">
        <v>800</v>
      </c>
      <c r="B10" s="268" t="s">
        <v>2303</v>
      </c>
      <c r="C10" s="269">
        <f ca="1">ROUND(D10*E10/10000,0)</f>
        <v>20</v>
      </c>
      <c r="D10" s="1035">
        <f ca="1">IF(B1="",'数据-汇总表'!E6,IF(INDIRECT("'数据-取费表'!c"&amp;$G$1)="住宅",INDIRECT("'数据-取费表'!s"&amp;$G$1),INDIRECT("'数据-取费表'!k"&amp;$G$1)+INDIRECT("'数据-取费表'!s"&amp;$G$1)))</f>
        <v>1255.6800000000003</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44412.450000000026</v>
      </c>
      <c r="E19" s="255">
        <f>'数据-取费表'!B31</f>
        <v>150</v>
      </c>
      <c r="F19" s="275"/>
      <c r="G19" s="2556" t="s">
        <v>3096</v>
      </c>
    </row>
    <row r="20" spans="1:7" s="258" customFormat="1" ht="13.5" customHeight="1">
      <c r="A20" s="299" t="s">
        <v>2316</v>
      </c>
      <c r="B20" s="254" t="s">
        <v>2317</v>
      </c>
      <c r="C20" s="276">
        <f ca="1">ROUND((C5+C19)*F20,0)</f>
        <v>434</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1040</v>
      </c>
      <c r="D22" s="279">
        <f ca="1">C26</f>
        <v>5.0000000000000001E-4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1030</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10</v>
      </c>
      <c r="D25" s="282"/>
      <c r="E25" s="285"/>
      <c r="F25" s="283"/>
      <c r="G25" s="286" t="s">
        <v>2333</v>
      </c>
    </row>
    <row r="26" spans="1:7" s="258" customFormat="1">
      <c r="A26" s="954" t="s">
        <v>794</v>
      </c>
      <c r="B26" s="259" t="s">
        <v>2334</v>
      </c>
      <c r="C26" s="282">
        <f ca="1">ROUND(IF('数据-取费表'!B22&lt;=1,F21*F22*'数据-取费表'!B23/2,F21*(POWER((1+F22),'数据-取费表'!B23/2)-1)),4)</f>
        <v>5.0000000000000001E-4</v>
      </c>
      <c r="D26" s="282"/>
      <c r="E26" s="285"/>
      <c r="F26" s="283"/>
      <c r="G26" s="287"/>
    </row>
    <row r="27" spans="1:7" s="258" customFormat="1" ht="24.75">
      <c r="A27" s="299" t="s">
        <v>2335</v>
      </c>
      <c r="B27" s="288" t="s">
        <v>2336</v>
      </c>
      <c r="C27" s="289">
        <f ca="1">C28</f>
        <v>1105</v>
      </c>
      <c r="D27" s="279">
        <f ca="1">C29</f>
        <v>1E-3</v>
      </c>
      <c r="E27" s="280" t="s">
        <v>2337</v>
      </c>
      <c r="F27" s="290">
        <f ca="1">IF(B1="",'数据-取费表'!Q16,INDIRECT("'数据-取费表'!q"&amp;$G$1))</f>
        <v>0.1</v>
      </c>
      <c r="G27" s="291" t="s">
        <v>2338</v>
      </c>
    </row>
    <row r="28" spans="1:7" s="258" customFormat="1" ht="13.5" customHeight="1">
      <c r="A28" s="954" t="s">
        <v>790</v>
      </c>
      <c r="B28" s="292" t="s">
        <v>2339</v>
      </c>
      <c r="C28" s="293">
        <f ca="1">ROUND((C5+C19+C20)*F27*'数据-取费表'!B21/'数据-取费表'!B20,0)</f>
        <v>1105</v>
      </c>
      <c r="D28" s="279"/>
      <c r="E28" s="280"/>
      <c r="F28" s="290"/>
      <c r="G28" s="291"/>
    </row>
    <row r="29" spans="1:7" s="258" customFormat="1" ht="13.5" customHeight="1">
      <c r="A29" s="954" t="s">
        <v>791</v>
      </c>
      <c r="B29" s="292" t="s">
        <v>2340</v>
      </c>
      <c r="C29" s="282">
        <f ca="1">ROUND(C21*F27*'数据-取费表'!B21/'数据-取费表'!B20,4)</f>
        <v>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26215</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7621</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6473</v>
      </c>
      <c r="D34" s="261"/>
      <c r="E34" s="264"/>
      <c r="F34" s="301">
        <f ca="1">IF('数据-取费表'!B24=0,1,IF(B1="",'数据-取费表'!N16,INDIRECT("'数据-取费表'!n"&amp;$G$1)))</f>
        <v>0.6</v>
      </c>
      <c r="G34" s="263" t="s">
        <v>2349</v>
      </c>
    </row>
    <row r="35" spans="1:7" ht="13.5" customHeight="1">
      <c r="A35" s="954" t="s">
        <v>795</v>
      </c>
      <c r="B35" s="259" t="s">
        <v>2350</v>
      </c>
      <c r="C35" s="264">
        <f ca="1">ROUND(C34*F35,0)</f>
        <v>324</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194</v>
      </c>
      <c r="D36" s="264"/>
      <c r="E36" s="264"/>
      <c r="F36" s="303">
        <f>'数据-取费表'!B34</f>
        <v>0.03</v>
      </c>
      <c r="G36" s="304" t="s">
        <v>2353</v>
      </c>
    </row>
    <row r="37" spans="1:7" s="302" customFormat="1" ht="13.5" customHeight="1">
      <c r="A37" s="954" t="s">
        <v>797</v>
      </c>
      <c r="B37" s="259" t="s">
        <v>2354</v>
      </c>
      <c r="C37" s="293">
        <f ca="1">ROUND(E37*D37*F34/10000,0)</f>
        <v>533</v>
      </c>
      <c r="D37" s="261">
        <f ca="1">D19</f>
        <v>44412.450000000026</v>
      </c>
      <c r="E37" s="293">
        <f>'数据-取费表'!B35</f>
        <v>200</v>
      </c>
      <c r="F37" s="303"/>
      <c r="G37" s="305" t="s">
        <v>2355</v>
      </c>
    </row>
    <row r="38" spans="1:7" ht="13.5" customHeight="1">
      <c r="A38" s="954" t="s">
        <v>798</v>
      </c>
      <c r="B38" s="259" t="s">
        <v>2356</v>
      </c>
      <c r="C38" s="264">
        <f ca="1">ROUND(C34*F38,0)</f>
        <v>97</v>
      </c>
      <c r="D38" s="264"/>
      <c r="E38" s="264"/>
      <c r="F38" s="303">
        <f>'数据-取费表'!B36</f>
        <v>1.4999999999999999E-2</v>
      </c>
      <c r="G38" s="263" t="s">
        <v>2351</v>
      </c>
    </row>
    <row r="39" spans="1:7" s="258" customFormat="1" ht="13.5" customHeight="1">
      <c r="A39" s="299" t="s">
        <v>2357</v>
      </c>
      <c r="B39" s="254" t="s">
        <v>2358</v>
      </c>
      <c r="C39" s="276">
        <f ca="1">ROUND(C33*F20,0)</f>
        <v>152</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183</v>
      </c>
      <c r="D41" s="279">
        <f ca="1">C44</f>
        <v>5.0000000000000001E-4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179</v>
      </c>
      <c r="D42" s="282"/>
      <c r="E42" s="282"/>
      <c r="F42" s="283"/>
      <c r="G42" s="3250" t="s">
        <v>2367</v>
      </c>
    </row>
    <row r="43" spans="1:7" ht="13.5" customHeight="1">
      <c r="A43" s="954" t="s">
        <v>791</v>
      </c>
      <c r="B43" s="259" t="s">
        <v>2368</v>
      </c>
      <c r="C43" s="282">
        <f ca="1">ROUND(IF('数据-取费表'!B22&lt;=1,C39*F22*'数据-取费表'!B21/2,C39*(POWER((1+F22),'数据-取费表'!B21/2)-1)),0)</f>
        <v>4</v>
      </c>
      <c r="D43" s="282"/>
      <c r="E43" s="282"/>
      <c r="F43" s="283"/>
      <c r="G43" s="3251"/>
    </row>
    <row r="44" spans="1:7" ht="13.5" customHeight="1">
      <c r="A44" s="954" t="s">
        <v>792</v>
      </c>
      <c r="B44" s="259" t="s">
        <v>2369</v>
      </c>
      <c r="C44" s="282">
        <f ca="1">ROUND(IF('数据-取费表'!B22&lt;=1,C40*F22*'数据-取费表'!B21/2,C40*(POWER((1+F22),'数据-取费表'!B21/2)-1)),4)</f>
        <v>5.0000000000000001E-4</v>
      </c>
      <c r="D44" s="282"/>
      <c r="E44" s="282"/>
      <c r="F44" s="283"/>
      <c r="G44" s="3252"/>
    </row>
    <row r="45" spans="1:7" s="258" customFormat="1" ht="13.5" customHeight="1">
      <c r="A45" s="299" t="s">
        <v>2370</v>
      </c>
      <c r="B45" s="288" t="s">
        <v>2336</v>
      </c>
      <c r="C45" s="289">
        <f ca="1">C46</f>
        <v>777</v>
      </c>
      <c r="D45" s="279">
        <f ca="1">C47</f>
        <v>2E-3</v>
      </c>
      <c r="E45" s="280" t="s">
        <v>2362</v>
      </c>
      <c r="F45" s="290"/>
      <c r="G45" s="291" t="s">
        <v>2371</v>
      </c>
    </row>
    <row r="46" spans="1:7" s="258" customFormat="1" ht="13.5" customHeight="1">
      <c r="A46" s="954" t="s">
        <v>790</v>
      </c>
      <c r="B46" s="292" t="s">
        <v>2372</v>
      </c>
      <c r="C46" s="293">
        <f ca="1">ROUND((C33+C39)*F27,0)</f>
        <v>777</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9449</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9449</v>
      </c>
      <c r="D51" s="276"/>
      <c r="E51" s="276"/>
      <c r="F51" s="308"/>
      <c r="G51" s="278" t="s">
        <v>2383</v>
      </c>
    </row>
    <row r="52" spans="1:7" s="252" customFormat="1" ht="16.5" thickBot="1">
      <c r="A52" s="309" t="s">
        <v>2384</v>
      </c>
      <c r="B52" s="310"/>
      <c r="C52" s="311">
        <f ca="1">C31+C51</f>
        <v>35664</v>
      </c>
      <c r="D52" s="310"/>
      <c r="E52" s="310"/>
      <c r="F52" s="310"/>
      <c r="G52" s="312"/>
    </row>
    <row r="55" spans="1:7" ht="15">
      <c r="B55" s="314" t="s">
        <v>2385</v>
      </c>
      <c r="C55" s="315"/>
    </row>
    <row r="56" spans="1:7">
      <c r="B56" s="317" t="s">
        <v>1509</v>
      </c>
      <c r="C56" s="319">
        <f ca="1">1-C57</f>
        <v>0.73499999999999999</v>
      </c>
    </row>
    <row r="57" spans="1:7">
      <c r="B57" s="317" t="s">
        <v>1510</v>
      </c>
      <c r="C57" s="318">
        <f ca="1">ROUND(C51/C52,3)</f>
        <v>0.26500000000000001</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17686</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3982</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5379721</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5379721</v>
      </c>
      <c r="D8" s="266"/>
      <c r="E8" s="264"/>
      <c r="F8" s="265"/>
      <c r="G8" s="2556"/>
    </row>
    <row r="9" spans="1:8" s="258" customFormat="1" ht="13.5" customHeight="1">
      <c r="A9" s="953" t="s">
        <v>799</v>
      </c>
      <c r="B9" s="268" t="s">
        <v>2301</v>
      </c>
      <c r="C9" s="269">
        <f ca="1">ROUND(D9*E9,0)</f>
        <v>5178812</v>
      </c>
      <c r="D9" s="1035">
        <f ca="1">IF(B1="",'数据-汇总表'!E5,IF(INDIRECT("'数据-取费表'!c"&amp;$G$1)="住宅",INDIRECT("'数据-取费表'!k"&amp;$G$1),0))</f>
        <v>43156.770000000026</v>
      </c>
      <c r="E9" s="269">
        <f>'数据-取费表'!B27</f>
        <v>120</v>
      </c>
      <c r="F9" s="265"/>
      <c r="G9" s="270"/>
    </row>
    <row r="10" spans="1:8" s="258" customFormat="1" ht="13.5" customHeight="1">
      <c r="A10" s="953" t="s">
        <v>800</v>
      </c>
      <c r="B10" s="268" t="s">
        <v>2303</v>
      </c>
      <c r="C10" s="269">
        <f ca="1">ROUND(D10*E10,0)</f>
        <v>200909</v>
      </c>
      <c r="D10" s="1035">
        <f ca="1">IF(B1="",'数据-汇总表'!E6,IF(INDIRECT("'数据-取费表'!c"&amp;$G$1)="住宅",INDIRECT("'数据-取费表'!s"&amp;$G$1),INDIRECT("'数据-取费表'!k"&amp;$G$1)+INDIRECT("'数据-取费表'!s"&amp;$G$1)))</f>
        <v>1255.6800000000003</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6661868</v>
      </c>
      <c r="D19" s="1039">
        <f ca="1">D9+D10</f>
        <v>44412.450000000026</v>
      </c>
      <c r="E19" s="255">
        <f>'数据-取费表'!B31</f>
        <v>150</v>
      </c>
      <c r="F19" s="275"/>
      <c r="G19" s="2556"/>
    </row>
    <row r="20" spans="1:7" s="258" customFormat="1" ht="13.5" customHeight="1">
      <c r="A20" s="299" t="s">
        <v>2397</v>
      </c>
      <c r="B20" s="254" t="s">
        <v>2398</v>
      </c>
      <c r="C20" s="276">
        <f ca="1">ROUND((C5+C19)*F20,0)</f>
        <v>240832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1182559</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523211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647908</v>
      </c>
      <c r="D24" s="282"/>
      <c r="E24" s="282"/>
      <c r="F24" s="283"/>
      <c r="G24" s="284" t="s">
        <v>2409</v>
      </c>
    </row>
    <row r="25" spans="1:7" s="258" customFormat="1" ht="24">
      <c r="A25" s="954" t="s">
        <v>2299</v>
      </c>
      <c r="B25" s="259" t="s">
        <v>2410</v>
      </c>
      <c r="C25" s="1384">
        <f ca="1">ROUND(IF('数据-取费表'!B22&lt;=1,C20*F22*'数据-取费表'!B22/2,C20*(POWER((1+F22),'数据-取费表'!B22/2)-1)),0)</f>
        <v>11440</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1228242</v>
      </c>
      <c r="D27" s="279">
        <f ca="1">C29</f>
        <v>2E-3</v>
      </c>
      <c r="E27" s="280" t="s">
        <v>2337</v>
      </c>
      <c r="F27" s="290">
        <f ca="1">IF(B1="",'数据-取费表'!Q16,INDIRECT("'数据-取费表'!q"&amp;$G$1))</f>
        <v>0.1</v>
      </c>
      <c r="G27" s="291" t="s">
        <v>2338</v>
      </c>
    </row>
    <row r="28" spans="1:7" s="258" customFormat="1" ht="13.5" customHeight="1">
      <c r="A28" s="954" t="s">
        <v>790</v>
      </c>
      <c r="B28" s="292" t="s">
        <v>2339</v>
      </c>
      <c r="C28" s="293">
        <f ca="1">ROUND((C5+C19+C20)*F27,0)</f>
        <v>1228242</v>
      </c>
      <c r="D28" s="279"/>
      <c r="E28" s="280"/>
      <c r="F28" s="290"/>
      <c r="G28" s="291"/>
    </row>
    <row r="29" spans="1:7" s="258" customFormat="1" ht="13.5" customHeight="1">
      <c r="A29" s="954" t="s">
        <v>791</v>
      </c>
      <c r="B29" s="292" t="s">
        <v>2340</v>
      </c>
      <c r="C29" s="282">
        <f ca="1">ROUND(C21*F27,4)</f>
        <v>2E-3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15906920</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127024148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107891925</v>
      </c>
      <c r="D34" s="261"/>
      <c r="E34" s="264"/>
      <c r="F34" s="301"/>
      <c r="G34" s="263"/>
    </row>
    <row r="35" spans="1:7" ht="13.5" customHeight="1">
      <c r="A35" s="954" t="s">
        <v>795</v>
      </c>
      <c r="B35" s="259" t="s">
        <v>2350</v>
      </c>
      <c r="C35" s="264">
        <f ca="1">ROUND(C34*F35,0)</f>
        <v>5394596</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3236758</v>
      </c>
      <c r="D36" s="264"/>
      <c r="E36" s="264"/>
      <c r="F36" s="303">
        <f>'数据-取费表'!B34</f>
        <v>0.03</v>
      </c>
      <c r="G36" s="304" t="s">
        <v>2353</v>
      </c>
    </row>
    <row r="37" spans="1:7" s="302" customFormat="1" ht="13.5" customHeight="1">
      <c r="A37" s="954" t="s">
        <v>797</v>
      </c>
      <c r="B37" s="259" t="s">
        <v>2354</v>
      </c>
      <c r="C37" s="293">
        <f ca="1">ROUND(E37*D37,0)</f>
        <v>8882490</v>
      </c>
      <c r="D37" s="261">
        <f ca="1">D19</f>
        <v>44412.450000000026</v>
      </c>
      <c r="E37" s="293">
        <f>'数据-取费表'!B35</f>
        <v>200</v>
      </c>
      <c r="F37" s="303"/>
      <c r="G37" s="305"/>
    </row>
    <row r="38" spans="1:7" ht="13.5" customHeight="1">
      <c r="A38" s="954" t="s">
        <v>798</v>
      </c>
      <c r="B38" s="259" t="s">
        <v>2356</v>
      </c>
      <c r="C38" s="264">
        <f ca="1">ROUND(C34*F38,0)</f>
        <v>1618379</v>
      </c>
      <c r="D38" s="264"/>
      <c r="E38" s="264"/>
      <c r="F38" s="303">
        <f>'数据-取费表'!B36</f>
        <v>1.4999999999999999E-2</v>
      </c>
      <c r="G38" s="263" t="s">
        <v>2351</v>
      </c>
    </row>
    <row r="39" spans="1:7" s="258" customFormat="1" ht="13.5" customHeight="1">
      <c r="A39" s="299" t="s">
        <v>2357</v>
      </c>
      <c r="B39" s="254" t="s">
        <v>2358</v>
      </c>
      <c r="C39" s="276">
        <f ca="1">ROUND(C33*F20,0)</f>
        <v>2540483</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6154320</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6033647</v>
      </c>
      <c r="D42" s="282"/>
      <c r="E42" s="282"/>
      <c r="F42" s="283"/>
      <c r="G42" s="3250" t="s">
        <v>2414</v>
      </c>
    </row>
    <row r="43" spans="1:7" ht="13.5" customHeight="1">
      <c r="A43" s="954" t="s">
        <v>791</v>
      </c>
      <c r="B43" s="259" t="s">
        <v>2368</v>
      </c>
      <c r="C43" s="282">
        <f ca="1">ROUND(IF('数据-取费表'!B22&lt;=1,C39*F22*'数据-取费表'!B20/2,C39*(POWER((1+F22),'数据-取费表'!B20/2)-1)),0)</f>
        <v>120673</v>
      </c>
      <c r="D43" s="282"/>
      <c r="E43" s="282"/>
      <c r="F43" s="283"/>
      <c r="G43" s="3251"/>
    </row>
    <row r="44" spans="1:7" ht="13.5" customHeight="1">
      <c r="A44" s="954" t="s">
        <v>792</v>
      </c>
      <c r="B44" s="259" t="s">
        <v>2369</v>
      </c>
      <c r="C44" s="282">
        <f ca="1">ROUND(IF('数据-取费表'!B22&lt;=1,C40*F22*'数据-取费表'!B20/2,C40*(POWER((1+F22),'数据-取费表'!B20/2)-1)),4)</f>
        <v>1E-3</v>
      </c>
      <c r="D44" s="282"/>
      <c r="E44" s="282"/>
      <c r="F44" s="283"/>
      <c r="G44" s="3252"/>
    </row>
    <row r="45" spans="1:7" s="258" customFormat="1" ht="13.5" customHeight="1">
      <c r="A45" s="299" t="s">
        <v>2370</v>
      </c>
      <c r="B45" s="288" t="s">
        <v>2336</v>
      </c>
      <c r="C45" s="289">
        <f ca="1">C46</f>
        <v>12956463</v>
      </c>
      <c r="D45" s="279">
        <f ca="1">C47</f>
        <v>2E-3</v>
      </c>
      <c r="E45" s="280" t="s">
        <v>2362</v>
      </c>
      <c r="F45" s="290"/>
      <c r="G45" s="291" t="s">
        <v>2371</v>
      </c>
    </row>
    <row r="46" spans="1:7" s="258" customFormat="1" ht="13.5" customHeight="1">
      <c r="A46" s="954" t="s">
        <v>790</v>
      </c>
      <c r="B46" s="292" t="s">
        <v>2372</v>
      </c>
      <c r="C46" s="293">
        <f ca="1">ROUND((C33+C39)*F27,0)</f>
        <v>12956463</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160956386</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160956386</v>
      </c>
      <c r="D51" s="276"/>
      <c r="E51" s="276"/>
      <c r="F51" s="308"/>
      <c r="G51" s="278" t="s">
        <v>2383</v>
      </c>
    </row>
    <row r="52" spans="1:7" s="252" customFormat="1" ht="16.5" thickBot="1">
      <c r="A52" s="309" t="s">
        <v>2384</v>
      </c>
      <c r="B52" s="310"/>
      <c r="C52" s="311">
        <f ca="1">C31+C51</f>
        <v>176863306</v>
      </c>
      <c r="D52" s="310"/>
      <c r="E52" s="310"/>
      <c r="F52" s="310"/>
      <c r="G52" s="312"/>
    </row>
    <row r="55" spans="1:7" ht="15">
      <c r="B55" s="314" t="s">
        <v>2385</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26393</v>
      </c>
      <c r="C2" s="320" t="s">
        <v>2418</v>
      </c>
      <c r="D2" s="320"/>
      <c r="E2" s="320"/>
      <c r="F2" s="320"/>
      <c r="G2" s="320"/>
      <c r="H2" s="320"/>
      <c r="I2" s="320"/>
      <c r="J2" s="320"/>
      <c r="K2" s="320"/>
    </row>
    <row r="3" spans="1:33" ht="18" customHeight="1" thickBot="1">
      <c r="A3" s="247" t="s">
        <v>2287</v>
      </c>
      <c r="B3" s="248">
        <f ca="1">ROUND(B2*10000/IF(C1="",'数据-汇总表'!E3,INDIRECT("'数据-取费表'!K"&amp;$K$1)),0)</f>
        <v>5943</v>
      </c>
      <c r="C3" s="320" t="s">
        <v>2419</v>
      </c>
      <c r="D3" s="320"/>
      <c r="E3" s="320"/>
      <c r="F3" s="320"/>
      <c r="G3" s="320"/>
      <c r="H3" s="320"/>
      <c r="I3" s="320"/>
      <c r="J3" s="320"/>
      <c r="K3" s="320"/>
    </row>
    <row r="4" spans="1:33" s="959" customFormat="1" ht="16.5" customHeight="1">
      <c r="A4" s="956" t="s">
        <v>2420</v>
      </c>
      <c r="B4" s="957"/>
      <c r="C4" s="999">
        <f>SUM(C8:K8)</f>
        <v>38292</v>
      </c>
      <c r="D4" s="957"/>
      <c r="E4" s="957"/>
      <c r="F4" s="957"/>
      <c r="G4" s="957"/>
      <c r="H4" s="957"/>
      <c r="I4" s="957"/>
      <c r="J4" s="957"/>
      <c r="K4" s="958"/>
    </row>
    <row r="5" spans="1:33" s="963" customFormat="1" ht="15">
      <c r="A5" s="960" t="s">
        <v>2421</v>
      </c>
      <c r="B5" s="961" t="s">
        <v>2422</v>
      </c>
      <c r="C5" s="2560" t="s">
        <v>3002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43156.770000000033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38292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4316</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216</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129</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355</v>
      </c>
      <c r="D14" s="1036">
        <f ca="1">IF(C1="",'数据-汇总表'!E3,INDIRECT("'数据-取费表'!K"&amp;$K$1)+INDIRECT("'数据-取费表'!S"&amp;$K$1))</f>
        <v>44412.450000000026</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65</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5081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44412.450000000026</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62" t="s">
        <v>3097</v>
      </c>
      <c r="H18" s="1579"/>
      <c r="I18" s="2563" t="s">
        <v>2448</v>
      </c>
      <c r="J18" s="982"/>
      <c r="K18" s="983"/>
    </row>
    <row r="19" spans="1:33" s="978" customFormat="1" ht="13.5" customHeight="1">
      <c r="A19" s="974" t="s">
        <v>804</v>
      </c>
      <c r="B19" s="975" t="s">
        <v>2449</v>
      </c>
      <c r="C19" s="24">
        <f ca="1">ROUND(D19*E19/10000,0)</f>
        <v>518</v>
      </c>
      <c r="D19" s="1036">
        <f ca="1">IF(C1="",'数据-汇总表'!E5,IF(INDIRECT("'数据-取费表'!c"&amp;$K$1)="住宅",INDIRECT("'数据-取费表'!k"&amp;$K$1),0))</f>
        <v>43156.770000000026</v>
      </c>
      <c r="E19" s="24">
        <f>'数据-取费表'!B27</f>
        <v>120</v>
      </c>
      <c r="F19" s="979"/>
      <c r="G19" s="15"/>
      <c r="H19" s="1581"/>
      <c r="I19" s="984"/>
      <c r="J19" s="984"/>
      <c r="K19" s="985"/>
    </row>
    <row r="20" spans="1:33" s="978" customFormat="1" ht="13.5" customHeight="1">
      <c r="A20" s="974" t="s">
        <v>805</v>
      </c>
      <c r="B20" s="975" t="s">
        <v>2450</v>
      </c>
      <c r="C20" s="24">
        <f ca="1">ROUND(D20*E20/10000,0)</f>
        <v>20</v>
      </c>
      <c r="D20" s="1036">
        <f ca="1">IF(C1="",'数据-汇总表'!E6,IF(INDIRECT("'数据-取费表'!c"&amp;$K$1)="住宅",INDIRECT("'数据-取费表'!s"&amp;$K$1),INDIRECT("'数据-取费表'!k"&amp;$K$1)+INDIRECT("'数据-取费表'!s"&amp;$K$1)))</f>
        <v>1255.6800000000003</v>
      </c>
      <c r="E20" s="24">
        <f>'数据-取费表'!B28</f>
        <v>160</v>
      </c>
      <c r="F20" s="979"/>
      <c r="G20" s="15"/>
      <c r="H20" s="984"/>
      <c r="I20" s="984"/>
      <c r="J20" s="984"/>
      <c r="K20" s="985"/>
    </row>
    <row r="21" spans="1:33" s="978" customFormat="1" ht="13.5" customHeight="1">
      <c r="A21" s="964" t="s">
        <v>801</v>
      </c>
      <c r="B21" s="988" t="s">
        <v>2451</v>
      </c>
      <c r="C21" s="989">
        <f ca="1">C16+C17+C18</f>
        <v>5081</v>
      </c>
      <c r="D21" s="990"/>
      <c r="E21" s="325"/>
      <c r="F21" s="325"/>
      <c r="G21" s="140" t="s">
        <v>2452</v>
      </c>
      <c r="H21" s="982"/>
      <c r="I21" s="982"/>
      <c r="J21" s="982"/>
      <c r="K21" s="983"/>
    </row>
    <row r="22" spans="1:33" s="978" customFormat="1" ht="13.5" customHeight="1">
      <c r="A22" s="964" t="s">
        <v>2424</v>
      </c>
      <c r="B22" s="988" t="s">
        <v>2453</v>
      </c>
      <c r="C22" s="989">
        <f ca="1">ROUND(C21*F22,0)</f>
        <v>102</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306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129</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4.9299999999999997E-2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129</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549</v>
      </c>
      <c r="D28" s="324">
        <f ca="1">C29</f>
        <v>5.1900000000000002E-2</v>
      </c>
      <c r="E28" s="326" t="s">
        <v>15</v>
      </c>
      <c r="F28" s="332">
        <f ca="1">IF(C1="",'数据-取费表'!Q16,INDIRECT("'数据-取费表'!q"&amp;$K$1))</f>
        <v>0.1</v>
      </c>
      <c r="G28" s="992"/>
      <c r="H28" s="993"/>
      <c r="I28" s="993"/>
      <c r="J28" s="993"/>
      <c r="K28" s="994"/>
    </row>
    <row r="29" spans="1:33" s="335" customFormat="1" ht="13.5" customHeight="1">
      <c r="A29" s="974" t="s">
        <v>802</v>
      </c>
      <c r="B29" s="997" t="s">
        <v>2466</v>
      </c>
      <c r="C29" s="328">
        <f ca="1">ROUND((1+C24)*F28*'数据-取费表'!B24/'数据-取费表'!B20,4)</f>
        <v>5.1900000000000002E-2</v>
      </c>
      <c r="D29" s="328"/>
      <c r="E29" s="329"/>
      <c r="F29" s="334"/>
      <c r="G29" s="140" t="s">
        <v>2467</v>
      </c>
      <c r="H29" s="982"/>
      <c r="I29" s="982"/>
      <c r="J29" s="982"/>
      <c r="K29" s="983"/>
    </row>
    <row r="30" spans="1:33" s="335" customFormat="1" ht="13.5" customHeight="1">
      <c r="A30" s="974" t="s">
        <v>803</v>
      </c>
      <c r="B30" s="997" t="s">
        <v>2468</v>
      </c>
      <c r="C30" s="336">
        <f ca="1">ROUND((C21+C22+C23)*F28,0)</f>
        <v>549</v>
      </c>
      <c r="D30" s="328"/>
      <c r="E30" s="329"/>
      <c r="F30" s="334"/>
      <c r="G30" s="140"/>
      <c r="H30" s="982"/>
      <c r="I30" s="982"/>
      <c r="J30" s="982"/>
      <c r="K30" s="983"/>
    </row>
    <row r="31" spans="1:33" s="978" customFormat="1" ht="13.5" customHeight="1" thickBot="1">
      <c r="A31" s="2566" t="s">
        <v>2469</v>
      </c>
      <c r="B31" s="1008" t="s">
        <v>2470</v>
      </c>
      <c r="C31" s="1009">
        <f>ROUND(C4*F31/(1+'数据-取费表'!C42),0)</f>
        <v>2042</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26393</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255" t="s">
        <v>1399</v>
      </c>
      <c r="C6" s="1299">
        <f ca="1">ROUND(F6*F8*F7*(1-F9)/10000,0)</f>
        <v>0</v>
      </c>
      <c r="D6" s="164" t="s">
        <v>2987</v>
      </c>
      <c r="E6" s="347" t="s">
        <v>1401</v>
      </c>
      <c r="F6" s="348">
        <f ca="1">INDIRECT("'数据-取费表'!u"&amp;$G$1)</f>
        <v>0</v>
      </c>
      <c r="G6" s="1853"/>
      <c r="H6" s="1294" t="s">
        <v>1034</v>
      </c>
      <c r="I6" s="3255" t="s">
        <v>1399</v>
      </c>
      <c r="J6" s="346">
        <f ca="1">ROUND(M6*M8*M7*(1-M9)/10000,0)</f>
        <v>0</v>
      </c>
      <c r="K6" s="164" t="s">
        <v>2986</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55" t="s">
        <v>1399</v>
      </c>
      <c r="C6" s="1299">
        <f ca="1">ROUND(F6*F8*F7*(1-F9),0)</f>
        <v>0</v>
      </c>
      <c r="D6" s="164" t="s">
        <v>2984</v>
      </c>
      <c r="E6" s="347" t="s">
        <v>1401</v>
      </c>
      <c r="F6" s="348">
        <f ca="1">INDIRECT("'数据-取费表'!u"&amp;$G$1)</f>
        <v>0</v>
      </c>
      <c r="G6" s="1853"/>
      <c r="H6" s="1294" t="s">
        <v>1034</v>
      </c>
      <c r="I6" s="3255" t="s">
        <v>1399</v>
      </c>
      <c r="J6" s="346">
        <f ca="1">ROUND(M6*M8*M7*(1-M9),0)</f>
        <v>0</v>
      </c>
      <c r="K6" s="1836" t="s">
        <v>2985</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0</v>
      </c>
      <c r="C2" s="2572" t="s">
        <v>2474</v>
      </c>
      <c r="D2" s="2573" t="s">
        <v>2475</v>
      </c>
      <c r="E2" s="2574">
        <f>SUM(E6:E13)</f>
        <v>0</v>
      </c>
    </row>
    <row r="3" spans="1:6" ht="15.75">
      <c r="A3" s="2570" t="s">
        <v>1391</v>
      </c>
      <c r="B3" s="2571" t="e">
        <f ca="1">ROUND(B2*10000/E2,0)</f>
        <v>#DIV/0!</v>
      </c>
      <c r="C3" s="2572" t="s">
        <v>2482</v>
      </c>
      <c r="D3" s="2575"/>
      <c r="E3" s="2576"/>
    </row>
    <row r="4" spans="1:6" ht="15.75">
      <c r="A4" s="2577"/>
      <c r="B4" s="2575"/>
      <c r="C4" s="2575"/>
      <c r="D4" s="2575"/>
      <c r="E4" s="2576"/>
    </row>
    <row r="5" spans="1:6" ht="15">
      <c r="A5" s="2578" t="s">
        <v>2476</v>
      </c>
      <c r="B5" s="3258" t="s">
        <v>2477</v>
      </c>
      <c r="C5" s="3258"/>
      <c r="D5" s="2579"/>
      <c r="E5" s="2580" t="s">
        <v>2478</v>
      </c>
      <c r="F5" s="2581" t="s">
        <v>2479</v>
      </c>
    </row>
    <row r="6" spans="1:6">
      <c r="A6" s="2582">
        <f>'数据-取费表'!AN6</f>
        <v>0</v>
      </c>
      <c r="B6" s="2581" t="e">
        <f ca="1">IF(F6="是",'数据-取费表'!AO6,0)</f>
        <v>#REF!</v>
      </c>
      <c r="C6" s="2572" t="s">
        <v>2474</v>
      </c>
      <c r="D6" s="2575"/>
      <c r="E6" s="2583">
        <f>IF(OR(A6=0,F6="否"),0,'数据-取费表'!K6+'数据-取费表'!S6)</f>
        <v>0</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75" t="s">
        <v>1075</v>
      </c>
      <c r="B1" s="3276"/>
      <c r="C1" s="3277"/>
      <c r="D1" s="3278">
        <f>SUM(I10,I15,I20,I21,I23)</f>
        <v>0</v>
      </c>
      <c r="E1" s="3278"/>
      <c r="F1" s="3278"/>
      <c r="G1" s="3278"/>
      <c r="H1" s="3278"/>
      <c r="I1" s="3279"/>
    </row>
    <row r="2" spans="1:9">
      <c r="A2" s="3265" t="s">
        <v>1076</v>
      </c>
      <c r="B2" s="3266" t="s">
        <v>1077</v>
      </c>
      <c r="C2" s="3266"/>
      <c r="D2" s="1304" t="s">
        <v>1078</v>
      </c>
      <c r="E2" s="1304" t="s">
        <v>1079</v>
      </c>
      <c r="F2" s="1304" t="s">
        <v>1080</v>
      </c>
      <c r="G2" s="1304" t="s">
        <v>1081</v>
      </c>
      <c r="H2" s="1304" t="s">
        <v>1082</v>
      </c>
      <c r="I2" s="1305" t="s">
        <v>1083</v>
      </c>
    </row>
    <row r="3" spans="1:9">
      <c r="A3" s="3265"/>
      <c r="B3" s="3266" t="s">
        <v>1084</v>
      </c>
      <c r="C3" s="3266"/>
      <c r="D3" s="1306"/>
      <c r="E3" s="1304"/>
      <c r="F3" s="1307"/>
      <c r="G3" s="1307"/>
      <c r="H3" s="1308"/>
      <c r="I3" s="1309">
        <f>ROUND(D3*E3*F3*G3*H3/10000,0)</f>
        <v>0</v>
      </c>
    </row>
    <row r="4" spans="1:9">
      <c r="A4" s="3265"/>
      <c r="B4" s="3266" t="s">
        <v>1085</v>
      </c>
      <c r="C4" s="3266"/>
      <c r="D4" s="1306"/>
      <c r="E4" s="1304"/>
      <c r="F4" s="1307"/>
      <c r="G4" s="1307"/>
      <c r="H4" s="1308"/>
      <c r="I4" s="1309">
        <f t="shared" ref="I4:I9" si="0">ROUND(D4*E4*F4*G4*H4/10000,0)</f>
        <v>0</v>
      </c>
    </row>
    <row r="5" spans="1:9">
      <c r="A5" s="3265"/>
      <c r="B5" s="3266" t="s">
        <v>1086</v>
      </c>
      <c r="C5" s="3266"/>
      <c r="D5" s="1306"/>
      <c r="E5" s="1304"/>
      <c r="F5" s="1307"/>
      <c r="G5" s="1307"/>
      <c r="H5" s="1308"/>
      <c r="I5" s="1309">
        <f t="shared" si="0"/>
        <v>0</v>
      </c>
    </row>
    <row r="6" spans="1:9">
      <c r="A6" s="3265"/>
      <c r="B6" s="3266" t="s">
        <v>1087</v>
      </c>
      <c r="C6" s="3266"/>
      <c r="D6" s="1306"/>
      <c r="E6" s="1304"/>
      <c r="F6" s="1307"/>
      <c r="G6" s="1307"/>
      <c r="H6" s="1308"/>
      <c r="I6" s="1309">
        <f t="shared" si="0"/>
        <v>0</v>
      </c>
    </row>
    <row r="7" spans="1:9">
      <c r="A7" s="3265"/>
      <c r="B7" s="3266" t="s">
        <v>1088</v>
      </c>
      <c r="C7" s="3266"/>
      <c r="D7" s="1306"/>
      <c r="E7" s="1304"/>
      <c r="F7" s="1307"/>
      <c r="G7" s="1307"/>
      <c r="H7" s="1308"/>
      <c r="I7" s="1309">
        <f t="shared" si="0"/>
        <v>0</v>
      </c>
    </row>
    <row r="8" spans="1:9">
      <c r="A8" s="3265"/>
      <c r="B8" s="3266" t="s">
        <v>1089</v>
      </c>
      <c r="C8" s="3266"/>
      <c r="D8" s="1306"/>
      <c r="E8" s="1304"/>
      <c r="F8" s="1307"/>
      <c r="G8" s="1307"/>
      <c r="H8" s="1308"/>
      <c r="I8" s="1309">
        <f t="shared" si="0"/>
        <v>0</v>
      </c>
    </row>
    <row r="9" spans="1:9">
      <c r="A9" s="3265"/>
      <c r="B9" s="3266" t="s">
        <v>1090</v>
      </c>
      <c r="C9" s="3266"/>
      <c r="D9" s="1306"/>
      <c r="E9" s="1304"/>
      <c r="F9" s="1307"/>
      <c r="G9" s="1307"/>
      <c r="H9" s="1308"/>
      <c r="I9" s="1309">
        <f t="shared" si="0"/>
        <v>0</v>
      </c>
    </row>
    <row r="10" spans="1:9">
      <c r="A10" s="3265"/>
      <c r="B10" s="3267" t="s">
        <v>1091</v>
      </c>
      <c r="C10" s="3267"/>
      <c r="D10" s="1310"/>
      <c r="E10" s="1310" t="e">
        <f>ROUND(D1*10000/D10/H9,0)</f>
        <v>#DIV/0!</v>
      </c>
      <c r="F10" s="1311"/>
      <c r="G10" s="1311"/>
      <c r="H10" s="1312"/>
      <c r="I10" s="1313">
        <f>SUM(I3:I9)</f>
        <v>0</v>
      </c>
    </row>
    <row r="11" spans="1:9" ht="14.25">
      <c r="A11" s="3265" t="s">
        <v>1092</v>
      </c>
      <c r="B11" s="3266" t="s">
        <v>1093</v>
      </c>
      <c r="C11" s="3266"/>
      <c r="D11" s="1306" t="s">
        <v>1094</v>
      </c>
      <c r="E11" s="1306" t="s">
        <v>1095</v>
      </c>
      <c r="F11" s="1307" t="s">
        <v>1096</v>
      </c>
      <c r="G11" s="1307" t="s">
        <v>1082</v>
      </c>
      <c r="H11" s="1314" t="s">
        <v>1097</v>
      </c>
      <c r="I11" s="1305" t="s">
        <v>1083</v>
      </c>
    </row>
    <row r="12" spans="1:9">
      <c r="A12" s="3265"/>
      <c r="B12" s="3266" t="s">
        <v>1098</v>
      </c>
      <c r="C12" s="3266"/>
      <c r="D12" s="1306"/>
      <c r="E12" s="1306"/>
      <c r="F12" s="1307"/>
      <c r="G12" s="1308"/>
      <c r="H12" s="1315"/>
      <c r="I12" s="1305">
        <f>ROUND(D12*E12*F12*G12/10000,0)</f>
        <v>0</v>
      </c>
    </row>
    <row r="13" spans="1:9">
      <c r="A13" s="3265"/>
      <c r="B13" s="3266" t="s">
        <v>1099</v>
      </c>
      <c r="C13" s="3266"/>
      <c r="D13" s="1306"/>
      <c r="E13" s="1306"/>
      <c r="F13" s="1307"/>
      <c r="G13" s="1308"/>
      <c r="H13" s="1315"/>
      <c r="I13" s="1305">
        <f>ROUND(D13*E13*F13*G13/10000,0)</f>
        <v>0</v>
      </c>
    </row>
    <row r="14" spans="1:9">
      <c r="A14" s="3265"/>
      <c r="B14" s="3266" t="s">
        <v>1100</v>
      </c>
      <c r="C14" s="3266"/>
      <c r="D14" s="1306"/>
      <c r="E14" s="1306"/>
      <c r="F14" s="1307"/>
      <c r="G14" s="1308"/>
      <c r="H14" s="1315"/>
      <c r="I14" s="1305">
        <f>ROUND(D14*E14*F14*G14/10000,0)</f>
        <v>0</v>
      </c>
    </row>
    <row r="15" spans="1:9">
      <c r="A15" s="3265"/>
      <c r="B15" s="3267" t="s">
        <v>1091</v>
      </c>
      <c r="C15" s="3267"/>
      <c r="D15" s="1310"/>
      <c r="E15" s="1310">
        <f>SUM(E12:E14)</f>
        <v>0</v>
      </c>
      <c r="F15" s="1311"/>
      <c r="G15" s="1308"/>
      <c r="H15" s="1315"/>
      <c r="I15" s="1316">
        <f>SUM(I12:I14)</f>
        <v>0</v>
      </c>
    </row>
    <row r="16" spans="1:9" ht="24">
      <c r="A16" s="3265" t="s">
        <v>1101</v>
      </c>
      <c r="B16" s="3266" t="s">
        <v>1102</v>
      </c>
      <c r="C16" s="3266"/>
      <c r="D16" s="1306" t="s">
        <v>1078</v>
      </c>
      <c r="E16" s="1317" t="s">
        <v>1103</v>
      </c>
      <c r="F16" s="1307" t="s">
        <v>1104</v>
      </c>
      <c r="G16" s="1308" t="s">
        <v>1082</v>
      </c>
      <c r="H16" s="1314" t="s">
        <v>1097</v>
      </c>
      <c r="I16" s="1305" t="s">
        <v>1083</v>
      </c>
    </row>
    <row r="17" spans="1:9" ht="14.25">
      <c r="A17" s="3265"/>
      <c r="B17" s="3266" t="s">
        <v>1105</v>
      </c>
      <c r="C17" s="3266"/>
      <c r="D17" s="1306"/>
      <c r="E17" s="1306"/>
      <c r="F17" s="1307"/>
      <c r="G17" s="1308"/>
      <c r="H17" s="1318"/>
      <c r="I17" s="1319">
        <f>ROUND(D17*E17*F17*G17/10000,0)</f>
        <v>0</v>
      </c>
    </row>
    <row r="18" spans="1:9" ht="14.25">
      <c r="A18" s="3265"/>
      <c r="B18" s="3266" t="s">
        <v>1106</v>
      </c>
      <c r="C18" s="3266"/>
      <c r="D18" s="1306"/>
      <c r="E18" s="1306"/>
      <c r="F18" s="1307"/>
      <c r="G18" s="1308"/>
      <c r="H18" s="1318"/>
      <c r="I18" s="1319">
        <f>ROUND(D18*E18*F18*G18/10000,0)</f>
        <v>0</v>
      </c>
    </row>
    <row r="19" spans="1:9" ht="14.25">
      <c r="A19" s="3265"/>
      <c r="B19" s="3266" t="s">
        <v>1107</v>
      </c>
      <c r="C19" s="3266"/>
      <c r="D19" s="1306"/>
      <c r="E19" s="1306"/>
      <c r="F19" s="1307"/>
      <c r="G19" s="1308"/>
      <c r="H19" s="1318"/>
      <c r="I19" s="1319">
        <f>ROUND(D19*E19*F19*G19/10000,0)</f>
        <v>0</v>
      </c>
    </row>
    <row r="20" spans="1:9">
      <c r="A20" s="3265"/>
      <c r="B20" s="3267" t="s">
        <v>1091</v>
      </c>
      <c r="C20" s="3267"/>
      <c r="D20" s="1310">
        <f>SUM(D17:D19)</f>
        <v>0</v>
      </c>
      <c r="E20" s="1310"/>
      <c r="F20" s="1311"/>
      <c r="G20" s="1308"/>
      <c r="H20" s="1315"/>
      <c r="I20" s="1316">
        <f>SUM(I17:I19)</f>
        <v>0</v>
      </c>
    </row>
    <row r="21" spans="1:9">
      <c r="A21" s="3265" t="s">
        <v>1108</v>
      </c>
      <c r="B21" s="3268"/>
      <c r="C21" s="3268"/>
      <c r="D21" s="3268"/>
      <c r="E21" s="3268"/>
      <c r="F21" s="3268"/>
      <c r="G21" s="3268"/>
      <c r="H21" s="1767">
        <v>0.1</v>
      </c>
      <c r="I21" s="1313">
        <f>ROUND(I10*H21,0)</f>
        <v>0</v>
      </c>
    </row>
    <row r="22" spans="1:9" ht="14.25">
      <c r="A22" s="3269" t="s">
        <v>1109</v>
      </c>
      <c r="B22" s="3270"/>
      <c r="C22" s="3271"/>
      <c r="D22" s="1320" t="s">
        <v>1110</v>
      </c>
      <c r="E22" s="1320" t="s">
        <v>1111</v>
      </c>
      <c r="F22" s="1321" t="s">
        <v>1112</v>
      </c>
      <c r="G22" s="1321" t="s">
        <v>1113</v>
      </c>
      <c r="H22" s="1314" t="s">
        <v>1114</v>
      </c>
      <c r="I22" s="1305" t="s">
        <v>1115</v>
      </c>
    </row>
    <row r="23" spans="1:9" ht="14.25" thickBot="1">
      <c r="A23" s="3272"/>
      <c r="B23" s="3273"/>
      <c r="C23" s="3274"/>
      <c r="D23" s="1322"/>
      <c r="E23" s="1322"/>
      <c r="F23" s="1322"/>
      <c r="G23" s="1323"/>
      <c r="H23" s="1324"/>
      <c r="I23" s="1325">
        <f>ROUND(E23*D23*F23*(1-G23)/10000,0)</f>
        <v>0</v>
      </c>
    </row>
    <row r="26" spans="1:9">
      <c r="A26" s="1326" t="s">
        <v>1116</v>
      </c>
      <c r="B26" s="1326"/>
      <c r="C26" s="1326"/>
      <c r="D26" s="1326"/>
      <c r="E26" s="3262">
        <f>C27-C30-C31-C32</f>
        <v>0</v>
      </c>
      <c r="F26" s="3262"/>
      <c r="G26" s="3262"/>
      <c r="H26" s="1739" t="s">
        <v>1336</v>
      </c>
    </row>
    <row r="27" spans="1:9">
      <c r="A27" s="1327">
        <v>1</v>
      </c>
      <c r="B27" s="1328" t="s">
        <v>1117</v>
      </c>
      <c r="C27" s="1328">
        <f>C28+C29</f>
        <v>0</v>
      </c>
      <c r="D27" s="1328"/>
      <c r="E27" s="3263"/>
      <c r="F27" s="3263"/>
      <c r="G27" s="3263"/>
    </row>
    <row r="28" spans="1:9">
      <c r="A28" s="1329" t="s">
        <v>1118</v>
      </c>
      <c r="B28" s="1328" t="s">
        <v>1119</v>
      </c>
      <c r="C28" s="1328"/>
      <c r="D28" s="1328"/>
      <c r="E28" s="3263"/>
      <c r="F28" s="3263"/>
      <c r="G28" s="3263"/>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64"/>
      <c r="F32" s="3264"/>
      <c r="G32" s="3264"/>
    </row>
    <row r="33" spans="1:7" hidden="1">
      <c r="A33" s="3259" t="s">
        <v>1128</v>
      </c>
      <c r="B33" s="3260"/>
      <c r="C33" s="3260"/>
      <c r="D33" s="3261"/>
      <c r="E33" s="3262"/>
      <c r="F33" s="3262"/>
      <c r="G33" s="3262"/>
    </row>
    <row r="34" spans="1:7" hidden="1">
      <c r="A34" s="1331">
        <v>1</v>
      </c>
      <c r="B34" s="1328" t="s">
        <v>1129</v>
      </c>
      <c r="C34" s="1328"/>
      <c r="D34" s="1328"/>
      <c r="E34" s="3263"/>
      <c r="F34" s="3263"/>
      <c r="G34" s="3263"/>
    </row>
    <row r="35" spans="1:7" hidden="1">
      <c r="A35" s="1331">
        <v>2</v>
      </c>
      <c r="B35" s="1328" t="s">
        <v>1130</v>
      </c>
      <c r="C35" s="1328"/>
      <c r="D35" s="1328"/>
      <c r="E35" s="3263"/>
      <c r="F35" s="3263"/>
      <c r="G35" s="3263"/>
    </row>
    <row r="36" spans="1:7" hidden="1">
      <c r="A36" s="1331">
        <v>3</v>
      </c>
      <c r="B36" s="1328" t="s">
        <v>1131</v>
      </c>
      <c r="C36" s="1328"/>
      <c r="D36" s="1328"/>
      <c r="E36" s="3263"/>
      <c r="F36" s="3263"/>
      <c r="G36" s="3263"/>
    </row>
    <row r="37" spans="1:7" hidden="1">
      <c r="A37" s="1331">
        <v>4</v>
      </c>
      <c r="B37" s="1328" t="s">
        <v>1132</v>
      </c>
      <c r="C37" s="1328"/>
      <c r="D37" s="1328"/>
      <c r="E37" s="3263"/>
      <c r="F37" s="3263"/>
      <c r="G37" s="3263"/>
    </row>
    <row r="38" spans="1:7" hidden="1">
      <c r="A38" s="3259" t="s">
        <v>1133</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38292</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44412.450000000026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210" t="s">
        <v>2491</v>
      </c>
      <c r="D4" s="3223"/>
      <c r="E4" s="3224" t="s">
        <v>2492</v>
      </c>
      <c r="F4" s="3225"/>
      <c r="G4" s="3210" t="s">
        <v>2493</v>
      </c>
      <c r="H4" s="3223"/>
      <c r="I4" s="3210" t="s">
        <v>2494</v>
      </c>
      <c r="J4" s="3223"/>
      <c r="K4" s="2602" t="s">
        <v>2495</v>
      </c>
      <c r="L4" s="1133"/>
      <c r="M4" s="1134"/>
      <c r="N4" s="1134"/>
      <c r="O4" s="1134"/>
      <c r="P4" s="3226" t="s">
        <v>2496</v>
      </c>
      <c r="Q4" s="3227"/>
      <c r="R4" s="3232" t="s">
        <v>2492</v>
      </c>
      <c r="S4" s="3233"/>
      <c r="T4" s="3232" t="s">
        <v>2493</v>
      </c>
      <c r="U4" s="3233"/>
      <c r="V4" s="3219" t="s">
        <v>2494</v>
      </c>
      <c r="W4" s="3219"/>
      <c r="X4" s="1815"/>
      <c r="Y4" s="3232" t="s">
        <v>2496</v>
      </c>
      <c r="Z4" s="3233"/>
      <c r="AA4" s="3220" t="s">
        <v>2492</v>
      </c>
      <c r="AB4" s="3220" t="s">
        <v>2493</v>
      </c>
      <c r="AC4" s="3220" t="s">
        <v>2494</v>
      </c>
    </row>
    <row r="5" spans="1:29" ht="15" customHeight="1">
      <c r="A5" s="404"/>
      <c r="B5" s="405"/>
      <c r="C5" s="3245" t="s">
        <v>3098</v>
      </c>
      <c r="D5" s="3241"/>
      <c r="E5" s="3248" t="s">
        <v>3123</v>
      </c>
      <c r="F5" s="3249"/>
      <c r="G5" s="3240" t="s">
        <v>3123</v>
      </c>
      <c r="H5" s="3241"/>
      <c r="I5" s="3240" t="s">
        <v>3123</v>
      </c>
      <c r="J5" s="3241"/>
      <c r="K5" s="2603"/>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3124</v>
      </c>
      <c r="F6" s="3247"/>
      <c r="G6" s="3238" t="s">
        <v>3124</v>
      </c>
      <c r="H6" s="3239"/>
      <c r="I6" s="3238" t="s">
        <v>3124</v>
      </c>
      <c r="J6" s="3239"/>
      <c r="K6" s="2603"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242" t="s">
        <v>2504</v>
      </c>
      <c r="Q7" s="3244"/>
      <c r="R7" s="770" t="s">
        <v>23</v>
      </c>
      <c r="S7" s="771">
        <f t="shared" ref="S7:S15" si="0">F7</f>
        <v>100</v>
      </c>
      <c r="T7" s="770" t="s">
        <v>23</v>
      </c>
      <c r="U7" s="771">
        <f t="shared" ref="U7:U15" si="1">H7</f>
        <v>100</v>
      </c>
      <c r="V7" s="770" t="s">
        <v>23</v>
      </c>
      <c r="W7" s="771">
        <f t="shared" ref="W7:W15" si="2">J7</f>
        <v>100</v>
      </c>
      <c r="X7" s="772"/>
      <c r="Y7" s="3242" t="s">
        <v>2504</v>
      </c>
      <c r="Z7" s="3243"/>
      <c r="AA7" s="773">
        <f>D7/F7</f>
        <v>1</v>
      </c>
      <c r="AB7" s="773">
        <f>D7/H7</f>
        <v>1</v>
      </c>
      <c r="AC7" s="773">
        <f>D7/J7</f>
        <v>1</v>
      </c>
    </row>
    <row r="8" spans="1:29" s="117" customFormat="1" ht="15.75" thickBot="1">
      <c r="A8" s="408" t="s">
        <v>2505</v>
      </c>
      <c r="B8" s="409"/>
      <c r="C8" s="414" t="s">
        <v>2506</v>
      </c>
      <c r="D8" s="411">
        <v>100</v>
      </c>
      <c r="E8" s="2605" t="s">
        <v>3047</v>
      </c>
      <c r="F8" s="413">
        <f>SUMIF(61:61,E8,62:62)-SUMIF(61:61,C8,62:62)+100</f>
        <v>100</v>
      </c>
      <c r="G8" s="414" t="s">
        <v>3047</v>
      </c>
      <c r="H8" s="411">
        <f>SUMIF(61:61,G8,62:62)-SUMIF(61:61,C8,62:62)+100</f>
        <v>100</v>
      </c>
      <c r="I8" s="2605" t="s">
        <v>3047</v>
      </c>
      <c r="J8" s="411">
        <f>SUMIF(61:61,I8,62:62)-SUMIF(61:61,C8,62:62)+100</f>
        <v>100</v>
      </c>
      <c r="K8" s="2604"/>
      <c r="L8" s="1135"/>
      <c r="M8" s="1136"/>
      <c r="N8" s="1136"/>
      <c r="O8" s="1136"/>
      <c r="P8" s="3242" t="s">
        <v>2507</v>
      </c>
      <c r="Q8" s="3243"/>
      <c r="R8" s="770" t="s">
        <v>23</v>
      </c>
      <c r="S8" s="771">
        <f t="shared" si="0"/>
        <v>100</v>
      </c>
      <c r="T8" s="770" t="s">
        <v>23</v>
      </c>
      <c r="U8" s="771">
        <f t="shared" si="1"/>
        <v>100</v>
      </c>
      <c r="V8" s="770" t="s">
        <v>23</v>
      </c>
      <c r="W8" s="771">
        <f t="shared" si="2"/>
        <v>100</v>
      </c>
      <c r="X8" s="772"/>
      <c r="Y8" s="3242" t="s">
        <v>2507</v>
      </c>
      <c r="Z8" s="3243"/>
      <c r="AA8" s="773">
        <f t="shared" ref="AA8:AA19" si="3">D8/F8</f>
        <v>1</v>
      </c>
      <c r="AB8" s="773">
        <f t="shared" ref="AB8:AB19" si="4">D8/H8</f>
        <v>1</v>
      </c>
      <c r="AC8" s="773">
        <f t="shared" ref="AC8:AC19" si="5">D8/J8</f>
        <v>1</v>
      </c>
    </row>
    <row r="9" spans="1:29" s="117" customFormat="1">
      <c r="A9" s="415" t="s">
        <v>2508</v>
      </c>
      <c r="B9" s="71" t="s">
        <v>2509</v>
      </c>
      <c r="C9" s="2951" t="s">
        <v>3105</v>
      </c>
      <c r="D9" s="135">
        <v>100</v>
      </c>
      <c r="E9" s="417" t="s">
        <v>3034</v>
      </c>
      <c r="F9" s="418">
        <f>SUMIF(63:63,E9,64:64)-SUMIF(63:63,C9,64:64)+100</f>
        <v>100</v>
      </c>
      <c r="G9" s="419" t="s">
        <v>3034</v>
      </c>
      <c r="H9" s="135">
        <f>SUMIF(63:63,G9,64:64)-SUMIF(63:63,C9,64:64)+100</f>
        <v>100</v>
      </c>
      <c r="I9" s="419" t="s">
        <v>3034</v>
      </c>
      <c r="J9" s="135">
        <f>SUMIF(63:63,I9,64:64)-SUMIF(63:63,C9,64:64)+100</f>
        <v>100</v>
      </c>
      <c r="K9" s="2604"/>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426">
        <v>1</v>
      </c>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t="s">
        <v>3132</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212"/>
      <c r="Q11" s="1797" t="str">
        <f t="shared" si="6"/>
        <v>容积率</v>
      </c>
      <c r="R11" s="770" t="s">
        <v>21</v>
      </c>
      <c r="S11" s="771">
        <f t="shared" si="0"/>
        <v>100</v>
      </c>
      <c r="T11" s="770" t="s">
        <v>21</v>
      </c>
      <c r="U11" s="771">
        <f t="shared" si="1"/>
        <v>100</v>
      </c>
      <c r="V11" s="770" t="s">
        <v>21</v>
      </c>
      <c r="W11" s="771">
        <f t="shared" si="2"/>
        <v>100</v>
      </c>
      <c r="X11" s="772"/>
      <c r="Y11" s="3064"/>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2"/>
      <c r="Q12" s="1797">
        <f t="shared" si="6"/>
        <v>0</v>
      </c>
      <c r="R12" s="770" t="s">
        <v>21</v>
      </c>
      <c r="S12" s="771">
        <f t="shared" si="0"/>
        <v>100</v>
      </c>
      <c r="T12" s="770" t="s">
        <v>21</v>
      </c>
      <c r="U12" s="771">
        <f t="shared" si="1"/>
        <v>100</v>
      </c>
      <c r="V12" s="770" t="s">
        <v>21</v>
      </c>
      <c r="W12" s="771">
        <f t="shared" si="2"/>
        <v>100</v>
      </c>
      <c r="X12" s="772"/>
      <c r="Y12" s="3064"/>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2"/>
      <c r="Q13" s="1797">
        <f t="shared" si="6"/>
        <v>0</v>
      </c>
      <c r="R13" s="770" t="s">
        <v>21</v>
      </c>
      <c r="S13" s="771">
        <f t="shared" si="0"/>
        <v>100</v>
      </c>
      <c r="T13" s="770" t="s">
        <v>21</v>
      </c>
      <c r="U13" s="771">
        <f t="shared" si="1"/>
        <v>100</v>
      </c>
      <c r="V13" s="770" t="s">
        <v>21</v>
      </c>
      <c r="W13" s="771">
        <f t="shared" si="2"/>
        <v>100</v>
      </c>
      <c r="X13" s="772"/>
      <c r="Y13" s="3064"/>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2"/>
      <c r="Q14" s="1797">
        <f t="shared" si="6"/>
        <v>0</v>
      </c>
      <c r="R14" s="770" t="s">
        <v>21</v>
      </c>
      <c r="S14" s="771">
        <f t="shared" si="0"/>
        <v>100</v>
      </c>
      <c r="T14" s="770" t="s">
        <v>21</v>
      </c>
      <c r="U14" s="771">
        <f t="shared" si="1"/>
        <v>100</v>
      </c>
      <c r="V14" s="770" t="s">
        <v>21</v>
      </c>
      <c r="W14" s="771">
        <f t="shared" si="2"/>
        <v>100</v>
      </c>
      <c r="X14" s="772"/>
      <c r="Y14" s="3064"/>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估价对象周边居住用地比例较高、居住小区规模和社区发展完善程度较好，周边1公里内有水墨林溪等住宅项目，综合评价居住社区成熟度一般</v>
      </c>
      <c r="D15" s="441">
        <v>100</v>
      </c>
      <c r="E15" s="444" t="s">
        <v>3128</v>
      </c>
      <c r="F15" s="441">
        <f>SUMIF(76:76,E16,77:77)-SUMIF(76:76,C16,77:77)+100</f>
        <v>100</v>
      </c>
      <c r="G15" s="442" t="s">
        <v>3128</v>
      </c>
      <c r="H15" s="441">
        <f>SUMIF(76:76,G16,77:77)-SUMIF(76:76,C16,77:77)+100</f>
        <v>100</v>
      </c>
      <c r="I15" s="442" t="s">
        <v>3128</v>
      </c>
      <c r="J15" s="441">
        <f>SUMIF(76:76,I16,77:77)-SUMIF(76:76,C16,77:77)+100</f>
        <v>100</v>
      </c>
      <c r="K15" s="445">
        <v>5</v>
      </c>
      <c r="L15" s="1143"/>
      <c r="M15" s="1134"/>
      <c r="N15" s="1134"/>
      <c r="O15" s="1134"/>
      <c r="P15" s="3286" t="s">
        <v>2515</v>
      </c>
      <c r="Q15" s="1812" t="str">
        <f t="shared" si="6"/>
        <v>居住社区成熟度</v>
      </c>
      <c r="R15" s="774" t="s">
        <v>21</v>
      </c>
      <c r="S15" s="775">
        <f t="shared" si="0"/>
        <v>100</v>
      </c>
      <c r="T15" s="774" t="s">
        <v>21</v>
      </c>
      <c r="U15" s="775">
        <f t="shared" si="1"/>
        <v>100</v>
      </c>
      <c r="V15" s="774" t="s">
        <v>21</v>
      </c>
      <c r="W15" s="775">
        <f t="shared" si="2"/>
        <v>100</v>
      </c>
      <c r="X15" s="1815"/>
      <c r="Y15" s="3215" t="s">
        <v>2515</v>
      </c>
      <c r="Z15" s="1816" t="str">
        <f t="shared" si="7"/>
        <v>居住社区成熟度</v>
      </c>
      <c r="AA15" s="1813">
        <f t="shared" si="3"/>
        <v>1</v>
      </c>
      <c r="AB15" s="1813">
        <f t="shared" si="4"/>
        <v>1</v>
      </c>
      <c r="AC15" s="1813">
        <f t="shared" si="5"/>
        <v>1</v>
      </c>
    </row>
    <row r="16" spans="1:29" ht="15">
      <c r="A16" s="428"/>
      <c r="B16" s="446"/>
      <c r="C16" s="447" t="s">
        <v>3051</v>
      </c>
      <c r="D16" s="448"/>
      <c r="E16" s="2610" t="s">
        <v>3051</v>
      </c>
      <c r="F16" s="448"/>
      <c r="G16" s="2611" t="s">
        <v>3051</v>
      </c>
      <c r="H16" s="450"/>
      <c r="I16" s="2611" t="s">
        <v>3051</v>
      </c>
      <c r="J16" s="448"/>
      <c r="K16" s="2612"/>
      <c r="L16" s="1143"/>
      <c r="M16" s="1134"/>
      <c r="N16" s="1134"/>
      <c r="O16" s="1134"/>
      <c r="P16" s="3287"/>
      <c r="Q16" s="1812"/>
      <c r="R16" s="774"/>
      <c r="S16" s="775"/>
      <c r="T16" s="774"/>
      <c r="U16" s="775"/>
      <c r="V16" s="774"/>
      <c r="W16" s="775"/>
      <c r="X16" s="1815"/>
      <c r="Y16" s="321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3129</v>
      </c>
      <c r="F17" s="450">
        <f>SUMIF(78:78,E18,79:79)-SUMIF(78:78,C18,79:79)+100</f>
        <v>100</v>
      </c>
      <c r="G17" s="452" t="s">
        <v>3129</v>
      </c>
      <c r="H17" s="455">
        <f>SUMIF(78:78,G18,79:79)-SUMIF(78:78,C18,79:79)+100</f>
        <v>100</v>
      </c>
      <c r="I17" s="452" t="s">
        <v>3129</v>
      </c>
      <c r="J17" s="455">
        <f>SUMIF(78:78,I18,79:79)-SUMIF(78:78,C18,79:79)+100</f>
        <v>100</v>
      </c>
      <c r="K17" s="445">
        <v>1</v>
      </c>
      <c r="L17" s="1143"/>
      <c r="M17" s="1134"/>
      <c r="N17" s="1134"/>
      <c r="O17" s="1134"/>
      <c r="P17" s="3287"/>
      <c r="Q17" s="1812" t="str">
        <f>B17</f>
        <v>交通便捷度</v>
      </c>
      <c r="R17" s="774" t="s">
        <v>21</v>
      </c>
      <c r="S17" s="775">
        <f>F17</f>
        <v>100</v>
      </c>
      <c r="T17" s="774" t="s">
        <v>21</v>
      </c>
      <c r="U17" s="775">
        <f>H17</f>
        <v>100</v>
      </c>
      <c r="V17" s="774" t="s">
        <v>21</v>
      </c>
      <c r="W17" s="775">
        <f>J17</f>
        <v>100</v>
      </c>
      <c r="X17" s="1815"/>
      <c r="Y17" s="3216"/>
      <c r="Z17" s="1816" t="str">
        <f>Q17</f>
        <v>交通便捷度</v>
      </c>
      <c r="AA17" s="1813">
        <f t="shared" si="3"/>
        <v>1</v>
      </c>
      <c r="AB17" s="1813">
        <f t="shared" si="4"/>
        <v>1</v>
      </c>
      <c r="AC17" s="1813">
        <f t="shared" si="5"/>
        <v>1</v>
      </c>
    </row>
    <row r="18" spans="1:29" ht="15">
      <c r="A18" s="428"/>
      <c r="B18" s="456"/>
      <c r="C18" s="2614" t="s">
        <v>3073</v>
      </c>
      <c r="D18" s="450"/>
      <c r="E18" s="2615" t="s">
        <v>3073</v>
      </c>
      <c r="F18" s="450"/>
      <c r="G18" s="2616" t="s">
        <v>3073</v>
      </c>
      <c r="H18" s="448"/>
      <c r="I18" s="2616" t="s">
        <v>3073</v>
      </c>
      <c r="J18" s="448"/>
      <c r="K18" s="2612"/>
      <c r="L18" s="1143"/>
      <c r="M18" s="1134"/>
      <c r="N18" s="1134"/>
      <c r="O18" s="1134"/>
      <c r="P18" s="3287"/>
      <c r="Q18" s="1812"/>
      <c r="R18" s="774"/>
      <c r="S18" s="775"/>
      <c r="T18" s="774"/>
      <c r="U18" s="775"/>
      <c r="V18" s="774"/>
      <c r="W18" s="775"/>
      <c r="X18" s="1815"/>
      <c r="Y18" s="3216"/>
      <c r="Z18" s="1816"/>
      <c r="AA18" s="1813">
        <v>1</v>
      </c>
      <c r="AB18" s="1813">
        <v>1</v>
      </c>
      <c r="AC18" s="1813">
        <v>1</v>
      </c>
    </row>
    <row r="19" spans="1:29" ht="42.75">
      <c r="A19" s="428"/>
      <c r="B19" s="451" t="s">
        <v>2055</v>
      </c>
      <c r="C19" s="2613" t="str">
        <f>估价对象房地状况!C7</f>
        <v>估价对象所在区域公共配套设施齐备度一般</v>
      </c>
      <c r="D19" s="455">
        <v>100</v>
      </c>
      <c r="E19" s="459" t="s">
        <v>3038</v>
      </c>
      <c r="F19" s="455">
        <f>SUMIF(80:80,E20,81:81)-SUMIF(80:80,C20,81:81)+100</f>
        <v>100</v>
      </c>
      <c r="G19" s="457" t="s">
        <v>3038</v>
      </c>
      <c r="H19" s="450">
        <f>SUMIF(80:80,G20,81:81)-SUMIF(80:80,C20,81:81)+100</f>
        <v>100</v>
      </c>
      <c r="I19" s="457" t="s">
        <v>3038</v>
      </c>
      <c r="J19" s="450">
        <f>SUMIF(80:80,I20,81:81)-SUMIF(80:80,C20,81:81)+100</f>
        <v>100</v>
      </c>
      <c r="K19" s="445">
        <v>1</v>
      </c>
      <c r="L19" s="1143"/>
      <c r="M19" s="1134"/>
      <c r="N19" s="1134"/>
      <c r="O19" s="1134"/>
      <c r="P19" s="3287"/>
      <c r="Q19" s="1812" t="str">
        <f>B19</f>
        <v>公共配套设施</v>
      </c>
      <c r="R19" s="774" t="s">
        <v>21</v>
      </c>
      <c r="S19" s="775">
        <f>F19</f>
        <v>100</v>
      </c>
      <c r="T19" s="774" t="s">
        <v>21</v>
      </c>
      <c r="U19" s="775">
        <f>H19</f>
        <v>100</v>
      </c>
      <c r="V19" s="774" t="s">
        <v>21</v>
      </c>
      <c r="W19" s="775">
        <f>J19</f>
        <v>100</v>
      </c>
      <c r="X19" s="1815"/>
      <c r="Y19" s="3216"/>
      <c r="Z19" s="1816" t="str">
        <f>Q19</f>
        <v>公共配套设施</v>
      </c>
      <c r="AA19" s="1813">
        <f t="shared" si="3"/>
        <v>1</v>
      </c>
      <c r="AB19" s="1813">
        <f t="shared" si="4"/>
        <v>1</v>
      </c>
      <c r="AC19" s="1813">
        <f t="shared" si="5"/>
        <v>1</v>
      </c>
    </row>
    <row r="20" spans="1:29" ht="15">
      <c r="A20" s="428"/>
      <c r="B20" s="456"/>
      <c r="C20" s="447" t="s">
        <v>3051</v>
      </c>
      <c r="D20" s="448"/>
      <c r="E20" s="2610" t="s">
        <v>3051</v>
      </c>
      <c r="F20" s="448"/>
      <c r="G20" s="2611" t="s">
        <v>3051</v>
      </c>
      <c r="H20" s="448"/>
      <c r="I20" s="2611" t="s">
        <v>3051</v>
      </c>
      <c r="J20" s="448"/>
      <c r="K20" s="2612"/>
      <c r="L20" s="1143"/>
      <c r="M20" s="1134"/>
      <c r="N20" s="1134"/>
      <c r="O20" s="1134"/>
      <c r="P20" s="3287"/>
      <c r="Q20" s="1812"/>
      <c r="R20" s="774"/>
      <c r="S20" s="775"/>
      <c r="T20" s="774"/>
      <c r="U20" s="775"/>
      <c r="V20" s="774"/>
      <c r="W20" s="775"/>
      <c r="X20" s="1815"/>
      <c r="Y20" s="3216"/>
      <c r="Z20" s="1816"/>
      <c r="AA20" s="1813">
        <v>1</v>
      </c>
      <c r="AB20" s="1813">
        <v>1</v>
      </c>
      <c r="AC20" s="1813">
        <v>1</v>
      </c>
    </row>
    <row r="21" spans="1:29" ht="42.75">
      <c r="A21" s="428"/>
      <c r="B21" s="1387" t="s">
        <v>2057</v>
      </c>
      <c r="C21" s="2613" t="str">
        <f>估价对象房地状况!C8</f>
        <v>估价对象所在区域基础设施水平较好</v>
      </c>
      <c r="D21" s="450">
        <v>100</v>
      </c>
      <c r="E21" s="459" t="s">
        <v>3039</v>
      </c>
      <c r="F21" s="455">
        <f>SUMIF(82:82,E22,83:83)-SUMIF(82:82,C22,83:83)+100</f>
        <v>100</v>
      </c>
      <c r="G21" s="457" t="s">
        <v>3039</v>
      </c>
      <c r="H21" s="450">
        <f>SUMIF(82:82,G22,83:83)-SUMIF(82:82,C22,83:83)+100</f>
        <v>100</v>
      </c>
      <c r="I21" s="457" t="s">
        <v>3039</v>
      </c>
      <c r="J21" s="450">
        <f>SUMIF(82:82,I22,83:83)-SUMIF(82:82,C22,83:83)+100</f>
        <v>100</v>
      </c>
      <c r="K21" s="445">
        <v>1</v>
      </c>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t="s">
        <v>3068</v>
      </c>
      <c r="D22" s="448"/>
      <c r="E22" s="447" t="s">
        <v>3068</v>
      </c>
      <c r="F22" s="448"/>
      <c r="G22" s="2617" t="s">
        <v>3068</v>
      </c>
      <c r="H22" s="448"/>
      <c r="I22" s="447" t="s">
        <v>3068</v>
      </c>
      <c r="J22" s="448"/>
      <c r="K22" s="2618"/>
      <c r="L22" s="1143"/>
      <c r="M22" s="1134"/>
      <c r="N22" s="1134"/>
      <c r="O22" s="1134"/>
      <c r="P22" s="3287"/>
      <c r="Q22" s="1812"/>
      <c r="R22" s="774"/>
      <c r="S22" s="775"/>
      <c r="T22" s="774"/>
      <c r="U22" s="775"/>
      <c r="V22" s="774"/>
      <c r="W22" s="775"/>
      <c r="X22" s="1815"/>
      <c r="Y22" s="3216"/>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3130</v>
      </c>
      <c r="F23" s="450">
        <f>SUMIF(84:84,E24,85:85)-SUMIF(84:84,C24,85:85)+100</f>
        <v>100</v>
      </c>
      <c r="G23" s="452" t="s">
        <v>3130</v>
      </c>
      <c r="H23" s="450">
        <f>SUMIF(84:84,G24,85:85)-SUMIF(84:84,C24,85:85)+100</f>
        <v>100</v>
      </c>
      <c r="I23" s="452" t="s">
        <v>3130</v>
      </c>
      <c r="J23" s="450">
        <f>SUMIF(84:84,I24,85:85)-SUMIF(84:84,C24,85:85)+100</f>
        <v>100</v>
      </c>
      <c r="K23" s="445">
        <v>1</v>
      </c>
      <c r="L23" s="1143"/>
      <c r="M23" s="1134"/>
      <c r="N23" s="1134"/>
      <c r="O23" s="1134"/>
      <c r="P23" s="3287"/>
      <c r="Q23" s="1812" t="str">
        <f>B23</f>
        <v>自然及人文环境</v>
      </c>
      <c r="R23" s="774" t="s">
        <v>21</v>
      </c>
      <c r="S23" s="775">
        <f>F23</f>
        <v>100</v>
      </c>
      <c r="T23" s="774" t="s">
        <v>21</v>
      </c>
      <c r="U23" s="775">
        <f>H23</f>
        <v>100</v>
      </c>
      <c r="V23" s="774" t="s">
        <v>21</v>
      </c>
      <c r="W23" s="775">
        <f>J23</f>
        <v>100</v>
      </c>
      <c r="X23" s="1815"/>
      <c r="Y23" s="3216"/>
      <c r="Z23" s="1816" t="str">
        <f>Q23</f>
        <v>自然及人文环境</v>
      </c>
      <c r="AA23" s="1813">
        <f>D23/F23</f>
        <v>1</v>
      </c>
      <c r="AB23" s="1813">
        <f>D23/H23</f>
        <v>1</v>
      </c>
      <c r="AC23" s="1813">
        <f>D23/J23</f>
        <v>1</v>
      </c>
    </row>
    <row r="24" spans="1:29" ht="15">
      <c r="A24" s="428"/>
      <c r="B24" s="456"/>
      <c r="C24" s="447" t="s">
        <v>3073</v>
      </c>
      <c r="D24" s="448"/>
      <c r="E24" s="2610" t="s">
        <v>3073</v>
      </c>
      <c r="F24" s="448"/>
      <c r="G24" s="2611" t="s">
        <v>3073</v>
      </c>
      <c r="H24" s="448"/>
      <c r="I24" s="2611" t="s">
        <v>3073</v>
      </c>
      <c r="J24" s="448"/>
      <c r="K24" s="2612"/>
      <c r="L24" s="1143"/>
      <c r="M24" s="1134"/>
      <c r="N24" s="1134"/>
      <c r="O24" s="1134"/>
      <c r="P24" s="3287"/>
      <c r="Q24" s="1812"/>
      <c r="R24" s="774"/>
      <c r="S24" s="775"/>
      <c r="T24" s="774"/>
      <c r="U24" s="775"/>
      <c r="V24" s="774"/>
      <c r="W24" s="775"/>
      <c r="X24" s="1815"/>
      <c r="Y24" s="3216"/>
      <c r="Z24" s="1816"/>
      <c r="AA24" s="1813">
        <v>1</v>
      </c>
      <c r="AB24" s="1813">
        <v>1</v>
      </c>
      <c r="AC24" s="1813">
        <v>1</v>
      </c>
    </row>
    <row r="25" spans="1:29" ht="15">
      <c r="A25" s="428"/>
      <c r="B25" s="422" t="s">
        <v>2516</v>
      </c>
      <c r="C25" s="460">
        <v>15</v>
      </c>
      <c r="D25" s="435">
        <v>100</v>
      </c>
      <c r="E25" s="2619" t="s">
        <v>3135</v>
      </c>
      <c r="F25" s="435">
        <f>SUMIF(86:86,E25,87:87)-SUMIF(86:86,C25,87:87)+100</f>
        <v>101.25</v>
      </c>
      <c r="G25" s="2620" t="s">
        <v>3135</v>
      </c>
      <c r="H25" s="435">
        <f>SUMIF(86:86,G25,87:87)-SUMIF(86:86,C25,87:87)+100</f>
        <v>101.25</v>
      </c>
      <c r="I25" s="2620" t="s">
        <v>3136</v>
      </c>
      <c r="J25" s="435">
        <f>SUMIF(86:86,I25,87:87)-SUMIF(86:86,C25,87:87)+100</f>
        <v>101.5</v>
      </c>
      <c r="K25" s="426">
        <v>0.25</v>
      </c>
      <c r="L25" s="1143"/>
      <c r="M25" s="1134"/>
      <c r="N25" s="1134"/>
      <c r="O25" s="1134"/>
      <c r="P25" s="3287"/>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216"/>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87"/>
      <c r="Q26" s="1812" t="str">
        <f t="shared" si="11"/>
        <v>朝向</v>
      </c>
      <c r="R26" s="774" t="s">
        <v>21</v>
      </c>
      <c r="S26" s="775">
        <f t="shared" si="12"/>
        <v>100</v>
      </c>
      <c r="T26" s="774" t="s">
        <v>21</v>
      </c>
      <c r="U26" s="775">
        <f t="shared" si="13"/>
        <v>100</v>
      </c>
      <c r="V26" s="774" t="s">
        <v>21</v>
      </c>
      <c r="W26" s="775">
        <f t="shared" si="14"/>
        <v>100</v>
      </c>
      <c r="X26" s="1815"/>
      <c r="Y26" s="3216"/>
      <c r="Z26" s="1816" t="str">
        <f>Q26</f>
        <v>朝向</v>
      </c>
      <c r="AA26" s="1813">
        <f t="shared" si="15"/>
        <v>1</v>
      </c>
      <c r="AB26" s="1813">
        <f t="shared" si="16"/>
        <v>1</v>
      </c>
      <c r="AC26" s="1813">
        <f t="shared" si="17"/>
        <v>1</v>
      </c>
    </row>
    <row r="27" spans="1:29" s="117" customFormat="1" ht="15">
      <c r="A27" s="431"/>
      <c r="B27" s="1389"/>
      <c r="C27" s="432" t="s">
        <v>3058</v>
      </c>
      <c r="D27" s="462">
        <v>100</v>
      </c>
      <c r="E27" s="465" t="s">
        <v>3058</v>
      </c>
      <c r="F27" s="462">
        <f>SUMIF(90:90,E27,91:91)-SUMIF(90:90,C27,91:91)+100</f>
        <v>100</v>
      </c>
      <c r="G27" s="463" t="s">
        <v>3058</v>
      </c>
      <c r="H27" s="462">
        <f>SUMIF(90:90,G27,91:91)-SUMIF(90:90,C27,91:91)+100</f>
        <v>100</v>
      </c>
      <c r="I27" s="463" t="s">
        <v>3058</v>
      </c>
      <c r="J27" s="462">
        <f>SUMIF(90:90,I27,91:91)-SUMIF(90:90,C27,91:91)+100</f>
        <v>100</v>
      </c>
      <c r="K27" s="2607"/>
      <c r="L27" s="1135"/>
      <c r="M27" s="1136"/>
      <c r="N27" s="1136"/>
      <c r="O27" s="1136"/>
      <c r="P27" s="3287"/>
      <c r="Q27" s="1797">
        <f t="shared" si="11"/>
        <v>0</v>
      </c>
      <c r="R27" s="770" t="s">
        <v>21</v>
      </c>
      <c r="S27" s="771">
        <f t="shared" si="12"/>
        <v>100</v>
      </c>
      <c r="T27" s="770" t="s">
        <v>21</v>
      </c>
      <c r="U27" s="771">
        <f t="shared" si="13"/>
        <v>100</v>
      </c>
      <c r="V27" s="770" t="s">
        <v>21</v>
      </c>
      <c r="W27" s="771">
        <f t="shared" si="14"/>
        <v>100</v>
      </c>
      <c r="X27" s="772"/>
      <c r="Y27" s="3216"/>
      <c r="Z27" s="55">
        <f>Q27</f>
        <v>0</v>
      </c>
      <c r="AA27" s="1813">
        <f t="shared" si="15"/>
        <v>1</v>
      </c>
      <c r="AB27" s="1813">
        <f t="shared" si="16"/>
        <v>1</v>
      </c>
      <c r="AC27" s="1813">
        <f t="shared" si="17"/>
        <v>1</v>
      </c>
    </row>
    <row r="28" spans="1:29" ht="28.5">
      <c r="A28" s="428"/>
      <c r="B28" s="1389"/>
      <c r="C28" s="434" t="s">
        <v>3041</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87"/>
      <c r="Q28" s="1812">
        <f t="shared" si="11"/>
        <v>0</v>
      </c>
      <c r="R28" s="774" t="s">
        <v>21</v>
      </c>
      <c r="S28" s="775">
        <f t="shared" si="12"/>
        <v>100</v>
      </c>
      <c r="T28" s="774" t="s">
        <v>21</v>
      </c>
      <c r="U28" s="775">
        <f t="shared" si="13"/>
        <v>100</v>
      </c>
      <c r="V28" s="774" t="s">
        <v>21</v>
      </c>
      <c r="W28" s="775">
        <f t="shared" si="14"/>
        <v>100</v>
      </c>
      <c r="X28" s="1815"/>
      <c r="Y28" s="321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87"/>
      <c r="Q29" s="1812">
        <f t="shared" si="11"/>
        <v>0</v>
      </c>
      <c r="R29" s="774" t="s">
        <v>21</v>
      </c>
      <c r="S29" s="775">
        <f t="shared" si="12"/>
        <v>100</v>
      </c>
      <c r="T29" s="774" t="s">
        <v>21</v>
      </c>
      <c r="U29" s="775">
        <f t="shared" si="13"/>
        <v>100</v>
      </c>
      <c r="V29" s="774" t="s">
        <v>21</v>
      </c>
      <c r="W29" s="775">
        <f t="shared" si="14"/>
        <v>100</v>
      </c>
      <c r="X29" s="1815"/>
      <c r="Y29" s="321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87"/>
      <c r="Q30" s="1812">
        <f t="shared" si="11"/>
        <v>0</v>
      </c>
      <c r="R30" s="774" t="s">
        <v>21</v>
      </c>
      <c r="S30" s="775">
        <f t="shared" si="12"/>
        <v>100</v>
      </c>
      <c r="T30" s="774" t="s">
        <v>21</v>
      </c>
      <c r="U30" s="775">
        <f t="shared" si="13"/>
        <v>100</v>
      </c>
      <c r="V30" s="774" t="s">
        <v>21</v>
      </c>
      <c r="W30" s="775">
        <f t="shared" si="14"/>
        <v>100</v>
      </c>
      <c r="X30" s="1815"/>
      <c r="Y30" s="321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87"/>
      <c r="Q31" s="1812">
        <f t="shared" si="11"/>
        <v>0</v>
      </c>
      <c r="R31" s="774" t="s">
        <v>21</v>
      </c>
      <c r="S31" s="775">
        <f t="shared" si="12"/>
        <v>100</v>
      </c>
      <c r="T31" s="774" t="s">
        <v>21</v>
      </c>
      <c r="U31" s="775">
        <f t="shared" si="13"/>
        <v>100</v>
      </c>
      <c r="V31" s="774" t="s">
        <v>21</v>
      </c>
      <c r="W31" s="775">
        <f t="shared" si="14"/>
        <v>100</v>
      </c>
      <c r="X31" s="1815"/>
      <c r="Y31" s="3216"/>
      <c r="Z31" s="1816">
        <f t="shared" si="18"/>
        <v>0</v>
      </c>
      <c r="AA31" s="1813">
        <f t="shared" si="15"/>
        <v>1</v>
      </c>
      <c r="AB31" s="1813">
        <f t="shared" si="16"/>
        <v>1</v>
      </c>
      <c r="AC31" s="1813">
        <f t="shared" si="17"/>
        <v>1</v>
      </c>
    </row>
    <row r="32" spans="1:29" ht="15">
      <c r="A32" s="440" t="s">
        <v>2518</v>
      </c>
      <c r="B32" s="71" t="s">
        <v>2519</v>
      </c>
      <c r="C32" s="2623" t="s">
        <v>3100</v>
      </c>
      <c r="D32" s="467">
        <v>100</v>
      </c>
      <c r="E32" s="2624" t="s">
        <v>3100</v>
      </c>
      <c r="F32" s="461">
        <f>SUMIF(100:100,E32,101:101)-SUMIF(100:100,C32,101:101)+100</f>
        <v>100</v>
      </c>
      <c r="G32" s="2623" t="s">
        <v>3100</v>
      </c>
      <c r="H32" s="467">
        <f>SUMIF(100:100,G32,101:101)-SUMIF(100:100,C32,101:101)+100</f>
        <v>100</v>
      </c>
      <c r="I32" s="2624" t="s">
        <v>3100</v>
      </c>
      <c r="J32" s="435">
        <f>SUMIF(100:100,I32,101:101)-SUMIF(100:100,C32,101:101)+100</f>
        <v>100</v>
      </c>
      <c r="K32" s="426">
        <v>1</v>
      </c>
      <c r="L32" s="1143"/>
      <c r="M32" s="1134"/>
      <c r="N32" s="1134"/>
      <c r="O32" s="1134"/>
      <c r="P32" s="3282" t="s">
        <v>2520</v>
      </c>
      <c r="Q32" s="1812" t="str">
        <f t="shared" si="11"/>
        <v>建筑类型</v>
      </c>
      <c r="R32" s="774" t="s">
        <v>21</v>
      </c>
      <c r="S32" s="775">
        <f t="shared" si="12"/>
        <v>100</v>
      </c>
      <c r="T32" s="774" t="s">
        <v>21</v>
      </c>
      <c r="U32" s="775">
        <f t="shared" si="13"/>
        <v>100</v>
      </c>
      <c r="V32" s="774" t="s">
        <v>21</v>
      </c>
      <c r="W32" s="775">
        <f t="shared" si="14"/>
        <v>100</v>
      </c>
      <c r="X32" s="1815"/>
      <c r="Y32" s="3218" t="s">
        <v>2520</v>
      </c>
      <c r="Z32" s="1816" t="str">
        <f t="shared" si="18"/>
        <v>建筑类型</v>
      </c>
      <c r="AA32" s="1813">
        <f t="shared" si="15"/>
        <v>1</v>
      </c>
      <c r="AB32" s="1813">
        <f t="shared" si="16"/>
        <v>1</v>
      </c>
      <c r="AC32" s="1813">
        <f t="shared" si="17"/>
        <v>1</v>
      </c>
    </row>
    <row r="33" spans="1:29" s="471" customFormat="1" ht="15">
      <c r="A33" s="468"/>
      <c r="B33" s="422" t="s">
        <v>2521</v>
      </c>
      <c r="C33" s="469" t="s">
        <v>3132</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83"/>
      <c r="Q33" s="776" t="str">
        <f t="shared" si="11"/>
        <v>项目建筑规模</v>
      </c>
      <c r="R33" s="777" t="s">
        <v>21</v>
      </c>
      <c r="S33" s="778">
        <f t="shared" si="12"/>
        <v>100</v>
      </c>
      <c r="T33" s="777" t="s">
        <v>21</v>
      </c>
      <c r="U33" s="778">
        <f t="shared" si="13"/>
        <v>100</v>
      </c>
      <c r="V33" s="777" t="s">
        <v>21</v>
      </c>
      <c r="W33" s="778">
        <f t="shared" si="14"/>
        <v>100</v>
      </c>
      <c r="X33" s="779"/>
      <c r="Y33" s="3218"/>
      <c r="Z33" s="780" t="str">
        <f t="shared" si="18"/>
        <v>项目建筑规模</v>
      </c>
      <c r="AA33" s="1813">
        <f t="shared" si="15"/>
        <v>1</v>
      </c>
      <c r="AB33" s="1813">
        <f t="shared" si="16"/>
        <v>1</v>
      </c>
      <c r="AC33" s="1813">
        <f t="shared" si="17"/>
        <v>1</v>
      </c>
    </row>
    <row r="34" spans="1:29" ht="15">
      <c r="A34" s="472"/>
      <c r="B34" s="422" t="s">
        <v>2522</v>
      </c>
      <c r="C34" s="2625" t="s">
        <v>3100</v>
      </c>
      <c r="D34" s="435">
        <v>100</v>
      </c>
      <c r="E34" s="2626" t="s">
        <v>3100</v>
      </c>
      <c r="F34" s="461">
        <f>SUMIF(105:105,E34,106:106)-SUMIF(105:105,C34,106:106)+100</f>
        <v>100</v>
      </c>
      <c r="G34" s="2625" t="s">
        <v>3100</v>
      </c>
      <c r="H34" s="435">
        <f>SUMIF(105:105,G34,106:106)-SUMIF(105:105,C34,106:106)+100</f>
        <v>100</v>
      </c>
      <c r="I34" s="2626" t="s">
        <v>3100</v>
      </c>
      <c r="J34" s="435">
        <f>SUMIF(105:105,I34,106:106)-SUMIF(105:105,C34,106:106)+100</f>
        <v>100</v>
      </c>
      <c r="K34" s="426">
        <v>1</v>
      </c>
      <c r="L34" s="1143"/>
      <c r="M34" s="1134"/>
      <c r="N34" s="1134"/>
      <c r="O34" s="1134"/>
      <c r="P34" s="3283"/>
      <c r="Q34" s="1812" t="str">
        <f t="shared" si="11"/>
        <v>建筑结构</v>
      </c>
      <c r="R34" s="774" t="s">
        <v>21</v>
      </c>
      <c r="S34" s="775">
        <f t="shared" si="12"/>
        <v>100</v>
      </c>
      <c r="T34" s="774" t="s">
        <v>21</v>
      </c>
      <c r="U34" s="775">
        <f t="shared" si="13"/>
        <v>100</v>
      </c>
      <c r="V34" s="774" t="s">
        <v>21</v>
      </c>
      <c r="W34" s="775">
        <f t="shared" si="14"/>
        <v>100</v>
      </c>
      <c r="X34" s="1815"/>
      <c r="Y34" s="3218"/>
      <c r="Z34" s="1816" t="str">
        <f t="shared" si="18"/>
        <v>建筑结构</v>
      </c>
      <c r="AA34" s="1813">
        <f t="shared" si="15"/>
        <v>1</v>
      </c>
      <c r="AB34" s="1813">
        <f t="shared" si="16"/>
        <v>1</v>
      </c>
      <c r="AC34" s="1813">
        <f t="shared" si="17"/>
        <v>1</v>
      </c>
    </row>
    <row r="35" spans="1:29" ht="15">
      <c r="A35" s="472"/>
      <c r="B35" s="422" t="s">
        <v>2523</v>
      </c>
      <c r="C35" s="2619" t="s">
        <v>3051</v>
      </c>
      <c r="D35" s="435">
        <v>100</v>
      </c>
      <c r="E35" s="2620" t="s">
        <v>3051</v>
      </c>
      <c r="F35" s="461">
        <f>SUMIF(107:107,E35,108:108)-SUMIF(107:107,C35,108:108)+100</f>
        <v>100</v>
      </c>
      <c r="G35" s="2619" t="s">
        <v>3051</v>
      </c>
      <c r="H35" s="435">
        <f>SUMIF(107:107,G35,108:108)-SUMIF(107:107,C35,108:108)+100</f>
        <v>100</v>
      </c>
      <c r="I35" s="2620" t="s">
        <v>3051</v>
      </c>
      <c r="J35" s="435">
        <f>SUMIF(107:107,I35,108:108)-SUMIF(107:107,C35,108:108)+100</f>
        <v>100</v>
      </c>
      <c r="K35" s="426">
        <v>1</v>
      </c>
      <c r="L35" s="1143"/>
      <c r="M35" s="1134"/>
      <c r="N35" s="1134"/>
      <c r="O35" s="1134"/>
      <c r="P35" s="3283"/>
      <c r="Q35" s="1812" t="str">
        <f t="shared" si="11"/>
        <v>建筑品质</v>
      </c>
      <c r="R35" s="774" t="s">
        <v>21</v>
      </c>
      <c r="S35" s="775">
        <f t="shared" si="12"/>
        <v>100</v>
      </c>
      <c r="T35" s="774" t="s">
        <v>21</v>
      </c>
      <c r="U35" s="775">
        <f t="shared" si="13"/>
        <v>100</v>
      </c>
      <c r="V35" s="774" t="s">
        <v>21</v>
      </c>
      <c r="W35" s="775">
        <f t="shared" si="14"/>
        <v>100</v>
      </c>
      <c r="X35" s="1815"/>
      <c r="Y35" s="3218"/>
      <c r="Z35" s="1816" t="str">
        <f t="shared" si="18"/>
        <v>建筑品质</v>
      </c>
      <c r="AA35" s="1813">
        <f t="shared" si="15"/>
        <v>1</v>
      </c>
      <c r="AB35" s="1813">
        <f t="shared" si="16"/>
        <v>1</v>
      </c>
      <c r="AC35" s="1813">
        <f t="shared" si="17"/>
        <v>1</v>
      </c>
    </row>
    <row r="36" spans="1:29" ht="15">
      <c r="A36" s="472"/>
      <c r="B36" s="422" t="s">
        <v>2524</v>
      </c>
      <c r="C36" s="2619" t="s">
        <v>3101</v>
      </c>
      <c r="D36" s="435">
        <v>100</v>
      </c>
      <c r="E36" s="2620" t="s">
        <v>3101</v>
      </c>
      <c r="F36" s="461">
        <f>SUMIF(109:109,E36,110:110)-SUMIF(109:109,C36,110:110)+100</f>
        <v>100</v>
      </c>
      <c r="G36" s="2619" t="s">
        <v>3101</v>
      </c>
      <c r="H36" s="435">
        <f>SUMIF(109:109,G36,110:110)-SUMIF(109:109,C36,110:110)+100</f>
        <v>100</v>
      </c>
      <c r="I36" s="2620" t="s">
        <v>3101</v>
      </c>
      <c r="J36" s="435">
        <f>SUMIF(109:109,I36,110:110)-SUMIF(109:109,C36,110:110)+100</f>
        <v>100</v>
      </c>
      <c r="K36" s="426">
        <v>1</v>
      </c>
      <c r="L36" s="1143"/>
      <c r="M36" s="1134"/>
      <c r="N36" s="1134"/>
      <c r="O36" s="1134"/>
      <c r="P36" s="3283"/>
      <c r="Q36" s="1812" t="str">
        <f t="shared" si="11"/>
        <v>公共部分装修</v>
      </c>
      <c r="R36" s="774" t="s">
        <v>21</v>
      </c>
      <c r="S36" s="775">
        <f t="shared" si="12"/>
        <v>100</v>
      </c>
      <c r="T36" s="774" t="s">
        <v>21</v>
      </c>
      <c r="U36" s="775">
        <f t="shared" si="13"/>
        <v>100</v>
      </c>
      <c r="V36" s="774" t="s">
        <v>21</v>
      </c>
      <c r="W36" s="775">
        <f t="shared" si="14"/>
        <v>100</v>
      </c>
      <c r="X36" s="1815"/>
      <c r="Y36" s="3218"/>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83"/>
      <c r="Q37" s="1797" t="str">
        <f t="shared" si="11"/>
        <v>成新度</v>
      </c>
      <c r="R37" s="770" t="s">
        <v>21</v>
      </c>
      <c r="S37" s="771">
        <f t="shared" si="12"/>
        <v>100</v>
      </c>
      <c r="T37" s="770" t="s">
        <v>21</v>
      </c>
      <c r="U37" s="771">
        <f t="shared" si="13"/>
        <v>100</v>
      </c>
      <c r="V37" s="770" t="s">
        <v>21</v>
      </c>
      <c r="W37" s="771">
        <f t="shared" si="14"/>
        <v>100</v>
      </c>
      <c r="X37" s="772"/>
      <c r="Y37" s="3218"/>
      <c r="Z37" s="55" t="str">
        <f t="shared" si="18"/>
        <v>成新度</v>
      </c>
      <c r="AA37" s="773">
        <f t="shared" si="15"/>
        <v>1</v>
      </c>
      <c r="AB37" s="773">
        <f t="shared" si="16"/>
        <v>1</v>
      </c>
      <c r="AC37" s="773">
        <f t="shared" si="17"/>
        <v>1</v>
      </c>
    </row>
    <row r="38" spans="1:29" ht="15">
      <c r="A38" s="472"/>
      <c r="B38" s="422" t="s">
        <v>2526</v>
      </c>
      <c r="C38" s="2619" t="s">
        <v>3102</v>
      </c>
      <c r="D38" s="435">
        <v>100</v>
      </c>
      <c r="E38" s="2620" t="s">
        <v>3102</v>
      </c>
      <c r="F38" s="461">
        <f>SUMIF(114:114,E38,115:115)-SUMIF(114:114,C38,115:115)+100</f>
        <v>100</v>
      </c>
      <c r="G38" s="2619" t="s">
        <v>3102</v>
      </c>
      <c r="H38" s="435">
        <f>SUMIF(114:114,G38,115:115)-SUMIF(114:114,C38,115:115)+100</f>
        <v>100</v>
      </c>
      <c r="I38" s="2620" t="s">
        <v>3102</v>
      </c>
      <c r="J38" s="435">
        <f>SUMIF(114:114,I38,115:115)-SUMIF(114:114,C38,115:115)+100</f>
        <v>100</v>
      </c>
      <c r="K38" s="426">
        <v>1</v>
      </c>
      <c r="L38" s="1143"/>
      <c r="M38" s="1134"/>
      <c r="N38" s="1134"/>
      <c r="O38" s="1134"/>
      <c r="P38" s="3283" t="s">
        <v>2520</v>
      </c>
      <c r="Q38" s="1812" t="str">
        <f t="shared" si="11"/>
        <v>物业管理</v>
      </c>
      <c r="R38" s="774" t="s">
        <v>21</v>
      </c>
      <c r="S38" s="775">
        <f t="shared" si="12"/>
        <v>100</v>
      </c>
      <c r="T38" s="774" t="s">
        <v>21</v>
      </c>
      <c r="U38" s="775">
        <f t="shared" si="13"/>
        <v>100</v>
      </c>
      <c r="V38" s="774" t="s">
        <v>21</v>
      </c>
      <c r="W38" s="775">
        <f t="shared" si="14"/>
        <v>100</v>
      </c>
      <c r="X38" s="1815"/>
      <c r="Y38" s="3218" t="s">
        <v>2520</v>
      </c>
      <c r="Z38" s="1816" t="str">
        <f t="shared" si="18"/>
        <v>物业管理</v>
      </c>
      <c r="AA38" s="1813">
        <f t="shared" si="15"/>
        <v>1</v>
      </c>
      <c r="AB38" s="1813">
        <f t="shared" si="16"/>
        <v>1</v>
      </c>
      <c r="AC38" s="1813">
        <f t="shared" si="17"/>
        <v>1</v>
      </c>
    </row>
    <row r="39" spans="1:29" ht="15">
      <c r="A39" s="472"/>
      <c r="B39" s="422" t="s">
        <v>2527</v>
      </c>
      <c r="C39" s="2619" t="s">
        <v>3068</v>
      </c>
      <c r="D39" s="435">
        <v>100</v>
      </c>
      <c r="E39" s="2620" t="s">
        <v>3068</v>
      </c>
      <c r="F39" s="461">
        <f>SUMIF(116:116,E39,117:117)-SUMIF(116:116,C39,117:117)+100</f>
        <v>100</v>
      </c>
      <c r="G39" s="2619" t="s">
        <v>3068</v>
      </c>
      <c r="H39" s="435">
        <f>SUMIF(116:116,G39,117:117)-SUMIF(116:116,C39,117:117)+100</f>
        <v>100</v>
      </c>
      <c r="I39" s="2620" t="s">
        <v>3068</v>
      </c>
      <c r="J39" s="435">
        <f>SUMIF(116:116,I39,117:117)-SUMIF(116:116,C39,117:117)+100</f>
        <v>100</v>
      </c>
      <c r="K39" s="426">
        <v>1</v>
      </c>
      <c r="L39" s="1143"/>
      <c r="M39" s="1134"/>
      <c r="N39" s="1134"/>
      <c r="O39" s="1134"/>
      <c r="P39" s="3283"/>
      <c r="Q39" s="1812" t="str">
        <f t="shared" si="11"/>
        <v>市政基础设施</v>
      </c>
      <c r="R39" s="774" t="s">
        <v>21</v>
      </c>
      <c r="S39" s="775">
        <f t="shared" si="12"/>
        <v>100</v>
      </c>
      <c r="T39" s="774" t="s">
        <v>21</v>
      </c>
      <c r="U39" s="775">
        <f t="shared" si="13"/>
        <v>100</v>
      </c>
      <c r="V39" s="774" t="s">
        <v>21</v>
      </c>
      <c r="W39" s="775">
        <f t="shared" si="14"/>
        <v>100</v>
      </c>
      <c r="X39" s="1815"/>
      <c r="Y39" s="3218"/>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83"/>
      <c r="Q40" s="1812" t="str">
        <f t="shared" si="11"/>
        <v>房型</v>
      </c>
      <c r="R40" s="774" t="s">
        <v>21</v>
      </c>
      <c r="S40" s="775">
        <f t="shared" si="12"/>
        <v>100</v>
      </c>
      <c r="T40" s="774" t="s">
        <v>21</v>
      </c>
      <c r="U40" s="775">
        <f t="shared" si="13"/>
        <v>100</v>
      </c>
      <c r="V40" s="774" t="s">
        <v>21</v>
      </c>
      <c r="W40" s="775">
        <f t="shared" si="14"/>
        <v>100</v>
      </c>
      <c r="X40" s="1815"/>
      <c r="Y40" s="3218"/>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83"/>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3">
        <f t="shared" si="15"/>
        <v>1</v>
      </c>
      <c r="AB41" s="1813">
        <f t="shared" si="16"/>
        <v>1</v>
      </c>
      <c r="AC41" s="1813">
        <f t="shared" si="17"/>
        <v>1</v>
      </c>
    </row>
    <row r="42" spans="1:29" ht="15">
      <c r="A42" s="472"/>
      <c r="B42" s="422" t="s">
        <v>2530</v>
      </c>
      <c r="C42" s="2619" t="s">
        <v>3103</v>
      </c>
      <c r="D42" s="435">
        <v>100</v>
      </c>
      <c r="E42" s="2620" t="s">
        <v>3103</v>
      </c>
      <c r="F42" s="461">
        <f>SUMIF(122:122,E42,123:123)-SUMIF(122:122,C42,123:123)+100</f>
        <v>100</v>
      </c>
      <c r="G42" s="2619" t="s">
        <v>3103</v>
      </c>
      <c r="H42" s="435">
        <f>SUMIF(122:122,G42,123:123)-SUMIF(122:122,C42,123:123)+100</f>
        <v>100</v>
      </c>
      <c r="I42" s="2620" t="s">
        <v>3103</v>
      </c>
      <c r="J42" s="435">
        <f>SUMIF(122:122,I42,123:123)-SUMIF(122:122,C42,123:123)+100</f>
        <v>100</v>
      </c>
      <c r="K42" s="426">
        <v>6</v>
      </c>
      <c r="L42" s="1143"/>
      <c r="M42" s="1134"/>
      <c r="N42" s="1134"/>
      <c r="O42" s="1134"/>
      <c r="P42" s="3283"/>
      <c r="Q42" s="1812" t="str">
        <f t="shared" si="11"/>
        <v>内部装修</v>
      </c>
      <c r="R42" s="774" t="s">
        <v>21</v>
      </c>
      <c r="S42" s="775">
        <f t="shared" si="12"/>
        <v>100</v>
      </c>
      <c r="T42" s="774" t="s">
        <v>21</v>
      </c>
      <c r="U42" s="775">
        <f t="shared" si="13"/>
        <v>100</v>
      </c>
      <c r="V42" s="774" t="s">
        <v>21</v>
      </c>
      <c r="W42" s="775">
        <f t="shared" si="14"/>
        <v>100</v>
      </c>
      <c r="X42" s="1815"/>
      <c r="Y42" s="3218"/>
      <c r="Z42" s="1816" t="str">
        <f t="shared" si="18"/>
        <v>内部装修</v>
      </c>
      <c r="AA42" s="1813">
        <f t="shared" si="15"/>
        <v>1</v>
      </c>
      <c r="AB42" s="1813">
        <f t="shared" si="16"/>
        <v>1</v>
      </c>
      <c r="AC42" s="1813">
        <f t="shared" si="17"/>
        <v>1</v>
      </c>
    </row>
    <row r="43" spans="1:29" ht="15">
      <c r="A43" s="472"/>
      <c r="B43" s="422" t="s">
        <v>2531</v>
      </c>
      <c r="C43" s="2619" t="s">
        <v>3073</v>
      </c>
      <c r="D43" s="435">
        <v>100</v>
      </c>
      <c r="E43" s="2620" t="s">
        <v>3073</v>
      </c>
      <c r="F43" s="461">
        <f>SUMIF(124:124,E43,125:125)-SUMIF(124:124,C43,125:125)+100</f>
        <v>100</v>
      </c>
      <c r="G43" s="2619" t="s">
        <v>3073</v>
      </c>
      <c r="H43" s="435">
        <f>SUMIF(124:124,G43,125:125)-SUMIF(124:124,C43,125:125)+100</f>
        <v>100</v>
      </c>
      <c r="I43" s="2620" t="s">
        <v>3073</v>
      </c>
      <c r="J43" s="435">
        <f>SUMIF(124:124,I43,125:125)-SUMIF(124:124,C43,125:125)+100</f>
        <v>100</v>
      </c>
      <c r="K43" s="426">
        <v>1</v>
      </c>
      <c r="L43" s="1143"/>
      <c r="M43" s="1134"/>
      <c r="N43" s="1134"/>
      <c r="O43" s="1134"/>
      <c r="P43" s="3283"/>
      <c r="Q43" s="1812" t="str">
        <f t="shared" si="11"/>
        <v>内部装修维护情况</v>
      </c>
      <c r="R43" s="774" t="s">
        <v>21</v>
      </c>
      <c r="S43" s="775">
        <f t="shared" si="12"/>
        <v>100</v>
      </c>
      <c r="T43" s="774" t="s">
        <v>21</v>
      </c>
      <c r="U43" s="775">
        <f t="shared" si="13"/>
        <v>100</v>
      </c>
      <c r="V43" s="774" t="s">
        <v>21</v>
      </c>
      <c r="W43" s="775">
        <f t="shared" si="14"/>
        <v>100</v>
      </c>
      <c r="X43" s="1815"/>
      <c r="Y43" s="3218"/>
      <c r="Z43" s="1816" t="str">
        <f t="shared" si="18"/>
        <v>内部装修维护情况</v>
      </c>
      <c r="AA43" s="1813">
        <f t="shared" si="15"/>
        <v>1</v>
      </c>
      <c r="AB43" s="1813">
        <f t="shared" si="16"/>
        <v>1</v>
      </c>
      <c r="AC43" s="1813">
        <f t="shared" si="17"/>
        <v>1</v>
      </c>
    </row>
    <row r="44" spans="1:29" s="117" customFormat="1" ht="15">
      <c r="A44" s="473"/>
      <c r="B44" s="2956" t="s">
        <v>3127</v>
      </c>
      <c r="C44" s="2957" t="s">
        <v>3125</v>
      </c>
      <c r="D44" s="136">
        <v>100</v>
      </c>
      <c r="E44" s="469" t="s">
        <v>3131</v>
      </c>
      <c r="F44" s="425">
        <f>SUMIF(126:126,E44,127:127)-SUMIF(126:126,C44,127:127)+100</f>
        <v>115</v>
      </c>
      <c r="G44" s="469" t="s">
        <v>3131</v>
      </c>
      <c r="H44" s="136">
        <f>SUMIF(126:126,G44,127:127)-SUMIF(126:126,C44,127:127)+100</f>
        <v>115</v>
      </c>
      <c r="I44" s="469" t="s">
        <v>3131</v>
      </c>
      <c r="J44" s="136">
        <f>SUMIF(126:126,I44,127:127)-SUMIF(126:126,C44,127:127)+100</f>
        <v>115</v>
      </c>
      <c r="K44" s="2607"/>
      <c r="L44" s="1135"/>
      <c r="M44" s="1136"/>
      <c r="N44" s="1136"/>
      <c r="O44" s="1136"/>
      <c r="P44" s="3283"/>
      <c r="Q44" s="1797" t="str">
        <f t="shared" si="11"/>
        <v>特殊修正</v>
      </c>
      <c r="R44" s="770" t="s">
        <v>21</v>
      </c>
      <c r="S44" s="771">
        <f t="shared" si="12"/>
        <v>115</v>
      </c>
      <c r="T44" s="770" t="s">
        <v>21</v>
      </c>
      <c r="U44" s="771">
        <f t="shared" si="13"/>
        <v>115</v>
      </c>
      <c r="V44" s="770" t="s">
        <v>21</v>
      </c>
      <c r="W44" s="771">
        <f t="shared" si="14"/>
        <v>115</v>
      </c>
      <c r="X44" s="772"/>
      <c r="Y44" s="3218"/>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3"/>
      <c r="Q45" s="1812">
        <f t="shared" si="11"/>
        <v>0</v>
      </c>
      <c r="R45" s="774" t="s">
        <v>21</v>
      </c>
      <c r="S45" s="775">
        <f t="shared" si="12"/>
        <v>100</v>
      </c>
      <c r="T45" s="774" t="s">
        <v>21</v>
      </c>
      <c r="U45" s="775">
        <f t="shared" si="13"/>
        <v>100</v>
      </c>
      <c r="V45" s="774" t="s">
        <v>21</v>
      </c>
      <c r="W45" s="775">
        <f t="shared" si="14"/>
        <v>100</v>
      </c>
      <c r="X45" s="1815"/>
      <c r="Y45" s="3218"/>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4"/>
      <c r="Q46" s="1812">
        <f t="shared" si="11"/>
        <v>0</v>
      </c>
      <c r="R46" s="774" t="s">
        <v>20</v>
      </c>
      <c r="S46" s="775">
        <f t="shared" si="12"/>
        <v>100</v>
      </c>
      <c r="T46" s="774" t="s">
        <v>20</v>
      </c>
      <c r="U46" s="775">
        <f t="shared" si="13"/>
        <v>100</v>
      </c>
      <c r="V46" s="774" t="s">
        <v>20</v>
      </c>
      <c r="W46" s="775">
        <f t="shared" si="14"/>
        <v>100</v>
      </c>
      <c r="X46" s="1815"/>
      <c r="Y46" s="3285"/>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213" t="str">
        <f>A47</f>
        <v>成交单价（元/平方米）</v>
      </c>
      <c r="Q47" s="3213"/>
      <c r="R47" s="3281">
        <f>E47</f>
        <v>9971</v>
      </c>
      <c r="S47" s="3281"/>
      <c r="T47" s="3281">
        <f>G47</f>
        <v>10340</v>
      </c>
      <c r="U47" s="3281"/>
      <c r="V47" s="3281">
        <f>I47</f>
        <v>9832</v>
      </c>
      <c r="W47" s="3281"/>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213" t="str">
        <f>A48</f>
        <v>比较价值（元/平方米）</v>
      </c>
      <c r="Q48" s="3213"/>
      <c r="R48" s="3281">
        <f>IF(F1="售价",ROUND(PRODUCT(R47,AA7:AA46),0),ROUND(PRODUCT(R47,AA7:AA46),1))</f>
        <v>8563</v>
      </c>
      <c r="S48" s="3281"/>
      <c r="T48" s="3281">
        <f>IF(F1="售价",ROUND(PRODUCT(T47,AB7:AB46),0),ROUND(PRODUCT(T47,AB7:AB46),1))</f>
        <v>8880</v>
      </c>
      <c r="U48" s="3281"/>
      <c r="V48" s="3281">
        <f>IF(F1="售价",ROUND(PRODUCT(V47,AC7:AC46),0),ROUND(PRODUCT(V47,AC7:AC46),1))</f>
        <v>8423</v>
      </c>
      <c r="W48" s="3281"/>
      <c r="X48" s="759"/>
      <c r="Y48" s="759"/>
      <c r="Z48" s="759"/>
      <c r="AA48" s="759"/>
      <c r="AB48" s="759"/>
      <c r="AC48" s="759"/>
    </row>
    <row r="49" spans="1:29" ht="15.75" thickBot="1">
      <c r="A49" s="492" t="s">
        <v>3104</v>
      </c>
      <c r="B49" s="493"/>
      <c r="C49" s="1419">
        <f>R49</f>
        <v>8622</v>
      </c>
      <c r="D49" s="1420"/>
      <c r="E49" s="1420"/>
      <c r="F49" s="1420"/>
      <c r="G49" s="1420"/>
      <c r="H49" s="1420"/>
      <c r="I49" s="1420"/>
      <c r="J49" s="1420"/>
      <c r="K49" s="2629"/>
      <c r="L49" s="1146"/>
      <c r="M49" s="1147"/>
      <c r="N49" s="1147"/>
      <c r="O49" s="1147"/>
      <c r="P49" s="3207" t="str">
        <f>A49</f>
        <v>估价对象住宅用房的比较价值（楼面单价，元/平方米）</v>
      </c>
      <c r="Q49" s="3208"/>
      <c r="R49" s="3280">
        <f>IF(F1="售价",ROUND(AVERAGE(R48:V48),0),ROUND(AVERAGE(R48:V48),1))</f>
        <v>8622</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3133</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3106</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3107</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3132</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3113</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3109</v>
      </c>
      <c r="D109" s="2952" t="s">
        <v>3110</v>
      </c>
      <c r="E109" s="2952" t="s">
        <v>3111</v>
      </c>
      <c r="F109" s="2953" t="s">
        <v>3112</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3102</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3067</v>
      </c>
      <c r="D116" s="554" t="s">
        <v>3068</v>
      </c>
      <c r="E116" s="554" t="s">
        <v>3069</v>
      </c>
      <c r="F116" s="554" t="s">
        <v>3070</v>
      </c>
      <c r="G116" s="554" t="s">
        <v>3071</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3106</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3106</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3114</v>
      </c>
      <c r="D122" s="2952" t="s">
        <v>3115</v>
      </c>
      <c r="E122" s="2952" t="s">
        <v>3116</v>
      </c>
      <c r="F122" s="2953" t="s">
        <v>3117</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3125</v>
      </c>
      <c r="D126" s="2952" t="s">
        <v>3126</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19"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19"/>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19"/>
      <c r="AC6" s="3222"/>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6" t="s">
        <v>2515</v>
      </c>
      <c r="Q15" s="1812" t="str">
        <f t="shared" si="6"/>
        <v>商业繁华度</v>
      </c>
      <c r="R15" s="774" t="s">
        <v>17</v>
      </c>
      <c r="S15" s="775">
        <f t="shared" si="0"/>
        <v>100</v>
      </c>
      <c r="T15" s="774" t="s">
        <v>17</v>
      </c>
      <c r="U15" s="775">
        <f t="shared" si="1"/>
        <v>100</v>
      </c>
      <c r="V15" s="774" t="s">
        <v>17</v>
      </c>
      <c r="W15" s="775">
        <f t="shared" si="2"/>
        <v>100</v>
      </c>
      <c r="X15" s="1815"/>
      <c r="Y15" s="3215"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87"/>
      <c r="Q16" s="1812"/>
      <c r="R16" s="774"/>
      <c r="S16" s="775"/>
      <c r="T16" s="774"/>
      <c r="U16" s="775"/>
      <c r="V16" s="774"/>
      <c r="W16" s="775"/>
      <c r="X16" s="1815"/>
      <c r="Y16" s="321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87"/>
      <c r="Q18" s="1812"/>
      <c r="R18" s="774"/>
      <c r="S18" s="775"/>
      <c r="T18" s="774"/>
      <c r="U18" s="775"/>
      <c r="V18" s="774"/>
      <c r="W18" s="775"/>
      <c r="X18" s="1815"/>
      <c r="Y18" s="3216"/>
      <c r="Z18" s="1816"/>
      <c r="AA18" s="1813">
        <v>1</v>
      </c>
      <c r="AB18" s="1813">
        <v>1</v>
      </c>
      <c r="AC18" s="1813">
        <v>1</v>
      </c>
    </row>
    <row r="19" spans="1:29" ht="42.75">
      <c r="A19" s="428"/>
      <c r="B19" s="451" t="s">
        <v>2608</v>
      </c>
      <c r="C19" s="2613" t="str">
        <f>估价对象房地状况!C7</f>
        <v>估价对象所在区域公共配套设施齐备度一般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87"/>
      <c r="Q20" s="1812"/>
      <c r="R20" s="774"/>
      <c r="S20" s="775"/>
      <c r="T20" s="774"/>
      <c r="U20" s="775"/>
      <c r="V20" s="774"/>
      <c r="W20" s="775"/>
      <c r="X20" s="1815"/>
      <c r="Y20" s="3216"/>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87"/>
      <c r="Q22" s="1812"/>
      <c r="R22" s="774"/>
      <c r="S22" s="775"/>
      <c r="T22" s="774"/>
      <c r="U22" s="775"/>
      <c r="V22" s="774"/>
      <c r="W22" s="775"/>
      <c r="X22" s="1815"/>
      <c r="Y22" s="3216"/>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7"/>
      <c r="Q23" s="1812" t="str">
        <f>B23</f>
        <v>自然及人文环境</v>
      </c>
      <c r="R23" s="774" t="s">
        <v>17</v>
      </c>
      <c r="S23" s="775">
        <f>F23</f>
        <v>100</v>
      </c>
      <c r="T23" s="774" t="s">
        <v>17</v>
      </c>
      <c r="U23" s="775">
        <f>H23</f>
        <v>100</v>
      </c>
      <c r="V23" s="774" t="s">
        <v>17</v>
      </c>
      <c r="W23" s="775">
        <f>J23</f>
        <v>100</v>
      </c>
      <c r="X23" s="1815"/>
      <c r="Y23" s="321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87"/>
      <c r="Q24" s="1812"/>
      <c r="R24" s="774"/>
      <c r="S24" s="775"/>
      <c r="T24" s="774"/>
      <c r="U24" s="775"/>
      <c r="V24" s="774"/>
      <c r="W24" s="775"/>
      <c r="X24" s="1815"/>
      <c r="Y24" s="3216"/>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7"/>
      <c r="Q25" s="1812" t="str">
        <f t="shared" ref="Q25:Q46" si="11">B25</f>
        <v>临街状况</v>
      </c>
      <c r="R25" s="774" t="s">
        <v>17</v>
      </c>
      <c r="S25" s="775">
        <f>F25</f>
        <v>100</v>
      </c>
      <c r="T25" s="774" t="s">
        <v>17</v>
      </c>
      <c r="U25" s="775">
        <f>H25</f>
        <v>100</v>
      </c>
      <c r="V25" s="774" t="s">
        <v>17</v>
      </c>
      <c r="W25" s="775">
        <f>J25</f>
        <v>100</v>
      </c>
      <c r="X25" s="1815"/>
      <c r="Y25" s="3216"/>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7"/>
      <c r="Q26" s="1812" t="str">
        <f t="shared" si="11"/>
        <v>平面位置/可视性</v>
      </c>
      <c r="R26" s="774" t="s">
        <v>17</v>
      </c>
      <c r="S26" s="775">
        <f>F26</f>
        <v>100</v>
      </c>
      <c r="T26" s="774" t="s">
        <v>17</v>
      </c>
      <c r="U26" s="775">
        <f>H26</f>
        <v>100</v>
      </c>
      <c r="V26" s="774" t="s">
        <v>17</v>
      </c>
      <c r="W26" s="775">
        <f>J26</f>
        <v>100</v>
      </c>
      <c r="X26" s="1815"/>
      <c r="Y26" s="3216"/>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87"/>
      <c r="Q27" s="1797" t="str">
        <f t="shared" si="11"/>
        <v>人流量</v>
      </c>
      <c r="R27" s="770" t="s">
        <v>17</v>
      </c>
      <c r="S27" s="771">
        <f>F27</f>
        <v>100</v>
      </c>
      <c r="T27" s="770" t="s">
        <v>17</v>
      </c>
      <c r="U27" s="771">
        <f>H27</f>
        <v>100</v>
      </c>
      <c r="V27" s="770" t="s">
        <v>17</v>
      </c>
      <c r="W27" s="771">
        <f>J27</f>
        <v>100</v>
      </c>
      <c r="X27" s="772"/>
      <c r="Y27" s="3216"/>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7"/>
      <c r="Q29" s="1812">
        <f t="shared" si="11"/>
        <v>111</v>
      </c>
      <c r="R29" s="774" t="s">
        <v>17</v>
      </c>
      <c r="S29" s="775">
        <f t="shared" si="12"/>
        <v>100</v>
      </c>
      <c r="T29" s="774" t="s">
        <v>17</v>
      </c>
      <c r="U29" s="775">
        <f t="shared" si="13"/>
        <v>100</v>
      </c>
      <c r="V29" s="774" t="s">
        <v>17</v>
      </c>
      <c r="W29" s="775">
        <f t="shared" si="14"/>
        <v>100</v>
      </c>
      <c r="X29" s="1815"/>
      <c r="Y29" s="321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1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16"/>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2" t="s">
        <v>2520</v>
      </c>
      <c r="Q32" s="1812" t="str">
        <f t="shared" si="11"/>
        <v>商业类型</v>
      </c>
      <c r="R32" s="774" t="s">
        <v>17</v>
      </c>
      <c r="S32" s="775">
        <f t="shared" si="12"/>
        <v>100</v>
      </c>
      <c r="T32" s="774" t="s">
        <v>17</v>
      </c>
      <c r="U32" s="775">
        <f t="shared" si="13"/>
        <v>100</v>
      </c>
      <c r="V32" s="774" t="s">
        <v>17</v>
      </c>
      <c r="W32" s="775">
        <f t="shared" si="14"/>
        <v>100</v>
      </c>
      <c r="X32" s="1815"/>
      <c r="Y32" s="3218"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3"/>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3"/>
      <c r="Q34" s="1812" t="str">
        <f t="shared" si="11"/>
        <v>建筑结构</v>
      </c>
      <c r="R34" s="774" t="s">
        <v>17</v>
      </c>
      <c r="S34" s="775">
        <f t="shared" si="12"/>
        <v>100</v>
      </c>
      <c r="T34" s="774" t="s">
        <v>17</v>
      </c>
      <c r="U34" s="775">
        <f t="shared" si="13"/>
        <v>100</v>
      </c>
      <c r="V34" s="774" t="s">
        <v>17</v>
      </c>
      <c r="W34" s="775">
        <f t="shared" si="14"/>
        <v>100</v>
      </c>
      <c r="X34" s="1815"/>
      <c r="Y34" s="3218"/>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3"/>
      <c r="Q35" s="1812" t="str">
        <f t="shared" si="11"/>
        <v>公共部分装修</v>
      </c>
      <c r="R35" s="774" t="s">
        <v>17</v>
      </c>
      <c r="S35" s="775">
        <f t="shared" si="12"/>
        <v>100</v>
      </c>
      <c r="T35" s="774" t="s">
        <v>17</v>
      </c>
      <c r="U35" s="775">
        <f t="shared" si="13"/>
        <v>100</v>
      </c>
      <c r="V35" s="774" t="s">
        <v>17</v>
      </c>
      <c r="W35" s="775">
        <f t="shared" si="14"/>
        <v>100</v>
      </c>
      <c r="X35" s="1815"/>
      <c r="Y35" s="3218"/>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3"/>
      <c r="Q36" s="1812" t="str">
        <f t="shared" si="11"/>
        <v>成新度</v>
      </c>
      <c r="R36" s="774" t="s">
        <v>17</v>
      </c>
      <c r="S36" s="775" t="e">
        <f t="shared" si="12"/>
        <v>#N/A</v>
      </c>
      <c r="T36" s="774" t="s">
        <v>17</v>
      </c>
      <c r="U36" s="775" t="e">
        <f t="shared" si="13"/>
        <v>#N/A</v>
      </c>
      <c r="V36" s="774" t="s">
        <v>17</v>
      </c>
      <c r="W36" s="775" t="e">
        <f t="shared" si="14"/>
        <v>#N/A</v>
      </c>
      <c r="X36" s="1815"/>
      <c r="Y36" s="3218"/>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3"/>
      <c r="Q37" s="1797"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3" t="s">
        <v>2520</v>
      </c>
      <c r="Q38" s="1812" t="str">
        <f t="shared" si="11"/>
        <v>业态</v>
      </c>
      <c r="R38" s="774" t="s">
        <v>17</v>
      </c>
      <c r="S38" s="775">
        <f t="shared" si="12"/>
        <v>100</v>
      </c>
      <c r="T38" s="774" t="s">
        <v>17</v>
      </c>
      <c r="U38" s="775">
        <f t="shared" si="13"/>
        <v>100</v>
      </c>
      <c r="V38" s="774" t="s">
        <v>17</v>
      </c>
      <c r="W38" s="775">
        <f t="shared" si="14"/>
        <v>100</v>
      </c>
      <c r="X38" s="1815"/>
      <c r="Y38" s="3218"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3"/>
      <c r="Q39" s="1812" t="str">
        <f t="shared" si="11"/>
        <v>层高</v>
      </c>
      <c r="R39" s="774" t="s">
        <v>17</v>
      </c>
      <c r="S39" s="775">
        <f t="shared" si="12"/>
        <v>100</v>
      </c>
      <c r="T39" s="774" t="s">
        <v>17</v>
      </c>
      <c r="U39" s="775">
        <f t="shared" si="13"/>
        <v>100</v>
      </c>
      <c r="V39" s="774" t="s">
        <v>17</v>
      </c>
      <c r="W39" s="775">
        <f t="shared" si="14"/>
        <v>100</v>
      </c>
      <c r="X39" s="1815"/>
      <c r="Y39" s="3218"/>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3"/>
      <c r="Q40" s="1812" t="str">
        <f t="shared" si="11"/>
        <v>单套建筑面积</v>
      </c>
      <c r="R40" s="774" t="s">
        <v>17</v>
      </c>
      <c r="S40" s="775">
        <f t="shared" si="12"/>
        <v>100</v>
      </c>
      <c r="T40" s="774" t="s">
        <v>17</v>
      </c>
      <c r="U40" s="775">
        <f t="shared" si="13"/>
        <v>100</v>
      </c>
      <c r="V40" s="774" t="s">
        <v>17</v>
      </c>
      <c r="W40" s="775">
        <f t="shared" si="14"/>
        <v>100</v>
      </c>
      <c r="X40" s="1815"/>
      <c r="Y40" s="3218"/>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3"/>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3"/>
      <c r="Q42" s="1812" t="str">
        <f t="shared" si="11"/>
        <v>内部装修</v>
      </c>
      <c r="R42" s="774" t="s">
        <v>17</v>
      </c>
      <c r="S42" s="775">
        <f t="shared" si="12"/>
        <v>100</v>
      </c>
      <c r="T42" s="774" t="s">
        <v>17</v>
      </c>
      <c r="U42" s="775">
        <f t="shared" si="13"/>
        <v>100</v>
      </c>
      <c r="V42" s="774" t="s">
        <v>17</v>
      </c>
      <c r="W42" s="775">
        <f t="shared" si="14"/>
        <v>100</v>
      </c>
      <c r="X42" s="1815"/>
      <c r="Y42" s="3218"/>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3"/>
      <c r="Q43" s="1812" t="str">
        <f t="shared" si="11"/>
        <v>内部装修维护情况</v>
      </c>
      <c r="R43" s="774" t="s">
        <v>17</v>
      </c>
      <c r="S43" s="775">
        <f t="shared" si="12"/>
        <v>100</v>
      </c>
      <c r="T43" s="774" t="s">
        <v>17</v>
      </c>
      <c r="U43" s="775">
        <f t="shared" si="13"/>
        <v>100</v>
      </c>
      <c r="V43" s="774" t="s">
        <v>17</v>
      </c>
      <c r="W43" s="775">
        <f t="shared" si="14"/>
        <v>100</v>
      </c>
      <c r="X43" s="1815"/>
      <c r="Y43" s="321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3"/>
      <c r="Q44" s="1797">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3"/>
      <c r="Q45" s="1812">
        <f t="shared" si="11"/>
        <v>111</v>
      </c>
      <c r="R45" s="774" t="s">
        <v>17</v>
      </c>
      <c r="S45" s="775">
        <f t="shared" si="12"/>
        <v>100</v>
      </c>
      <c r="T45" s="774" t="s">
        <v>17</v>
      </c>
      <c r="U45" s="775">
        <f t="shared" si="13"/>
        <v>100</v>
      </c>
      <c r="V45" s="774" t="s">
        <v>17</v>
      </c>
      <c r="W45" s="775">
        <f t="shared" si="14"/>
        <v>100</v>
      </c>
      <c r="X45" s="1815"/>
      <c r="Y45" s="321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4"/>
      <c r="Q46" s="1812">
        <f t="shared" si="11"/>
        <v>111</v>
      </c>
      <c r="R46" s="774" t="s">
        <v>17</v>
      </c>
      <c r="S46" s="775">
        <f t="shared" si="12"/>
        <v>100</v>
      </c>
      <c r="T46" s="774" t="s">
        <v>17</v>
      </c>
      <c r="U46" s="775">
        <f t="shared" si="13"/>
        <v>100</v>
      </c>
      <c r="V46" s="774" t="s">
        <v>17</v>
      </c>
      <c r="W46" s="775">
        <f t="shared" si="14"/>
        <v>100</v>
      </c>
      <c r="X46" s="1815"/>
      <c r="Y46" s="3285"/>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213" t="str">
        <f>A47</f>
        <v>成交单价（元/平方米）</v>
      </c>
      <c r="Q47" s="3213"/>
      <c r="R47" s="3219">
        <f>E47</f>
        <v>0</v>
      </c>
      <c r="S47" s="3219"/>
      <c r="T47" s="3219">
        <f>G47</f>
        <v>0</v>
      </c>
      <c r="U47" s="3219"/>
      <c r="V47" s="3219">
        <f>I47</f>
        <v>0</v>
      </c>
      <c r="W47" s="3219"/>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80" t="e">
        <f>IF(F1="售价",ROUND(AVERAGE(R48:V48),0),ROUND(AVERAGE(R48:V48),1))</f>
        <v>#DIV/0!</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94" t="s">
        <v>2605</v>
      </c>
      <c r="Q4" s="3295"/>
      <c r="R4" s="3298" t="s">
        <v>2601</v>
      </c>
      <c r="S4" s="3299"/>
      <c r="T4" s="3298" t="s">
        <v>2602</v>
      </c>
      <c r="U4" s="3299"/>
      <c r="V4" s="3300" t="s">
        <v>2603</v>
      </c>
      <c r="W4" s="3300"/>
      <c r="X4" s="2676"/>
      <c r="Y4" s="3298" t="s">
        <v>2605</v>
      </c>
      <c r="Z4" s="3299"/>
      <c r="AA4" s="3302" t="s">
        <v>2601</v>
      </c>
      <c r="AB4" s="3302" t="s">
        <v>2602</v>
      </c>
      <c r="AC4" s="3291" t="s">
        <v>2603</v>
      </c>
    </row>
    <row r="5" spans="1:29" ht="15">
      <c r="A5" s="404"/>
      <c r="B5" s="405"/>
      <c r="C5" s="3240" t="s">
        <v>2497</v>
      </c>
      <c r="D5" s="3241"/>
      <c r="E5" s="3248" t="s">
        <v>2498</v>
      </c>
      <c r="F5" s="3249"/>
      <c r="G5" s="3240" t="s">
        <v>2499</v>
      </c>
      <c r="H5" s="3241"/>
      <c r="I5" s="3240" t="s">
        <v>2500</v>
      </c>
      <c r="J5" s="3241"/>
      <c r="K5" s="610"/>
      <c r="L5" s="1133"/>
      <c r="M5" s="1134"/>
      <c r="N5" s="1134"/>
      <c r="O5" s="1134"/>
      <c r="P5" s="3296"/>
      <c r="Q5" s="3229"/>
      <c r="R5" s="3234"/>
      <c r="S5" s="3235"/>
      <c r="T5" s="3234"/>
      <c r="U5" s="3235"/>
      <c r="V5" s="3219"/>
      <c r="W5" s="3219"/>
      <c r="X5" s="1815"/>
      <c r="Y5" s="3234"/>
      <c r="Z5" s="3235"/>
      <c r="AA5" s="3221"/>
      <c r="AB5" s="3221"/>
      <c r="AC5" s="3292"/>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97"/>
      <c r="Q6" s="3231"/>
      <c r="R6" s="3234"/>
      <c r="S6" s="3235"/>
      <c r="T6" s="3236"/>
      <c r="U6" s="3237"/>
      <c r="V6" s="3219"/>
      <c r="W6" s="3219"/>
      <c r="X6" s="1815"/>
      <c r="Y6" s="3236"/>
      <c r="Z6" s="3237"/>
      <c r="AA6" s="3222"/>
      <c r="AB6" s="3222"/>
      <c r="AC6" s="3293"/>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1"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1" t="s">
        <v>2507</v>
      </c>
      <c r="Q8" s="3243"/>
      <c r="R8" s="770" t="s">
        <v>17</v>
      </c>
      <c r="S8" s="771">
        <f t="shared" si="0"/>
        <v>0</v>
      </c>
      <c r="T8" s="770" t="s">
        <v>17</v>
      </c>
      <c r="U8" s="771">
        <f t="shared" si="1"/>
        <v>0</v>
      </c>
      <c r="V8" s="770" t="s">
        <v>17</v>
      </c>
      <c r="W8" s="771">
        <f t="shared" si="2"/>
        <v>0</v>
      </c>
      <c r="X8" s="772"/>
      <c r="Y8" s="3242" t="s">
        <v>2507</v>
      </c>
      <c r="Z8" s="3243"/>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2"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6" t="s">
        <v>2515</v>
      </c>
      <c r="Q15" s="1812" t="str">
        <f t="shared" si="6"/>
        <v>办公集聚程度</v>
      </c>
      <c r="R15" s="774" t="s">
        <v>17</v>
      </c>
      <c r="S15" s="775">
        <f t="shared" si="0"/>
        <v>100</v>
      </c>
      <c r="T15" s="774" t="s">
        <v>17</v>
      </c>
      <c r="U15" s="775">
        <f t="shared" si="1"/>
        <v>100</v>
      </c>
      <c r="V15" s="774" t="s">
        <v>17</v>
      </c>
      <c r="W15" s="775">
        <f t="shared" si="2"/>
        <v>100</v>
      </c>
      <c r="X15" s="1815"/>
      <c r="Y15" s="3215"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87"/>
      <c r="Q16" s="1812"/>
      <c r="R16" s="774"/>
      <c r="S16" s="775"/>
      <c r="T16" s="774"/>
      <c r="U16" s="775"/>
      <c r="V16" s="774"/>
      <c r="W16" s="775"/>
      <c r="X16" s="1815"/>
      <c r="Y16" s="3216"/>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87"/>
      <c r="Q18" s="1812"/>
      <c r="R18" s="774"/>
      <c r="S18" s="775"/>
      <c r="T18" s="774"/>
      <c r="U18" s="775"/>
      <c r="V18" s="774"/>
      <c r="W18" s="775"/>
      <c r="X18" s="1815"/>
      <c r="Y18" s="3216"/>
      <c r="Z18" s="1816"/>
      <c r="AA18" s="1813">
        <v>1</v>
      </c>
      <c r="AB18" s="1813">
        <v>1</v>
      </c>
      <c r="AC18" s="2680">
        <v>1</v>
      </c>
    </row>
    <row r="19" spans="1:29" ht="42.75">
      <c r="A19" s="428"/>
      <c r="B19" s="631" t="s">
        <v>2642</v>
      </c>
      <c r="C19" s="2681" t="str">
        <f>估价对象房地状况!C7</f>
        <v>估价对象所在区域公共配套设施齐备度一般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87"/>
      <c r="Q20" s="1812"/>
      <c r="R20" s="774"/>
      <c r="S20" s="775"/>
      <c r="T20" s="774"/>
      <c r="U20" s="775"/>
      <c r="V20" s="774"/>
      <c r="W20" s="775"/>
      <c r="X20" s="1815"/>
      <c r="Y20" s="3216"/>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87"/>
      <c r="Q22" s="1812"/>
      <c r="R22" s="774"/>
      <c r="S22" s="775"/>
      <c r="T22" s="774"/>
      <c r="U22" s="775"/>
      <c r="V22" s="774"/>
      <c r="W22" s="775"/>
      <c r="X22" s="1815"/>
      <c r="Y22" s="3216"/>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7"/>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87"/>
      <c r="Q24" s="1812"/>
      <c r="R24" s="774"/>
      <c r="S24" s="775"/>
      <c r="T24" s="774"/>
      <c r="U24" s="775"/>
      <c r="V24" s="774"/>
      <c r="W24" s="775"/>
      <c r="X24" s="1815"/>
      <c r="Y24" s="3216"/>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87"/>
      <c r="Q25" s="1812" t="str">
        <f>B25</f>
        <v>毗邻道路的类型与等级</v>
      </c>
      <c r="R25" s="774" t="s">
        <v>17</v>
      </c>
      <c r="S25" s="775">
        <f>F25</f>
        <v>100</v>
      </c>
      <c r="T25" s="774" t="s">
        <v>17</v>
      </c>
      <c r="U25" s="775">
        <f>H25</f>
        <v>100</v>
      </c>
      <c r="V25" s="774" t="s">
        <v>17</v>
      </c>
      <c r="W25" s="775">
        <f>J25</f>
        <v>100</v>
      </c>
      <c r="X25" s="1815"/>
      <c r="Y25" s="321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87"/>
      <c r="Q26" s="1812"/>
      <c r="R26" s="774"/>
      <c r="S26" s="775"/>
      <c r="T26" s="774"/>
      <c r="U26" s="775"/>
      <c r="V26" s="774"/>
      <c r="W26" s="775"/>
      <c r="X26" s="1815"/>
      <c r="Y26" s="3216"/>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7"/>
      <c r="Q27" s="1812" t="str">
        <f t="shared" ref="Q27:Q47" si="11">B27</f>
        <v>楼层</v>
      </c>
      <c r="R27" s="774" t="s">
        <v>17</v>
      </c>
      <c r="S27" s="775">
        <f>F27</f>
        <v>100</v>
      </c>
      <c r="T27" s="774" t="s">
        <v>17</v>
      </c>
      <c r="U27" s="775">
        <f>H27</f>
        <v>100</v>
      </c>
      <c r="V27" s="774" t="s">
        <v>17</v>
      </c>
      <c r="W27" s="775">
        <f>J27</f>
        <v>100</v>
      </c>
      <c r="X27" s="1815"/>
      <c r="Y27" s="3216"/>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87"/>
      <c r="Q28" s="1797" t="str">
        <f t="shared" si="11"/>
        <v>朝向</v>
      </c>
      <c r="R28" s="770" t="s">
        <v>17</v>
      </c>
      <c r="S28" s="771">
        <f>F28</f>
        <v>100</v>
      </c>
      <c r="T28" s="770" t="s">
        <v>17</v>
      </c>
      <c r="U28" s="771">
        <f>H28</f>
        <v>100</v>
      </c>
      <c r="V28" s="770" t="s">
        <v>17</v>
      </c>
      <c r="W28" s="771">
        <f>J28</f>
        <v>100</v>
      </c>
      <c r="X28" s="772"/>
      <c r="Y28" s="321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87"/>
      <c r="Q29" s="1812">
        <f t="shared" si="11"/>
        <v>111</v>
      </c>
      <c r="R29" s="774" t="s">
        <v>17</v>
      </c>
      <c r="S29" s="775">
        <f t="shared" ref="S29:S47" si="12">F29</f>
        <v>100</v>
      </c>
      <c r="T29" s="774" t="s">
        <v>17</v>
      </c>
      <c r="U29" s="775">
        <f t="shared" ref="U29:U47" si="13">H29</f>
        <v>100</v>
      </c>
      <c r="V29" s="774" t="s">
        <v>17</v>
      </c>
      <c r="W29" s="775">
        <f t="shared" ref="W29:W47" si="14">J29</f>
        <v>100</v>
      </c>
      <c r="X29" s="1815"/>
      <c r="Y29" s="321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1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1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87"/>
      <c r="Q32" s="1812">
        <f t="shared" si="11"/>
        <v>111</v>
      </c>
      <c r="R32" s="774" t="s">
        <v>17</v>
      </c>
      <c r="S32" s="775">
        <f t="shared" si="12"/>
        <v>100</v>
      </c>
      <c r="T32" s="774" t="s">
        <v>17</v>
      </c>
      <c r="U32" s="775">
        <f t="shared" si="13"/>
        <v>100</v>
      </c>
      <c r="V32" s="774" t="s">
        <v>17</v>
      </c>
      <c r="W32" s="775">
        <f t="shared" si="14"/>
        <v>100</v>
      </c>
      <c r="X32" s="1815"/>
      <c r="Y32" s="3216"/>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2" t="s">
        <v>2520</v>
      </c>
      <c r="Q33" s="1812" t="str">
        <f t="shared" si="11"/>
        <v>建筑类型</v>
      </c>
      <c r="R33" s="774" t="s">
        <v>17</v>
      </c>
      <c r="S33" s="775">
        <f t="shared" si="12"/>
        <v>100</v>
      </c>
      <c r="T33" s="774" t="s">
        <v>17</v>
      </c>
      <c r="U33" s="775">
        <f t="shared" si="13"/>
        <v>100</v>
      </c>
      <c r="V33" s="774" t="s">
        <v>17</v>
      </c>
      <c r="W33" s="775">
        <f t="shared" si="14"/>
        <v>100</v>
      </c>
      <c r="X33" s="1815"/>
      <c r="Y33" s="3218"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3"/>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3"/>
      <c r="Q35" s="1812" t="str">
        <f t="shared" si="11"/>
        <v>建筑结构</v>
      </c>
      <c r="R35" s="774" t="s">
        <v>17</v>
      </c>
      <c r="S35" s="775">
        <f t="shared" si="12"/>
        <v>100</v>
      </c>
      <c r="T35" s="774" t="s">
        <v>17</v>
      </c>
      <c r="U35" s="775">
        <f t="shared" si="13"/>
        <v>100</v>
      </c>
      <c r="V35" s="774" t="s">
        <v>17</v>
      </c>
      <c r="W35" s="775">
        <f t="shared" si="14"/>
        <v>100</v>
      </c>
      <c r="X35" s="1815"/>
      <c r="Y35" s="3218"/>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3"/>
      <c r="Q36" s="1812" t="str">
        <f t="shared" si="11"/>
        <v>公共部分装修</v>
      </c>
      <c r="R36" s="774" t="s">
        <v>17</v>
      </c>
      <c r="S36" s="775">
        <f t="shared" si="12"/>
        <v>100</v>
      </c>
      <c r="T36" s="774" t="s">
        <v>17</v>
      </c>
      <c r="U36" s="775">
        <f t="shared" si="13"/>
        <v>100</v>
      </c>
      <c r="V36" s="774" t="s">
        <v>17</v>
      </c>
      <c r="W36" s="775">
        <f t="shared" si="14"/>
        <v>100</v>
      </c>
      <c r="X36" s="1815"/>
      <c r="Y36" s="3218"/>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3"/>
      <c r="Q37" s="1812" t="str">
        <f t="shared" si="11"/>
        <v>成新度</v>
      </c>
      <c r="R37" s="774" t="s">
        <v>17</v>
      </c>
      <c r="S37" s="775" t="e">
        <f t="shared" si="12"/>
        <v>#N/A</v>
      </c>
      <c r="T37" s="774" t="s">
        <v>17</v>
      </c>
      <c r="U37" s="775" t="e">
        <f t="shared" si="13"/>
        <v>#N/A</v>
      </c>
      <c r="V37" s="774" t="s">
        <v>17</v>
      </c>
      <c r="W37" s="775" t="e">
        <f t="shared" si="14"/>
        <v>#N/A</v>
      </c>
      <c r="X37" s="1815"/>
      <c r="Y37" s="3218"/>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3"/>
      <c r="Q38" s="1797"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3" t="s">
        <v>2520</v>
      </c>
      <c r="Q39" s="1812" t="str">
        <f t="shared" si="11"/>
        <v>物业管理</v>
      </c>
      <c r="R39" s="774" t="s">
        <v>17</v>
      </c>
      <c r="S39" s="775">
        <f t="shared" si="12"/>
        <v>100</v>
      </c>
      <c r="T39" s="774" t="s">
        <v>17</v>
      </c>
      <c r="U39" s="775">
        <f t="shared" si="13"/>
        <v>100</v>
      </c>
      <c r="V39" s="774" t="s">
        <v>17</v>
      </c>
      <c r="W39" s="775">
        <f t="shared" si="14"/>
        <v>100</v>
      </c>
      <c r="X39" s="1815"/>
      <c r="Y39" s="3218"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3"/>
      <c r="Q40" s="1812" t="str">
        <f t="shared" si="11"/>
        <v>市政基础设施</v>
      </c>
      <c r="R40" s="774" t="s">
        <v>17</v>
      </c>
      <c r="S40" s="775">
        <f t="shared" si="12"/>
        <v>100</v>
      </c>
      <c r="T40" s="774" t="s">
        <v>17</v>
      </c>
      <c r="U40" s="775">
        <f t="shared" si="13"/>
        <v>100</v>
      </c>
      <c r="V40" s="774" t="s">
        <v>17</v>
      </c>
      <c r="W40" s="775">
        <f t="shared" si="14"/>
        <v>100</v>
      </c>
      <c r="X40" s="1815"/>
      <c r="Y40" s="3218"/>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3"/>
      <c r="Q41" s="1812" t="str">
        <f t="shared" si="11"/>
        <v>层高</v>
      </c>
      <c r="R41" s="774" t="s">
        <v>17</v>
      </c>
      <c r="S41" s="775">
        <f t="shared" si="12"/>
        <v>100</v>
      </c>
      <c r="T41" s="774" t="s">
        <v>17</v>
      </c>
      <c r="U41" s="775">
        <f t="shared" si="13"/>
        <v>100</v>
      </c>
      <c r="V41" s="774" t="s">
        <v>17</v>
      </c>
      <c r="W41" s="775">
        <f t="shared" si="14"/>
        <v>100</v>
      </c>
      <c r="X41" s="1815"/>
      <c r="Y41" s="3218"/>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3"/>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3"/>
      <c r="Q43" s="1812" t="str">
        <f t="shared" si="11"/>
        <v>内部装修</v>
      </c>
      <c r="R43" s="774" t="s">
        <v>17</v>
      </c>
      <c r="S43" s="775">
        <f t="shared" si="12"/>
        <v>100</v>
      </c>
      <c r="T43" s="774" t="s">
        <v>17</v>
      </c>
      <c r="U43" s="775">
        <f t="shared" si="13"/>
        <v>100</v>
      </c>
      <c r="V43" s="774" t="s">
        <v>17</v>
      </c>
      <c r="W43" s="775">
        <f t="shared" si="14"/>
        <v>100</v>
      </c>
      <c r="X43" s="1815"/>
      <c r="Y43" s="3218"/>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3"/>
      <c r="Q44" s="1812" t="str">
        <f t="shared" si="11"/>
        <v>内部装修维护情况</v>
      </c>
      <c r="R44" s="774" t="s">
        <v>17</v>
      </c>
      <c r="S44" s="775">
        <f t="shared" si="12"/>
        <v>100</v>
      </c>
      <c r="T44" s="774" t="s">
        <v>17</v>
      </c>
      <c r="U44" s="775">
        <f t="shared" si="13"/>
        <v>100</v>
      </c>
      <c r="V44" s="774" t="s">
        <v>17</v>
      </c>
      <c r="W44" s="775">
        <f t="shared" si="14"/>
        <v>100</v>
      </c>
      <c r="X44" s="1815"/>
      <c r="Y44" s="321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3"/>
      <c r="Q45" s="1797">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3"/>
      <c r="Q46" s="1812">
        <f t="shared" si="11"/>
        <v>111</v>
      </c>
      <c r="R46" s="774" t="s">
        <v>17</v>
      </c>
      <c r="S46" s="775">
        <f t="shared" si="12"/>
        <v>100</v>
      </c>
      <c r="T46" s="774" t="s">
        <v>17</v>
      </c>
      <c r="U46" s="775">
        <f t="shared" si="13"/>
        <v>100</v>
      </c>
      <c r="V46" s="774" t="s">
        <v>17</v>
      </c>
      <c r="W46" s="775">
        <f t="shared" si="14"/>
        <v>100</v>
      </c>
      <c r="X46" s="1815"/>
      <c r="Y46" s="321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4"/>
      <c r="Q47" s="1812">
        <f t="shared" si="11"/>
        <v>111</v>
      </c>
      <c r="R47" s="774" t="s">
        <v>17</v>
      </c>
      <c r="S47" s="775">
        <f t="shared" si="12"/>
        <v>100</v>
      </c>
      <c r="T47" s="774" t="s">
        <v>17</v>
      </c>
      <c r="U47" s="775">
        <f t="shared" si="13"/>
        <v>100</v>
      </c>
      <c r="V47" s="774" t="s">
        <v>17</v>
      </c>
      <c r="W47" s="775">
        <f t="shared" si="14"/>
        <v>100</v>
      </c>
      <c r="X47" s="1815"/>
      <c r="Y47" s="3285"/>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212" t="str">
        <f>A48</f>
        <v>成交单价（元/平方米）</v>
      </c>
      <c r="Q48" s="3213"/>
      <c r="R48" s="3281">
        <f>E48</f>
        <v>0</v>
      </c>
      <c r="S48" s="3281"/>
      <c r="T48" s="3281">
        <f>G48</f>
        <v>0</v>
      </c>
      <c r="U48" s="3281"/>
      <c r="V48" s="3281">
        <f>I48</f>
        <v>0</v>
      </c>
      <c r="W48" s="3281"/>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212" t="str">
        <f>A49</f>
        <v>比较价值（元/平方米）</v>
      </c>
      <c r="Q49" s="3213"/>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88" t="str">
        <f>A50</f>
        <v>估价对象XX用房的比较价值（楼面单价，元/平方米）</v>
      </c>
      <c r="Q50" s="3289"/>
      <c r="R50" s="3290" t="e">
        <f>IF(F1="售价",ROUND(AVERAGE(R49:V49),0),ROUND(AVERAGE(R49:V49),1))</f>
        <v>#DIV/0!</v>
      </c>
      <c r="S50" s="3290"/>
      <c r="T50" s="3290"/>
      <c r="U50" s="3290"/>
      <c r="V50" s="3290"/>
      <c r="W50" s="329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44412.450000000026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3"/>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2515</v>
      </c>
      <c r="Q15" s="1812" t="str">
        <f t="shared" si="6"/>
        <v>产业集聚程度</v>
      </c>
      <c r="R15" s="774" t="s">
        <v>17</v>
      </c>
      <c r="S15" s="775">
        <f t="shared" si="0"/>
        <v>100</v>
      </c>
      <c r="T15" s="774" t="s">
        <v>17</v>
      </c>
      <c r="U15" s="775">
        <f t="shared" si="1"/>
        <v>100</v>
      </c>
      <c r="V15" s="774" t="s">
        <v>17</v>
      </c>
      <c r="W15" s="775">
        <f t="shared" si="2"/>
        <v>100</v>
      </c>
      <c r="X15" s="1815"/>
      <c r="Y15" s="3215"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6"/>
      <c r="Q16" s="1812"/>
      <c r="R16" s="774"/>
      <c r="S16" s="775"/>
      <c r="T16" s="774"/>
      <c r="U16" s="775"/>
      <c r="V16" s="774"/>
      <c r="W16" s="775"/>
      <c r="X16" s="1815"/>
      <c r="Y16" s="3216"/>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16"/>
      <c r="Q18" s="1812"/>
      <c r="R18" s="774"/>
      <c r="S18" s="775"/>
      <c r="T18" s="774"/>
      <c r="U18" s="775"/>
      <c r="V18" s="774"/>
      <c r="W18" s="775"/>
      <c r="X18" s="1815"/>
      <c r="Y18" s="3216"/>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16"/>
      <c r="Q20" s="1812"/>
      <c r="R20" s="774"/>
      <c r="S20" s="775"/>
      <c r="T20" s="774"/>
      <c r="U20" s="775"/>
      <c r="V20" s="774"/>
      <c r="W20" s="775"/>
      <c r="X20" s="1815"/>
      <c r="Y20" s="3216"/>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16"/>
      <c r="Q22" s="1812"/>
      <c r="R22" s="774"/>
      <c r="S22" s="775"/>
      <c r="T22" s="774"/>
      <c r="U22" s="775"/>
      <c r="V22" s="774"/>
      <c r="W22" s="775"/>
      <c r="X22" s="1815"/>
      <c r="Y22" s="3216"/>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16"/>
      <c r="Q24" s="1812"/>
      <c r="R24" s="774"/>
      <c r="S24" s="775"/>
      <c r="T24" s="774"/>
      <c r="U24" s="775"/>
      <c r="V24" s="774"/>
      <c r="W24" s="775"/>
      <c r="X24" s="1815"/>
      <c r="Y24" s="321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2">
        <f>B25</f>
        <v>111</v>
      </c>
      <c r="R25" s="774" t="s">
        <v>17</v>
      </c>
      <c r="S25" s="775">
        <f>F25</f>
        <v>100</v>
      </c>
      <c r="T25" s="774" t="s">
        <v>17</v>
      </c>
      <c r="U25" s="775">
        <f>H25</f>
        <v>100</v>
      </c>
      <c r="V25" s="774" t="s">
        <v>17</v>
      </c>
      <c r="W25" s="775">
        <f>J25</f>
        <v>100</v>
      </c>
      <c r="X25" s="1815"/>
      <c r="Y25" s="321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2">
        <f t="shared" ref="Q26:Q40" si="11">B26</f>
        <v>111</v>
      </c>
      <c r="R26" s="774" t="s">
        <v>17</v>
      </c>
      <c r="S26" s="775">
        <f>F26</f>
        <v>100</v>
      </c>
      <c r="T26" s="774" t="s">
        <v>17</v>
      </c>
      <c r="U26" s="775">
        <f>H26</f>
        <v>100</v>
      </c>
      <c r="V26" s="774" t="s">
        <v>17</v>
      </c>
      <c r="W26" s="775">
        <f>J26</f>
        <v>100</v>
      </c>
      <c r="X26" s="1815"/>
      <c r="Y26" s="321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7">
        <f t="shared" si="11"/>
        <v>111</v>
      </c>
      <c r="R27" s="770" t="s">
        <v>17</v>
      </c>
      <c r="S27" s="771">
        <f>F27</f>
        <v>100</v>
      </c>
      <c r="T27" s="770" t="s">
        <v>17</v>
      </c>
      <c r="U27" s="771">
        <f>H27</f>
        <v>100</v>
      </c>
      <c r="V27" s="770" t="s">
        <v>17</v>
      </c>
      <c r="W27" s="771">
        <f>J27</f>
        <v>100</v>
      </c>
      <c r="X27" s="772"/>
      <c r="Y27" s="321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2">
        <f t="shared" si="11"/>
        <v>111</v>
      </c>
      <c r="R28" s="774" t="s">
        <v>17</v>
      </c>
      <c r="S28" s="775">
        <f t="shared" ref="S28:S40" si="12">F28</f>
        <v>100</v>
      </c>
      <c r="T28" s="774" t="s">
        <v>17</v>
      </c>
      <c r="U28" s="775">
        <f t="shared" ref="U28:U40" si="13">H28</f>
        <v>100</v>
      </c>
      <c r="V28" s="774" t="s">
        <v>17</v>
      </c>
      <c r="W28" s="775">
        <f t="shared" ref="W28:W40" si="14">J28</f>
        <v>100</v>
      </c>
      <c r="X28" s="1815"/>
      <c r="Y28" s="3216"/>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7" t="s">
        <v>2520</v>
      </c>
      <c r="Q29" s="1812" t="str">
        <f t="shared" si="11"/>
        <v>建筑类型</v>
      </c>
      <c r="R29" s="774" t="s">
        <v>17</v>
      </c>
      <c r="S29" s="775">
        <f t="shared" si="12"/>
        <v>100</v>
      </c>
      <c r="T29" s="774" t="s">
        <v>17</v>
      </c>
      <c r="U29" s="775">
        <f t="shared" si="13"/>
        <v>100</v>
      </c>
      <c r="V29" s="774" t="s">
        <v>17</v>
      </c>
      <c r="W29" s="775">
        <f t="shared" si="14"/>
        <v>100</v>
      </c>
      <c r="X29" s="1815"/>
      <c r="Y29" s="3218"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2" t="str">
        <f t="shared" si="11"/>
        <v>建筑结构</v>
      </c>
      <c r="R31" s="774" t="s">
        <v>17</v>
      </c>
      <c r="S31" s="775">
        <f t="shared" si="12"/>
        <v>100</v>
      </c>
      <c r="T31" s="774" t="s">
        <v>17</v>
      </c>
      <c r="U31" s="775">
        <f t="shared" si="13"/>
        <v>100</v>
      </c>
      <c r="V31" s="774" t="s">
        <v>17</v>
      </c>
      <c r="W31" s="775">
        <f t="shared" si="14"/>
        <v>100</v>
      </c>
      <c r="X31" s="1815"/>
      <c r="Y31" s="3218"/>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2" t="str">
        <f t="shared" si="11"/>
        <v>公共部分装修</v>
      </c>
      <c r="R32" s="774" t="s">
        <v>17</v>
      </c>
      <c r="S32" s="775">
        <f t="shared" si="12"/>
        <v>100</v>
      </c>
      <c r="T32" s="774" t="s">
        <v>17</v>
      </c>
      <c r="U32" s="775">
        <f t="shared" si="13"/>
        <v>100</v>
      </c>
      <c r="V32" s="774" t="s">
        <v>17</v>
      </c>
      <c r="W32" s="775">
        <f t="shared" si="14"/>
        <v>100</v>
      </c>
      <c r="X32" s="1815"/>
      <c r="Y32" s="3218"/>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2" t="str">
        <f t="shared" si="11"/>
        <v>成新度</v>
      </c>
      <c r="R33" s="774" t="s">
        <v>17</v>
      </c>
      <c r="S33" s="775" t="e">
        <f t="shared" si="12"/>
        <v>#N/A</v>
      </c>
      <c r="T33" s="774" t="s">
        <v>17</v>
      </c>
      <c r="U33" s="775" t="e">
        <f t="shared" si="13"/>
        <v>#N/A</v>
      </c>
      <c r="V33" s="774" t="s">
        <v>17</v>
      </c>
      <c r="W33" s="775" t="e">
        <f t="shared" si="14"/>
        <v>#N/A</v>
      </c>
      <c r="X33" s="1815"/>
      <c r="Y33" s="3218"/>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7"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2520</v>
      </c>
      <c r="Q35" s="1812" t="str">
        <f t="shared" si="11"/>
        <v>市政基础设施</v>
      </c>
      <c r="R35" s="774" t="s">
        <v>17</v>
      </c>
      <c r="S35" s="775">
        <f t="shared" si="12"/>
        <v>100</v>
      </c>
      <c r="T35" s="774" t="s">
        <v>17</v>
      </c>
      <c r="U35" s="775">
        <f t="shared" si="13"/>
        <v>100</v>
      </c>
      <c r="V35" s="774" t="s">
        <v>17</v>
      </c>
      <c r="W35" s="775">
        <f t="shared" si="14"/>
        <v>100</v>
      </c>
      <c r="X35" s="1815"/>
      <c r="Y35" s="3218"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2" t="str">
        <f t="shared" si="11"/>
        <v>内部装修</v>
      </c>
      <c r="R36" s="774" t="s">
        <v>17</v>
      </c>
      <c r="S36" s="775">
        <f t="shared" si="12"/>
        <v>100</v>
      </c>
      <c r="T36" s="774" t="s">
        <v>17</v>
      </c>
      <c r="U36" s="775">
        <f t="shared" si="13"/>
        <v>100</v>
      </c>
      <c r="V36" s="774" t="s">
        <v>17</v>
      </c>
      <c r="W36" s="775">
        <f t="shared" si="14"/>
        <v>100</v>
      </c>
      <c r="X36" s="1815"/>
      <c r="Y36" s="3218"/>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2" t="str">
        <f t="shared" si="11"/>
        <v>内部装修状况</v>
      </c>
      <c r="R37" s="774" t="s">
        <v>17</v>
      </c>
      <c r="S37" s="775">
        <f t="shared" si="12"/>
        <v>100</v>
      </c>
      <c r="T37" s="774" t="s">
        <v>17</v>
      </c>
      <c r="U37" s="775">
        <f t="shared" si="13"/>
        <v>100</v>
      </c>
      <c r="V37" s="774" t="s">
        <v>17</v>
      </c>
      <c r="W37" s="775">
        <f t="shared" si="14"/>
        <v>100</v>
      </c>
      <c r="X37" s="1815"/>
      <c r="Y37" s="321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2">
        <f t="shared" si="11"/>
        <v>111</v>
      </c>
      <c r="R39" s="774" t="s">
        <v>17</v>
      </c>
      <c r="S39" s="775">
        <f t="shared" si="12"/>
        <v>100</v>
      </c>
      <c r="T39" s="774" t="s">
        <v>17</v>
      </c>
      <c r="U39" s="775">
        <f t="shared" si="13"/>
        <v>100</v>
      </c>
      <c r="V39" s="774" t="s">
        <v>17</v>
      </c>
      <c r="W39" s="775">
        <f t="shared" si="14"/>
        <v>100</v>
      </c>
      <c r="X39" s="1815"/>
      <c r="Y39" s="321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5"/>
      <c r="Q40" s="1812">
        <f t="shared" si="11"/>
        <v>111</v>
      </c>
      <c r="R40" s="774" t="s">
        <v>17</v>
      </c>
      <c r="S40" s="775">
        <f t="shared" si="12"/>
        <v>100</v>
      </c>
      <c r="T40" s="774" t="s">
        <v>17</v>
      </c>
      <c r="U40" s="775">
        <f t="shared" si="13"/>
        <v>100</v>
      </c>
      <c r="V40" s="774" t="s">
        <v>17</v>
      </c>
      <c r="W40" s="775">
        <f t="shared" si="14"/>
        <v>100</v>
      </c>
      <c r="X40" s="1815"/>
      <c r="Y40" s="3285"/>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213" t="str">
        <f>A41</f>
        <v>成交单价（元/平方米）</v>
      </c>
      <c r="Q41" s="3213"/>
      <c r="R41" s="3281">
        <f>E41</f>
        <v>0</v>
      </c>
      <c r="S41" s="3281"/>
      <c r="T41" s="3281">
        <f>G41</f>
        <v>0</v>
      </c>
      <c r="U41" s="3281"/>
      <c r="V41" s="3281">
        <f>I41</f>
        <v>0</v>
      </c>
      <c r="W41" s="3281"/>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80" t="e">
        <f>IF(F1="售价",ROUND(AVERAGE(R42:V42),0),ROUND(AVERAGE(R42:V42),1))</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2" t="s">
        <v>2504</v>
      </c>
      <c r="Q7" s="3244"/>
      <c r="R7" s="770" t="s">
        <v>17</v>
      </c>
      <c r="S7" s="771">
        <f t="shared" ref="S7:S14" si="0">F7</f>
        <v>0</v>
      </c>
      <c r="T7" s="770" t="s">
        <v>17</v>
      </c>
      <c r="U7" s="771">
        <f t="shared" ref="U7:U14" si="1">H7</f>
        <v>0</v>
      </c>
      <c r="V7" s="770" t="s">
        <v>17</v>
      </c>
      <c r="W7" s="771">
        <f t="shared" ref="W7:W14"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2510</v>
      </c>
      <c r="Q9" s="1797" t="str">
        <f t="shared" ref="Q9:Q14" si="6">B9</f>
        <v>用途</v>
      </c>
      <c r="R9" s="770" t="s">
        <v>17</v>
      </c>
      <c r="S9" s="771">
        <f t="shared" si="0"/>
        <v>100</v>
      </c>
      <c r="T9" s="770" t="s">
        <v>17</v>
      </c>
      <c r="U9" s="771">
        <f t="shared" si="1"/>
        <v>100</v>
      </c>
      <c r="V9" s="770" t="s">
        <v>17</v>
      </c>
      <c r="W9" s="771">
        <f t="shared" si="2"/>
        <v>100</v>
      </c>
      <c r="X9" s="772"/>
      <c r="Y9" s="306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2515</v>
      </c>
      <c r="Q14" s="1812" t="str">
        <f t="shared" si="6"/>
        <v>交通便捷度</v>
      </c>
      <c r="R14" s="774" t="s">
        <v>17</v>
      </c>
      <c r="S14" s="775">
        <f t="shared" si="0"/>
        <v>100</v>
      </c>
      <c r="T14" s="774" t="s">
        <v>17</v>
      </c>
      <c r="U14" s="775">
        <f t="shared" si="1"/>
        <v>100</v>
      </c>
      <c r="V14" s="774" t="s">
        <v>17</v>
      </c>
      <c r="W14" s="775">
        <f t="shared" si="2"/>
        <v>100</v>
      </c>
      <c r="X14" s="1815"/>
      <c r="Y14" s="3215"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6"/>
      <c r="Q15" s="1812"/>
      <c r="R15" s="774"/>
      <c r="S15" s="775"/>
      <c r="T15" s="774"/>
      <c r="U15" s="775"/>
      <c r="V15" s="774"/>
      <c r="W15" s="775"/>
      <c r="X15" s="1815"/>
      <c r="Y15" s="3216"/>
      <c r="Z15" s="1816"/>
      <c r="AA15" s="1813">
        <v>1</v>
      </c>
      <c r="AB15" s="1813">
        <v>1</v>
      </c>
      <c r="AC15" s="1813">
        <v>1</v>
      </c>
    </row>
    <row r="16" spans="1:29" ht="42.75">
      <c r="A16" s="404"/>
      <c r="B16" s="631" t="s">
        <v>2642</v>
      </c>
      <c r="C16" s="2613" t="str">
        <f>IF(B1="工业",估价对象房地状况!G5,估价对象房地状况!C7)</f>
        <v>估价对象所在区域公共配套设施齐备度一般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16"/>
      <c r="Q17" s="1812"/>
      <c r="R17" s="774"/>
      <c r="S17" s="775"/>
      <c r="T17" s="774"/>
      <c r="U17" s="775"/>
      <c r="V17" s="774"/>
      <c r="W17" s="775"/>
      <c r="X17" s="1815"/>
      <c r="Y17" s="3216"/>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16"/>
      <c r="Q19" s="1812"/>
      <c r="R19" s="774"/>
      <c r="S19" s="775"/>
      <c r="T19" s="774"/>
      <c r="U19" s="775"/>
      <c r="V19" s="774"/>
      <c r="W19" s="775"/>
      <c r="X19" s="1815"/>
      <c r="Y19" s="3216"/>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6"/>
      <c r="Q21" s="1812"/>
      <c r="R21" s="774"/>
      <c r="S21" s="775"/>
      <c r="T21" s="774"/>
      <c r="U21" s="775"/>
      <c r="V21" s="774"/>
      <c r="W21" s="775"/>
      <c r="X21" s="1815"/>
      <c r="Y21" s="3216"/>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2">
        <f t="shared" ref="Q24:Q36" si="11">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7">
        <f t="shared" si="11"/>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8"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2" t="str">
        <f t="shared" si="11"/>
        <v>公共部分装修</v>
      </c>
      <c r="R28" s="774" t="s">
        <v>17</v>
      </c>
      <c r="S28" s="775">
        <f t="shared" si="12"/>
        <v>100</v>
      </c>
      <c r="T28" s="774" t="s">
        <v>17</v>
      </c>
      <c r="U28" s="775">
        <f t="shared" si="13"/>
        <v>100</v>
      </c>
      <c r="V28" s="774" t="s">
        <v>17</v>
      </c>
      <c r="W28" s="775">
        <f t="shared" si="14"/>
        <v>100</v>
      </c>
      <c r="X28" s="1815"/>
      <c r="Y28" s="3218"/>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2" t="str">
        <f t="shared" si="11"/>
        <v>成新率</v>
      </c>
      <c r="R29" s="774" t="s">
        <v>17</v>
      </c>
      <c r="S29" s="775" t="e">
        <f t="shared" si="12"/>
        <v>#N/A</v>
      </c>
      <c r="T29" s="774" t="s">
        <v>17</v>
      </c>
      <c r="U29" s="775" t="e">
        <f t="shared" si="13"/>
        <v>#N/A</v>
      </c>
      <c r="V29" s="774" t="s">
        <v>17</v>
      </c>
      <c r="W29" s="775" t="e">
        <f t="shared" si="14"/>
        <v>#N/A</v>
      </c>
      <c r="X29" s="1815"/>
      <c r="Y29" s="3218"/>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2" t="str">
        <f t="shared" si="11"/>
        <v>物业等级</v>
      </c>
      <c r="R30" s="774" t="s">
        <v>17</v>
      </c>
      <c r="S30" s="775">
        <f t="shared" si="12"/>
        <v>100</v>
      </c>
      <c r="T30" s="774" t="s">
        <v>17</v>
      </c>
      <c r="U30" s="775">
        <f t="shared" si="13"/>
        <v>100</v>
      </c>
      <c r="V30" s="774" t="s">
        <v>17</v>
      </c>
      <c r="W30" s="775">
        <f t="shared" si="14"/>
        <v>100</v>
      </c>
      <c r="X30" s="1815"/>
      <c r="Y30" s="3218"/>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7"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2520</v>
      </c>
      <c r="Q32" s="1812" t="str">
        <f t="shared" si="11"/>
        <v>车位类型</v>
      </c>
      <c r="R32" s="774" t="s">
        <v>17</v>
      </c>
      <c r="S32" s="775">
        <f t="shared" si="12"/>
        <v>100</v>
      </c>
      <c r="T32" s="774" t="s">
        <v>17</v>
      </c>
      <c r="U32" s="775">
        <f t="shared" si="13"/>
        <v>100</v>
      </c>
      <c r="V32" s="774" t="s">
        <v>17</v>
      </c>
      <c r="W32" s="775">
        <f t="shared" si="14"/>
        <v>100</v>
      </c>
      <c r="X32" s="1815"/>
      <c r="Y32" s="3218"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2" t="str">
        <f t="shared" si="11"/>
        <v>是否直接入户</v>
      </c>
      <c r="R33" s="774" t="s">
        <v>17</v>
      </c>
      <c r="S33" s="775">
        <f t="shared" si="12"/>
        <v>100</v>
      </c>
      <c r="T33" s="774" t="s">
        <v>17</v>
      </c>
      <c r="U33" s="775">
        <f t="shared" si="13"/>
        <v>100</v>
      </c>
      <c r="V33" s="774" t="s">
        <v>17</v>
      </c>
      <c r="W33" s="775">
        <f t="shared" si="14"/>
        <v>100</v>
      </c>
      <c r="X33" s="1815"/>
      <c r="Y33" s="321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2">
        <f t="shared" si="11"/>
        <v>111</v>
      </c>
      <c r="R34" s="774" t="s">
        <v>17</v>
      </c>
      <c r="S34" s="775">
        <f t="shared" si="12"/>
        <v>100</v>
      </c>
      <c r="T34" s="774" t="s">
        <v>17</v>
      </c>
      <c r="U34" s="775">
        <f t="shared" si="13"/>
        <v>100</v>
      </c>
      <c r="V34" s="774" t="s">
        <v>17</v>
      </c>
      <c r="W34" s="775">
        <f t="shared" si="14"/>
        <v>100</v>
      </c>
      <c r="X34" s="1815"/>
      <c r="Y34" s="321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2">
        <f t="shared" si="11"/>
        <v>111</v>
      </c>
      <c r="R36" s="774" t="s">
        <v>17</v>
      </c>
      <c r="S36" s="775">
        <f t="shared" si="12"/>
        <v>100</v>
      </c>
      <c r="T36" s="774" t="s">
        <v>17</v>
      </c>
      <c r="U36" s="775">
        <f t="shared" si="13"/>
        <v>100</v>
      </c>
      <c r="V36" s="774" t="s">
        <v>17</v>
      </c>
      <c r="W36" s="775">
        <f t="shared" si="14"/>
        <v>100</v>
      </c>
      <c r="X36" s="1815"/>
      <c r="Y36" s="3218"/>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213" t="str">
        <f>A37</f>
        <v>成交单价</v>
      </c>
      <c r="Q37" s="3213"/>
      <c r="R37" s="3281">
        <f>E37</f>
        <v>0</v>
      </c>
      <c r="S37" s="3281"/>
      <c r="T37" s="3281">
        <f>G37</f>
        <v>0</v>
      </c>
      <c r="U37" s="3281"/>
      <c r="V37" s="3281">
        <f>I37</f>
        <v>0</v>
      </c>
      <c r="W37" s="3281"/>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80" t="e">
        <f>IF(F1="售价",ROUND(AVERAGE(R38:V38),0),ROUND(AVERAGE(R38:V38),1))</f>
        <v>#DIV/0!</v>
      </c>
      <c r="S39" s="3280"/>
      <c r="T39" s="3280"/>
      <c r="U39" s="3280"/>
      <c r="V39" s="3280"/>
      <c r="W39" s="32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238" t="s">
        <v>2501</v>
      </c>
      <c r="D6" s="3239"/>
      <c r="E6" s="3246" t="s">
        <v>2501</v>
      </c>
      <c r="F6" s="3247"/>
      <c r="G6" s="3238" t="s">
        <v>2501</v>
      </c>
      <c r="H6" s="3239"/>
      <c r="I6" s="3238" t="s">
        <v>2501</v>
      </c>
      <c r="J6" s="3239"/>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42" t="s">
        <v>2504</v>
      </c>
      <c r="Q7" s="3244"/>
      <c r="R7" s="770" t="s">
        <v>17</v>
      </c>
      <c r="S7" s="771">
        <f t="shared" ref="S7:S14" si="0">F7</f>
        <v>0</v>
      </c>
      <c r="T7" s="770" t="s">
        <v>17</v>
      </c>
      <c r="U7" s="771">
        <f t="shared" ref="U7:U14" si="1">H7</f>
        <v>0</v>
      </c>
      <c r="V7" s="770" t="s">
        <v>17</v>
      </c>
      <c r="W7" s="771">
        <f t="shared" ref="W7:W14" si="2">J7</f>
        <v>0</v>
      </c>
      <c r="X7" s="772"/>
      <c r="Y7" s="3242" t="s">
        <v>2504</v>
      </c>
      <c r="Z7" s="3243"/>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2510</v>
      </c>
      <c r="Q9" s="1797" t="str">
        <f t="shared" ref="Q9:Q14" si="6">B9</f>
        <v>用途</v>
      </c>
      <c r="R9" s="770" t="s">
        <v>17</v>
      </c>
      <c r="S9" s="771">
        <f t="shared" si="0"/>
        <v>100</v>
      </c>
      <c r="T9" s="770" t="s">
        <v>17</v>
      </c>
      <c r="U9" s="771">
        <f t="shared" si="1"/>
        <v>100</v>
      </c>
      <c r="V9" s="770" t="s">
        <v>17</v>
      </c>
      <c r="W9" s="771">
        <f t="shared" si="2"/>
        <v>100</v>
      </c>
      <c r="X9" s="772"/>
      <c r="Y9" s="306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2515</v>
      </c>
      <c r="Q14" s="1812" t="str">
        <f t="shared" si="6"/>
        <v>交通便捷度</v>
      </c>
      <c r="R14" s="774" t="s">
        <v>17</v>
      </c>
      <c r="S14" s="775">
        <f t="shared" si="0"/>
        <v>100</v>
      </c>
      <c r="T14" s="774" t="s">
        <v>17</v>
      </c>
      <c r="U14" s="775">
        <f t="shared" si="1"/>
        <v>100</v>
      </c>
      <c r="V14" s="774" t="s">
        <v>17</v>
      </c>
      <c r="W14" s="775">
        <f t="shared" si="2"/>
        <v>100</v>
      </c>
      <c r="X14" s="1815"/>
      <c r="Y14" s="3215"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6"/>
      <c r="Q15" s="1812"/>
      <c r="R15" s="774"/>
      <c r="S15" s="775"/>
      <c r="T15" s="774"/>
      <c r="U15" s="775"/>
      <c r="V15" s="774"/>
      <c r="W15" s="775"/>
      <c r="X15" s="1815"/>
      <c r="Y15" s="3216"/>
      <c r="Z15" s="1816"/>
      <c r="AA15" s="1813">
        <v>1</v>
      </c>
      <c r="AB15" s="1813">
        <v>1</v>
      </c>
      <c r="AC15" s="1813">
        <v>1</v>
      </c>
    </row>
    <row r="16" spans="1:29" ht="42.75">
      <c r="A16" s="428"/>
      <c r="B16" s="451" t="s">
        <v>2642</v>
      </c>
      <c r="C16" s="2613" t="str">
        <f>IF(B1="工业",估价对象房地状况!G5,估价对象房地状况!C7)</f>
        <v>估价对象所在区域公共配套设施齐备度一般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16"/>
      <c r="Q17" s="1812"/>
      <c r="R17" s="774"/>
      <c r="S17" s="775"/>
      <c r="T17" s="774"/>
      <c r="U17" s="775"/>
      <c r="V17" s="774"/>
      <c r="W17" s="775"/>
      <c r="X17" s="1815"/>
      <c r="Y17" s="3216"/>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16"/>
      <c r="Q19" s="1812"/>
      <c r="R19" s="774"/>
      <c r="S19" s="775"/>
      <c r="T19" s="774"/>
      <c r="U19" s="775"/>
      <c r="V19" s="774"/>
      <c r="W19" s="775"/>
      <c r="X19" s="1815"/>
      <c r="Y19" s="3216"/>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6"/>
      <c r="Q21" s="1812"/>
      <c r="R21" s="774"/>
      <c r="S21" s="775"/>
      <c r="T21" s="774"/>
      <c r="U21" s="775"/>
      <c r="V21" s="774"/>
      <c r="W21" s="775"/>
      <c r="X21" s="1815"/>
      <c r="Y21" s="3216"/>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2">
        <f t="shared" ref="Q24:Q34" si="11">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6"/>
      <c r="Q25" s="1797">
        <f t="shared" si="11"/>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7"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8"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2" t="str">
        <f t="shared" si="11"/>
        <v>物业等级</v>
      </c>
      <c r="R28" s="774" t="s">
        <v>17</v>
      </c>
      <c r="S28" s="775">
        <f t="shared" si="12"/>
        <v>100</v>
      </c>
      <c r="T28" s="774" t="s">
        <v>17</v>
      </c>
      <c r="U28" s="775">
        <f t="shared" si="13"/>
        <v>100</v>
      </c>
      <c r="V28" s="774" t="s">
        <v>17</v>
      </c>
      <c r="W28" s="775">
        <f t="shared" si="14"/>
        <v>100</v>
      </c>
      <c r="X28" s="1815"/>
      <c r="Y28" s="3218"/>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2" t="str">
        <f t="shared" si="11"/>
        <v>有无电梯</v>
      </c>
      <c r="R29" s="774" t="s">
        <v>17</v>
      </c>
      <c r="S29" s="775">
        <f t="shared" si="12"/>
        <v>100</v>
      </c>
      <c r="T29" s="774" t="s">
        <v>17</v>
      </c>
      <c r="U29" s="775">
        <f t="shared" si="13"/>
        <v>100</v>
      </c>
      <c r="V29" s="774" t="s">
        <v>17</v>
      </c>
      <c r="W29" s="775">
        <f t="shared" si="14"/>
        <v>100</v>
      </c>
      <c r="X29" s="1815"/>
      <c r="Y29" s="3218"/>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2" t="str">
        <f t="shared" si="11"/>
        <v>建筑面积</v>
      </c>
      <c r="R30" s="774" t="s">
        <v>17</v>
      </c>
      <c r="S30" s="775" t="e">
        <f t="shared" si="12"/>
        <v>#N/A</v>
      </c>
      <c r="T30" s="774" t="s">
        <v>17</v>
      </c>
      <c r="U30" s="775" t="e">
        <f t="shared" si="13"/>
        <v>#N/A</v>
      </c>
      <c r="V30" s="774" t="s">
        <v>17</v>
      </c>
      <c r="W30" s="775" t="e">
        <f t="shared" si="14"/>
        <v>#N/A</v>
      </c>
      <c r="X30" s="1815"/>
      <c r="Y30" s="3218"/>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7"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2520</v>
      </c>
      <c r="Q32" s="1812">
        <f t="shared" si="11"/>
        <v>111</v>
      </c>
      <c r="R32" s="774" t="s">
        <v>17</v>
      </c>
      <c r="S32" s="775">
        <f t="shared" si="12"/>
        <v>100</v>
      </c>
      <c r="T32" s="774" t="s">
        <v>17</v>
      </c>
      <c r="U32" s="775">
        <f t="shared" si="13"/>
        <v>100</v>
      </c>
      <c r="V32" s="774" t="s">
        <v>17</v>
      </c>
      <c r="W32" s="775">
        <f t="shared" si="14"/>
        <v>100</v>
      </c>
      <c r="X32" s="1815"/>
      <c r="Y32" s="3218"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2">
        <f t="shared" si="11"/>
        <v>111</v>
      </c>
      <c r="R33" s="774" t="s">
        <v>17</v>
      </c>
      <c r="S33" s="775">
        <f t="shared" si="12"/>
        <v>100</v>
      </c>
      <c r="T33" s="774" t="s">
        <v>17</v>
      </c>
      <c r="U33" s="775">
        <f t="shared" si="13"/>
        <v>100</v>
      </c>
      <c r="V33" s="774" t="s">
        <v>17</v>
      </c>
      <c r="W33" s="775">
        <f t="shared" si="14"/>
        <v>100</v>
      </c>
      <c r="X33" s="1815"/>
      <c r="Y33" s="321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18"/>
      <c r="Q34" s="1812">
        <f t="shared" si="11"/>
        <v>111</v>
      </c>
      <c r="R34" s="774" t="s">
        <v>17</v>
      </c>
      <c r="S34" s="775">
        <f t="shared" si="12"/>
        <v>100</v>
      </c>
      <c r="T34" s="774" t="s">
        <v>17</v>
      </c>
      <c r="U34" s="775">
        <f t="shared" si="13"/>
        <v>100</v>
      </c>
      <c r="V34" s="774" t="s">
        <v>17</v>
      </c>
      <c r="W34" s="775">
        <f t="shared" si="14"/>
        <v>100</v>
      </c>
      <c r="X34" s="1815"/>
      <c r="Y34" s="3218"/>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213" t="str">
        <f>A35</f>
        <v>成交单价（元/平方米）</v>
      </c>
      <c r="Q35" s="3213"/>
      <c r="R35" s="3281">
        <f>E35</f>
        <v>0</v>
      </c>
      <c r="S35" s="3281"/>
      <c r="T35" s="3281">
        <f>G35</f>
        <v>0</v>
      </c>
      <c r="U35" s="3281"/>
      <c r="V35" s="3281">
        <f>I35</f>
        <v>0</v>
      </c>
      <c r="W35" s="3281"/>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80" t="e">
        <f>IF(F1="售价",ROUND(AVERAGE(R36:V36),0),ROUND(AVERAGE(R36:V36),1))</f>
        <v>#DIV/0!</v>
      </c>
      <c r="S37" s="3280"/>
      <c r="T37" s="3280"/>
      <c r="U37" s="3280"/>
      <c r="V37" s="3280"/>
      <c r="W37" s="32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10" t="s">
        <v>2600</v>
      </c>
      <c r="D4" s="3223"/>
      <c r="E4" s="3224" t="s">
        <v>2601</v>
      </c>
      <c r="F4" s="3225"/>
      <c r="G4" s="3210" t="s">
        <v>2602</v>
      </c>
      <c r="H4" s="3223"/>
      <c r="I4" s="3210" t="s">
        <v>2603</v>
      </c>
      <c r="J4" s="3223"/>
      <c r="K4" s="610" t="s">
        <v>2604</v>
      </c>
      <c r="L4" s="1133"/>
      <c r="M4" s="1134"/>
      <c r="N4" s="1134"/>
      <c r="O4" s="1134"/>
      <c r="P4" s="3226" t="s">
        <v>2605</v>
      </c>
      <c r="Q4" s="3227"/>
      <c r="R4" s="3232" t="s">
        <v>2601</v>
      </c>
      <c r="S4" s="3233"/>
      <c r="T4" s="3232" t="s">
        <v>2602</v>
      </c>
      <c r="U4" s="3233"/>
      <c r="V4" s="3219" t="s">
        <v>2603</v>
      </c>
      <c r="W4" s="3219"/>
      <c r="X4" s="1815"/>
      <c r="Y4" s="3232" t="s">
        <v>2605</v>
      </c>
      <c r="Z4" s="3233"/>
      <c r="AA4" s="3220" t="s">
        <v>2601</v>
      </c>
      <c r="AB4" s="3221" t="s">
        <v>2602</v>
      </c>
      <c r="AC4" s="3220" t="s">
        <v>2603</v>
      </c>
    </row>
    <row r="5" spans="1:29" ht="15">
      <c r="A5" s="404"/>
      <c r="B5" s="405"/>
      <c r="C5" s="3240" t="s">
        <v>2497</v>
      </c>
      <c r="D5" s="3241"/>
      <c r="E5" s="3248" t="s">
        <v>2498</v>
      </c>
      <c r="F5" s="3249"/>
      <c r="G5" s="3240" t="s">
        <v>2499</v>
      </c>
      <c r="H5" s="3241"/>
      <c r="I5" s="3240" t="s">
        <v>2500</v>
      </c>
      <c r="J5" s="3241"/>
      <c r="K5" s="610"/>
      <c r="L5" s="1133"/>
      <c r="M5" s="1134"/>
      <c r="N5" s="1134"/>
      <c r="O5" s="1134"/>
      <c r="P5" s="3228"/>
      <c r="Q5" s="3229"/>
      <c r="R5" s="3234"/>
      <c r="S5" s="3235"/>
      <c r="T5" s="3234"/>
      <c r="U5" s="3235"/>
      <c r="V5" s="3219"/>
      <c r="W5" s="3219"/>
      <c r="X5" s="1815"/>
      <c r="Y5" s="3234"/>
      <c r="Z5" s="3235"/>
      <c r="AA5" s="3221"/>
      <c r="AB5" s="3221"/>
      <c r="AC5" s="3221"/>
    </row>
    <row r="6" spans="1:29" ht="15.75" thickBot="1">
      <c r="A6" s="406"/>
      <c r="B6" s="407"/>
      <c r="C6" s="3303" t="s">
        <v>2750</v>
      </c>
      <c r="D6" s="3304"/>
      <c r="E6" s="3305" t="s">
        <v>2750</v>
      </c>
      <c r="F6" s="3306"/>
      <c r="G6" s="3303" t="s">
        <v>2750</v>
      </c>
      <c r="H6" s="3304"/>
      <c r="I6" s="3303" t="s">
        <v>2750</v>
      </c>
      <c r="J6" s="3304"/>
      <c r="K6" s="610" t="s">
        <v>2502</v>
      </c>
      <c r="L6" s="1133"/>
      <c r="M6" s="1134"/>
      <c r="N6" s="1134"/>
      <c r="O6" s="1134"/>
      <c r="P6" s="3230"/>
      <c r="Q6" s="3231"/>
      <c r="R6" s="3234"/>
      <c r="S6" s="3235"/>
      <c r="T6" s="3236"/>
      <c r="U6" s="3237"/>
      <c r="V6" s="3219"/>
      <c r="W6" s="3219"/>
      <c r="X6" s="1815"/>
      <c r="Y6" s="3236"/>
      <c r="Z6" s="3237"/>
      <c r="AA6" s="3222"/>
      <c r="AB6" s="3222"/>
      <c r="AC6" s="3222"/>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42" t="s">
        <v>2504</v>
      </c>
      <c r="Q7" s="3244"/>
      <c r="R7" s="770" t="s">
        <v>17</v>
      </c>
      <c r="S7" s="771">
        <f t="shared" ref="S7:S15" si="0">F7</f>
        <v>0</v>
      </c>
      <c r="T7" s="770" t="s">
        <v>17</v>
      </c>
      <c r="U7" s="771">
        <f t="shared" ref="U7:U15" si="1">H7</f>
        <v>0</v>
      </c>
      <c r="V7" s="770" t="s">
        <v>17</v>
      </c>
      <c r="W7" s="771">
        <f t="shared" ref="W7:W15" si="2">J7</f>
        <v>0</v>
      </c>
      <c r="X7" s="772"/>
      <c r="Y7" s="3242" t="s">
        <v>2504</v>
      </c>
      <c r="Z7" s="3243"/>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2" t="s">
        <v>2507</v>
      </c>
      <c r="Q8" s="3243"/>
      <c r="R8" s="770" t="s">
        <v>17</v>
      </c>
      <c r="S8" s="771">
        <f t="shared" si="0"/>
        <v>0</v>
      </c>
      <c r="T8" s="770" t="s">
        <v>17</v>
      </c>
      <c r="U8" s="771">
        <f t="shared" si="1"/>
        <v>0</v>
      </c>
      <c r="V8" s="770" t="s">
        <v>17</v>
      </c>
      <c r="W8" s="771">
        <f t="shared" si="2"/>
        <v>0</v>
      </c>
      <c r="X8" s="772"/>
      <c r="Y8" s="3242" t="s">
        <v>2507</v>
      </c>
      <c r="Z8" s="3243"/>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3" t="s">
        <v>2510</v>
      </c>
      <c r="Q9" s="1797" t="str">
        <f t="shared" ref="Q9:Q15" si="6">B9</f>
        <v>用途</v>
      </c>
      <c r="R9" s="770" t="s">
        <v>17</v>
      </c>
      <c r="S9" s="771">
        <f t="shared" si="0"/>
        <v>100</v>
      </c>
      <c r="T9" s="770" t="s">
        <v>17</v>
      </c>
      <c r="U9" s="771">
        <f t="shared" si="1"/>
        <v>100</v>
      </c>
      <c r="V9" s="770" t="s">
        <v>17</v>
      </c>
      <c r="W9" s="771">
        <f t="shared" si="2"/>
        <v>100</v>
      </c>
      <c r="X9" s="772"/>
      <c r="Y9" s="306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13"/>
      <c r="Q10" s="1797" t="str">
        <f t="shared" si="6"/>
        <v>土地使用年限（年）</v>
      </c>
      <c r="R10" s="770" t="s">
        <v>17</v>
      </c>
      <c r="S10" s="771">
        <f t="shared" si="0"/>
        <v>103</v>
      </c>
      <c r="T10" s="770" t="s">
        <v>17</v>
      </c>
      <c r="U10" s="771">
        <f t="shared" si="1"/>
        <v>103</v>
      </c>
      <c r="V10" s="770" t="s">
        <v>17</v>
      </c>
      <c r="W10" s="771">
        <f t="shared" si="2"/>
        <v>103</v>
      </c>
      <c r="X10" s="772"/>
      <c r="Y10" s="3064"/>
      <c r="Z10" s="55" t="str">
        <f t="shared" si="7"/>
        <v>土地使用年限（年）</v>
      </c>
      <c r="AA10" s="773">
        <f t="shared" si="3"/>
        <v>0.970873786407767</v>
      </c>
      <c r="AB10" s="773">
        <f t="shared" si="4"/>
        <v>0.970873786407767</v>
      </c>
      <c r="AC10" s="773">
        <f t="shared" si="5"/>
        <v>0.970873786407767</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2515</v>
      </c>
      <c r="Q15" s="1812" t="str">
        <f t="shared" si="6"/>
        <v>产业集聚程度</v>
      </c>
      <c r="R15" s="774" t="s">
        <v>17</v>
      </c>
      <c r="S15" s="775">
        <f t="shared" si="0"/>
        <v>100</v>
      </c>
      <c r="T15" s="774" t="s">
        <v>17</v>
      </c>
      <c r="U15" s="775">
        <f t="shared" si="1"/>
        <v>100</v>
      </c>
      <c r="V15" s="774" t="s">
        <v>17</v>
      </c>
      <c r="W15" s="775">
        <f t="shared" si="2"/>
        <v>100</v>
      </c>
      <c r="X15" s="1815"/>
      <c r="Y15" s="3215"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2" t="str">
        <f t="shared" ref="Q19:Q33" si="8">B19</f>
        <v>区域土地利用方向</v>
      </c>
      <c r="R19" s="774" t="s">
        <v>17</v>
      </c>
      <c r="S19" s="775">
        <f>F19</f>
        <v>100</v>
      </c>
      <c r="T19" s="774" t="s">
        <v>17</v>
      </c>
      <c r="U19" s="775">
        <f>H19</f>
        <v>100</v>
      </c>
      <c r="V19" s="774" t="s">
        <v>17</v>
      </c>
      <c r="W19" s="775">
        <f>J19</f>
        <v>100</v>
      </c>
      <c r="X19" s="1815"/>
      <c r="Y19" s="321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16"/>
      <c r="Q20" s="1812"/>
      <c r="R20" s="774"/>
      <c r="S20" s="775"/>
      <c r="T20" s="774"/>
      <c r="U20" s="775"/>
      <c r="V20" s="774"/>
      <c r="W20" s="775"/>
      <c r="X20" s="1815"/>
      <c r="Y20" s="3216"/>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2" t="str">
        <f t="shared" si="8"/>
        <v>环境状况</v>
      </c>
      <c r="R21" s="774" t="s">
        <v>17</v>
      </c>
      <c r="S21" s="775">
        <f>F21</f>
        <v>100</v>
      </c>
      <c r="T21" s="774" t="s">
        <v>17</v>
      </c>
      <c r="U21" s="775">
        <f>H21</f>
        <v>100</v>
      </c>
      <c r="V21" s="774" t="s">
        <v>17</v>
      </c>
      <c r="W21" s="775">
        <f>J21</f>
        <v>100</v>
      </c>
      <c r="X21" s="1815"/>
      <c r="Y21" s="321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7" t="str">
        <f t="shared" si="8"/>
        <v>公共配套设施</v>
      </c>
      <c r="R23" s="770" t="s">
        <v>17</v>
      </c>
      <c r="S23" s="771">
        <f>F23</f>
        <v>100</v>
      </c>
      <c r="T23" s="770" t="s">
        <v>17</v>
      </c>
      <c r="U23" s="771">
        <f>H23</f>
        <v>100</v>
      </c>
      <c r="V23" s="770" t="s">
        <v>17</v>
      </c>
      <c r="W23" s="771">
        <f>J23</f>
        <v>100</v>
      </c>
      <c r="X23" s="772"/>
      <c r="Y23" s="321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16"/>
      <c r="Q24" s="1797"/>
      <c r="R24" s="770"/>
      <c r="S24" s="771"/>
      <c r="T24" s="770"/>
      <c r="U24" s="771"/>
      <c r="V24" s="770"/>
      <c r="W24" s="771"/>
      <c r="X24" s="772"/>
      <c r="Y24" s="3216"/>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7"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16"/>
      <c r="Q26" s="1797"/>
      <c r="R26" s="770"/>
      <c r="S26" s="771"/>
      <c r="T26" s="770"/>
      <c r="U26" s="771"/>
      <c r="V26" s="770"/>
      <c r="W26" s="771"/>
      <c r="X26" s="772"/>
      <c r="Y26" s="3216"/>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6"/>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2" t="str">
        <f t="shared" si="8"/>
        <v>毗邻道路的类型与等级</v>
      </c>
      <c r="R28" s="774" t="s">
        <v>17</v>
      </c>
      <c r="S28" s="775">
        <f t="shared" si="10"/>
        <v>100</v>
      </c>
      <c r="T28" s="774" t="s">
        <v>17</v>
      </c>
      <c r="U28" s="775">
        <f t="shared" si="11"/>
        <v>100</v>
      </c>
      <c r="V28" s="774" t="s">
        <v>17</v>
      </c>
      <c r="W28" s="775">
        <f t="shared" si="12"/>
        <v>100</v>
      </c>
      <c r="X28" s="1815"/>
      <c r="Y28" s="321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16"/>
      <c r="Q29" s="1812"/>
      <c r="R29" s="774"/>
      <c r="S29" s="775"/>
      <c r="T29" s="774"/>
      <c r="U29" s="775"/>
      <c r="V29" s="774"/>
      <c r="W29" s="775"/>
      <c r="X29" s="1815"/>
      <c r="Y29" s="3216"/>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2" t="str">
        <f t="shared" si="8"/>
        <v>土地级别</v>
      </c>
      <c r="R30" s="774" t="s">
        <v>17</v>
      </c>
      <c r="S30" s="775">
        <f t="shared" si="10"/>
        <v>100</v>
      </c>
      <c r="T30" s="774" t="s">
        <v>17</v>
      </c>
      <c r="U30" s="775">
        <f t="shared" si="11"/>
        <v>100</v>
      </c>
      <c r="V30" s="774" t="s">
        <v>17</v>
      </c>
      <c r="W30" s="775">
        <f t="shared" si="12"/>
        <v>100</v>
      </c>
      <c r="X30" s="1815"/>
      <c r="Y30" s="321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2">
        <f t="shared" si="8"/>
        <v>111</v>
      </c>
      <c r="R31" s="774" t="s">
        <v>17</v>
      </c>
      <c r="S31" s="775">
        <f t="shared" si="10"/>
        <v>100</v>
      </c>
      <c r="T31" s="774" t="s">
        <v>17</v>
      </c>
      <c r="U31" s="775">
        <f t="shared" si="11"/>
        <v>100</v>
      </c>
      <c r="V31" s="774" t="s">
        <v>17</v>
      </c>
      <c r="W31" s="775">
        <f t="shared" si="12"/>
        <v>100</v>
      </c>
      <c r="X31" s="1815"/>
      <c r="Y31" s="321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2520</v>
      </c>
      <c r="Q32" s="1812">
        <f t="shared" si="8"/>
        <v>111</v>
      </c>
      <c r="R32" s="774" t="s">
        <v>17</v>
      </c>
      <c r="S32" s="775">
        <f t="shared" si="10"/>
        <v>100</v>
      </c>
      <c r="T32" s="774" t="s">
        <v>17</v>
      </c>
      <c r="U32" s="775">
        <f t="shared" si="11"/>
        <v>100</v>
      </c>
      <c r="V32" s="774" t="s">
        <v>17</v>
      </c>
      <c r="W32" s="775">
        <f t="shared" si="12"/>
        <v>100</v>
      </c>
      <c r="X32" s="1815"/>
      <c r="Y32" s="3218"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2">
        <f t="shared" si="8"/>
        <v>111</v>
      </c>
      <c r="R33" s="777" t="s">
        <v>17</v>
      </c>
      <c r="S33" s="778">
        <f t="shared" si="10"/>
        <v>100</v>
      </c>
      <c r="T33" s="777" t="s">
        <v>17</v>
      </c>
      <c r="U33" s="778">
        <f t="shared" si="11"/>
        <v>100</v>
      </c>
      <c r="V33" s="777" t="s">
        <v>17</v>
      </c>
      <c r="W33" s="778">
        <f t="shared" si="12"/>
        <v>100</v>
      </c>
      <c r="X33" s="779"/>
      <c r="Y33" s="3218"/>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2" t="str">
        <f>B34</f>
        <v>宗地面积</v>
      </c>
      <c r="R34" s="774" t="s">
        <v>17</v>
      </c>
      <c r="S34" s="775" t="e">
        <f t="shared" si="10"/>
        <v>#N/A</v>
      </c>
      <c r="T34" s="774" t="s">
        <v>17</v>
      </c>
      <c r="U34" s="775" t="e">
        <f t="shared" si="11"/>
        <v>#N/A</v>
      </c>
      <c r="V34" s="774" t="s">
        <v>17</v>
      </c>
      <c r="W34" s="775" t="e">
        <f t="shared" si="12"/>
        <v>#N/A</v>
      </c>
      <c r="X34" s="1815"/>
      <c r="Y34" s="3218"/>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18"/>
      <c r="Q35" s="1812" t="str">
        <f t="shared" ref="Q35:Q40" si="14">B35</f>
        <v>宗地形状</v>
      </c>
      <c r="R35" s="774" t="s">
        <v>17</v>
      </c>
      <c r="S35" s="775">
        <f t="shared" si="10"/>
        <v>100</v>
      </c>
      <c r="T35" s="774" t="s">
        <v>17</v>
      </c>
      <c r="U35" s="775">
        <f t="shared" si="11"/>
        <v>100</v>
      </c>
      <c r="V35" s="774" t="s">
        <v>17</v>
      </c>
      <c r="W35" s="775">
        <f t="shared" si="12"/>
        <v>100</v>
      </c>
      <c r="X35" s="1815"/>
      <c r="Y35" s="3218"/>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18"/>
      <c r="Q36" s="1812"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18" t="s">
        <v>2520</v>
      </c>
      <c r="Q37" s="1812" t="str">
        <f t="shared" si="14"/>
        <v>工程地质条件</v>
      </c>
      <c r="R37" s="774" t="s">
        <v>17</v>
      </c>
      <c r="S37" s="775">
        <f t="shared" si="10"/>
        <v>100</v>
      </c>
      <c r="T37" s="774" t="s">
        <v>17</v>
      </c>
      <c r="U37" s="775">
        <f t="shared" si="11"/>
        <v>100</v>
      </c>
      <c r="V37" s="774" t="s">
        <v>17</v>
      </c>
      <c r="W37" s="775">
        <f t="shared" si="12"/>
        <v>100</v>
      </c>
      <c r="X37" s="1815"/>
      <c r="Y37" s="3218"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2">
        <f t="shared" si="14"/>
        <v>111</v>
      </c>
      <c r="R38" s="774" t="s">
        <v>17</v>
      </c>
      <c r="S38" s="775">
        <f t="shared" si="10"/>
        <v>100</v>
      </c>
      <c r="T38" s="774" t="s">
        <v>17</v>
      </c>
      <c r="U38" s="775">
        <f t="shared" si="11"/>
        <v>100</v>
      </c>
      <c r="V38" s="774" t="s">
        <v>17</v>
      </c>
      <c r="W38" s="775">
        <f t="shared" si="12"/>
        <v>100</v>
      </c>
      <c r="X38" s="1815"/>
      <c r="Y38" s="321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2">
        <f t="shared" si="14"/>
        <v>111</v>
      </c>
      <c r="R39" s="774" t="s">
        <v>17</v>
      </c>
      <c r="S39" s="775">
        <f t="shared" si="10"/>
        <v>100</v>
      </c>
      <c r="T39" s="774" t="s">
        <v>17</v>
      </c>
      <c r="U39" s="775">
        <f t="shared" si="11"/>
        <v>100</v>
      </c>
      <c r="V39" s="774" t="s">
        <v>17</v>
      </c>
      <c r="W39" s="775">
        <f t="shared" si="12"/>
        <v>100</v>
      </c>
      <c r="X39" s="1815"/>
      <c r="Y39" s="321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2">
        <f t="shared" si="14"/>
        <v>111</v>
      </c>
      <c r="R40" s="777" t="s">
        <v>17</v>
      </c>
      <c r="S40" s="778">
        <f t="shared" si="10"/>
        <v>100</v>
      </c>
      <c r="T40" s="777" t="s">
        <v>17</v>
      </c>
      <c r="U40" s="778">
        <f t="shared" si="11"/>
        <v>100</v>
      </c>
      <c r="V40" s="777" t="s">
        <v>17</v>
      </c>
      <c r="W40" s="778">
        <f t="shared" si="12"/>
        <v>100</v>
      </c>
      <c r="X40" s="779"/>
      <c r="Y40" s="3218"/>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213" t="str">
        <f>A41</f>
        <v>成交单价</v>
      </c>
      <c r="Q41" s="3213"/>
      <c r="R41" s="3219">
        <f>E41</f>
        <v>0</v>
      </c>
      <c r="S41" s="3219"/>
      <c r="T41" s="3219">
        <f>G41</f>
        <v>0</v>
      </c>
      <c r="U41" s="3219"/>
      <c r="V41" s="3219">
        <f>I41</f>
        <v>0</v>
      </c>
      <c r="W41" s="3219"/>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06" t="e">
        <f>ROUND(PRODUCT(R41,AA7:AA40),0)</f>
        <v>#DIV/0!</v>
      </c>
      <c r="S42" s="3206"/>
      <c r="T42" s="3206" t="e">
        <f>ROUND(PRODUCT(T41,AB7:AB40),0)</f>
        <v>#DIV/0!</v>
      </c>
      <c r="U42" s="3206"/>
      <c r="V42" s="3206" t="e">
        <f>ROUND(PRODUCT(V41,AC7:AC40),0)</f>
        <v>#DIV/0!</v>
      </c>
      <c r="W42" s="3206"/>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09" t="e">
        <f>ROUND(AVERAGE(R42:V42),0)</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210" t="s">
        <v>2717</v>
      </c>
      <c r="H50" s="3211"/>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43156.770000000026</v>
      </c>
      <c r="F51" s="691" t="e">
        <f t="shared" ref="F51:F60" si="15">ROUND(B51*E51/10000,0)</f>
        <v>#DIV/0!</v>
      </c>
      <c r="G51" s="3212"/>
      <c r="H51" s="3213"/>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214"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214"/>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214"/>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214"/>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6969.29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6.25</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0"/>
      <c r="B4" s="3311"/>
      <c r="C4" s="3311"/>
      <c r="D4" s="3312"/>
      <c r="E4" s="3312"/>
      <c r="F4" s="3312"/>
      <c r="G4" s="3312"/>
      <c r="H4" s="3312"/>
      <c r="I4" s="3312"/>
      <c r="J4" s="3313"/>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314"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6.25</v>
      </c>
      <c r="AA7" s="1608"/>
      <c r="AB7" s="1608"/>
      <c r="AC7" s="1609"/>
      <c r="AD7" s="1610"/>
      <c r="AE7" s="1610"/>
      <c r="AF7" s="1610"/>
      <c r="AG7" s="1610"/>
      <c r="AH7" s="1610"/>
      <c r="AI7" s="1610"/>
      <c r="AJ7" s="1611"/>
    </row>
    <row r="8" spans="1:36" ht="15">
      <c r="A8" s="3315"/>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07" t="s">
        <v>2793</v>
      </c>
      <c r="X8" s="3308"/>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315"/>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9"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5"/>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5"/>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9" t="s">
        <v>2817</v>
      </c>
      <c r="X11" s="1616" t="s">
        <v>2818</v>
      </c>
      <c r="Y11" s="1617">
        <f>$G$3</f>
        <v>6.25</v>
      </c>
      <c r="Z11" s="1617">
        <f t="shared" ref="Z11:AJ11" si="3">$G$3</f>
        <v>6.25</v>
      </c>
      <c r="AA11" s="1617">
        <f t="shared" si="3"/>
        <v>6.25</v>
      </c>
      <c r="AB11" s="1617">
        <f t="shared" si="3"/>
        <v>6.25</v>
      </c>
      <c r="AC11" s="1617">
        <f t="shared" si="3"/>
        <v>6.25</v>
      </c>
      <c r="AD11" s="1617">
        <f t="shared" si="3"/>
        <v>6.25</v>
      </c>
      <c r="AE11" s="1617">
        <f t="shared" si="3"/>
        <v>6.25</v>
      </c>
      <c r="AF11" s="1617">
        <f t="shared" si="3"/>
        <v>6.25</v>
      </c>
      <c r="AG11" s="1617">
        <f t="shared" si="3"/>
        <v>6.25</v>
      </c>
      <c r="AH11" s="1617">
        <f t="shared" si="3"/>
        <v>6.25</v>
      </c>
      <c r="AI11" s="1617">
        <f t="shared" si="3"/>
        <v>6.25</v>
      </c>
      <c r="AJ11" s="1617">
        <f t="shared" si="3"/>
        <v>6.25</v>
      </c>
    </row>
    <row r="12" spans="1:36" ht="25.5" thickBot="1">
      <c r="A12" s="3314"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9"/>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6"/>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309"/>
      <c r="X13" s="1618"/>
      <c r="Y13" s="1615">
        <f>(-0.163*(Y12^2)-0.59*Y12+7617)*(10^(-4))/Y11</f>
        <v>0.12187200000000001</v>
      </c>
      <c r="Z13" s="1615">
        <f t="shared" ref="Z13:AJ13" si="5">(-0.163*(Z12^2)-0.59*Z12+7617)*(10^(-4))/Z11</f>
        <v>0.12187200000000001</v>
      </c>
      <c r="AA13" s="1615">
        <f t="shared" si="5"/>
        <v>0.12187200000000001</v>
      </c>
      <c r="AB13" s="1615">
        <f t="shared" si="5"/>
        <v>0.12187200000000001</v>
      </c>
      <c r="AC13" s="1615">
        <f t="shared" si="5"/>
        <v>0.12187200000000001</v>
      </c>
      <c r="AD13" s="1615">
        <f t="shared" si="5"/>
        <v>0.12187200000000001</v>
      </c>
      <c r="AE13" s="1615">
        <f t="shared" si="5"/>
        <v>0.12187200000000001</v>
      </c>
      <c r="AF13" s="1615">
        <f t="shared" si="5"/>
        <v>0.12187200000000001</v>
      </c>
      <c r="AG13" s="1615">
        <f t="shared" si="5"/>
        <v>0.12187200000000001</v>
      </c>
      <c r="AH13" s="1615">
        <f t="shared" si="5"/>
        <v>0.12187200000000001</v>
      </c>
      <c r="AI13" s="1615">
        <f t="shared" si="5"/>
        <v>0.12187200000000001</v>
      </c>
      <c r="AJ13" s="1615">
        <f t="shared" si="5"/>
        <v>0.12187200000000001</v>
      </c>
    </row>
    <row r="14" spans="1:36" ht="15">
      <c r="A14" s="3316"/>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17"/>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4"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5"/>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6.2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24"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5"/>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5"/>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26"/>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城市次干道——友谊路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估价对象所在区域公共配套设施齐备度一般</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城市次干道——友谊路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估价对象所在区域公共配套设施齐备度一般</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估价对象周边居住用地比例较高、居住小区规模和社区发展完善程度较好，周边1公里内有水墨林溪等住宅项目，综合评价居住社区成熟度一般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城市次干道——友谊路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估价对象所在区域公共配套设施齐备度一般</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18" t="s">
        <v>2927</v>
      </c>
      <c r="B90" s="3318"/>
      <c r="C90" s="3318"/>
      <c r="D90" s="3318"/>
      <c r="E90" s="3318"/>
      <c r="F90" s="3318"/>
      <c r="G90" s="3318"/>
      <c r="H90" s="3318"/>
      <c r="I90" s="3318"/>
      <c r="J90" s="3318"/>
      <c r="K90" s="2898"/>
      <c r="L90" s="2898"/>
      <c r="M90" s="2898"/>
      <c r="N90" s="2898"/>
    </row>
    <row r="91" spans="1:37">
      <c r="A91" s="3320" t="s">
        <v>2928</v>
      </c>
      <c r="B91" s="3320" t="s">
        <v>2929</v>
      </c>
      <c r="C91" s="2852" t="s">
        <v>2930</v>
      </c>
      <c r="D91" s="2853"/>
      <c r="E91" s="2853"/>
      <c r="F91" s="2853"/>
      <c r="G91" s="2853"/>
      <c r="H91" s="2853"/>
      <c r="I91" s="2853"/>
      <c r="J91" s="2899"/>
      <c r="K91" s="2900"/>
      <c r="L91" s="2900"/>
      <c r="M91" s="2900"/>
      <c r="N91" s="2900"/>
    </row>
    <row r="92" spans="1:37">
      <c r="A92" s="3320"/>
      <c r="B92" s="3320"/>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321"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2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2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2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2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2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22"/>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23"/>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21" t="s">
        <v>2932</v>
      </c>
      <c r="B101" s="2905" t="s">
        <v>2933</v>
      </c>
      <c r="C101" s="2906">
        <f>$G$3</f>
        <v>6.25</v>
      </c>
      <c r="D101" s="2906">
        <f t="shared" ref="D101:N101" si="31">$G$3</f>
        <v>6.25</v>
      </c>
      <c r="E101" s="2906">
        <f t="shared" si="31"/>
        <v>6.25</v>
      </c>
      <c r="F101" s="2906">
        <f t="shared" si="31"/>
        <v>6.25</v>
      </c>
      <c r="G101" s="2906">
        <f t="shared" si="31"/>
        <v>6.25</v>
      </c>
      <c r="H101" s="2906">
        <f t="shared" si="31"/>
        <v>6.25</v>
      </c>
      <c r="I101" s="2906">
        <f t="shared" si="31"/>
        <v>6.25</v>
      </c>
      <c r="J101" s="2906">
        <f t="shared" si="31"/>
        <v>6.25</v>
      </c>
      <c r="K101" s="2906">
        <f t="shared" si="31"/>
        <v>6.25</v>
      </c>
      <c r="L101" s="2906">
        <f t="shared" si="31"/>
        <v>6.25</v>
      </c>
      <c r="M101" s="2906">
        <f t="shared" si="31"/>
        <v>6.25</v>
      </c>
      <c r="N101" s="2906">
        <f t="shared" si="31"/>
        <v>6.25</v>
      </c>
    </row>
    <row r="102" spans="1:14">
      <c r="A102" s="3322"/>
      <c r="B102" s="2901">
        <v>1</v>
      </c>
      <c r="C102" s="2902">
        <f>1.9362/C101</f>
        <v>0.30979200000000001</v>
      </c>
      <c r="D102" s="2902">
        <f>1.9362/D101</f>
        <v>0.30979200000000001</v>
      </c>
      <c r="E102" s="2902">
        <f>1.8629/E101</f>
        <v>0.298064</v>
      </c>
      <c r="F102" s="2902">
        <f>1.8629/F101</f>
        <v>0.298064</v>
      </c>
      <c r="G102" s="2902">
        <f>1.8629/G101</f>
        <v>0.298064</v>
      </c>
      <c r="H102" s="2902">
        <f>1.8629/H101</f>
        <v>0.298064</v>
      </c>
      <c r="I102" s="2902">
        <f>1.8629/I101</f>
        <v>0.298064</v>
      </c>
      <c r="J102" s="2902">
        <f>1.942/J101</f>
        <v>0.31072</v>
      </c>
      <c r="K102" s="2902">
        <f>1.942/K101</f>
        <v>0.31072</v>
      </c>
      <c r="L102" s="2902">
        <f>1.942/L101</f>
        <v>0.31072</v>
      </c>
      <c r="M102" s="2902">
        <f>1.942/M101</f>
        <v>0.31072</v>
      </c>
      <c r="N102" s="2902">
        <f>1.942/N101</f>
        <v>0.31072</v>
      </c>
    </row>
    <row r="103" spans="1:14">
      <c r="A103" s="3322"/>
      <c r="B103" s="2901">
        <v>2</v>
      </c>
      <c r="C103" s="2902">
        <f>1.4198/C101</f>
        <v>0.22716799999999998</v>
      </c>
      <c r="D103" s="2902">
        <f>1.4198/D101</f>
        <v>0.22716799999999998</v>
      </c>
      <c r="E103" s="2902">
        <f>1.3372/E101</f>
        <v>0.213952</v>
      </c>
      <c r="F103" s="2902">
        <f>1.3372/F101</f>
        <v>0.213952</v>
      </c>
      <c r="G103" s="2902">
        <f>1.3372/G101</f>
        <v>0.213952</v>
      </c>
      <c r="H103" s="2902">
        <f>1.3372/H101</f>
        <v>0.213952</v>
      </c>
      <c r="I103" s="2902">
        <f>1.3372/I101</f>
        <v>0.213952</v>
      </c>
      <c r="J103" s="2902">
        <f>1.2799/J101</f>
        <v>0.20478399999999999</v>
      </c>
      <c r="K103" s="2902">
        <f>1.2799/K101</f>
        <v>0.20478399999999999</v>
      </c>
      <c r="L103" s="2902">
        <f>1.2799/L101</f>
        <v>0.20478399999999999</v>
      </c>
      <c r="M103" s="2902">
        <f>1.2799/M101</f>
        <v>0.20478399999999999</v>
      </c>
      <c r="N103" s="2902">
        <f>1.2799/N101</f>
        <v>0.20478399999999999</v>
      </c>
    </row>
    <row r="104" spans="1:14">
      <c r="A104" s="3322"/>
      <c r="B104" s="2901">
        <v>3</v>
      </c>
      <c r="C104" s="2902">
        <f>1.1594/C101</f>
        <v>0.185504</v>
      </c>
      <c r="D104" s="2902">
        <f>1.1594/D101</f>
        <v>0.185504</v>
      </c>
      <c r="E104" s="2902">
        <f>1.0788/E101</f>
        <v>0.17260799999999998</v>
      </c>
      <c r="F104" s="2902">
        <f>1.0788/F101</f>
        <v>0.17260799999999998</v>
      </c>
      <c r="G104" s="2902">
        <f>1.0788/G101</f>
        <v>0.17260799999999998</v>
      </c>
      <c r="H104" s="2902">
        <f>1.0788/H101</f>
        <v>0.17260799999999998</v>
      </c>
      <c r="I104" s="2902">
        <f>1.0788/I101</f>
        <v>0.17260799999999998</v>
      </c>
      <c r="J104" s="2902">
        <f>1.0072/J101</f>
        <v>0.16115200000000002</v>
      </c>
      <c r="K104" s="2902">
        <f>1.0072/K101</f>
        <v>0.16115200000000002</v>
      </c>
      <c r="L104" s="2902">
        <f>1.0072/L101</f>
        <v>0.16115200000000002</v>
      </c>
      <c r="M104" s="2902">
        <f>1.0072/M101</f>
        <v>0.16115200000000002</v>
      </c>
      <c r="N104" s="2902">
        <f>1.0072/N101</f>
        <v>0.16115200000000002</v>
      </c>
    </row>
    <row r="105" spans="1:14">
      <c r="A105" s="3322"/>
      <c r="B105" s="2901">
        <v>4</v>
      </c>
      <c r="C105" s="2902">
        <f>0.9622/C101</f>
        <v>0.15395200000000001</v>
      </c>
      <c r="D105" s="2902">
        <f>0.9622/D101</f>
        <v>0.15395200000000001</v>
      </c>
      <c r="E105" s="2902">
        <f>0.8656/E101</f>
        <v>0.13849600000000001</v>
      </c>
      <c r="F105" s="2902">
        <f>0.8656/F101</f>
        <v>0.13849600000000001</v>
      </c>
      <c r="G105" s="2902">
        <f>0.8656/G101</f>
        <v>0.13849600000000001</v>
      </c>
      <c r="H105" s="2902">
        <f>0.8656/H101</f>
        <v>0.13849600000000001</v>
      </c>
      <c r="I105" s="2902">
        <f>0.8656/I101</f>
        <v>0.13849600000000001</v>
      </c>
      <c r="J105" s="2902">
        <f>0.7525/J101</f>
        <v>0.12039999999999999</v>
      </c>
      <c r="K105" s="2902">
        <f>0.7525/K101</f>
        <v>0.12039999999999999</v>
      </c>
      <c r="L105" s="2902">
        <f>0.7525/L101</f>
        <v>0.12039999999999999</v>
      </c>
      <c r="M105" s="2902">
        <f>0.7525/M101</f>
        <v>0.12039999999999999</v>
      </c>
      <c r="N105" s="2902">
        <f>0.7525/N101</f>
        <v>0.12039999999999999</v>
      </c>
    </row>
    <row r="106" spans="1:14">
      <c r="A106" s="3322"/>
      <c r="B106" s="2901">
        <v>5</v>
      </c>
      <c r="C106" s="2902">
        <f>0.8417/C101</f>
        <v>0.13467200000000001</v>
      </c>
      <c r="D106" s="2902">
        <f>0.8417/D101</f>
        <v>0.13467200000000001</v>
      </c>
      <c r="E106" s="2902">
        <f>0.7371/E101</f>
        <v>0.117936</v>
      </c>
      <c r="F106" s="2902">
        <f>0.7371/F101</f>
        <v>0.117936</v>
      </c>
      <c r="G106" s="2902">
        <f>0.7371/G101</f>
        <v>0.117936</v>
      </c>
      <c r="H106" s="2902">
        <f>0.7371/H101</f>
        <v>0.117936</v>
      </c>
      <c r="I106" s="2902">
        <f>0.7371/I101</f>
        <v>0.117936</v>
      </c>
      <c r="J106" s="2902">
        <f>0.5659/J101</f>
        <v>9.0543999999999999E-2</v>
      </c>
      <c r="K106" s="2902">
        <f>0.5659/K101</f>
        <v>9.0543999999999999E-2</v>
      </c>
      <c r="L106" s="2902">
        <f>0.5659/L101</f>
        <v>9.0543999999999999E-2</v>
      </c>
      <c r="M106" s="2902">
        <f>0.5659/M101</f>
        <v>9.0543999999999999E-2</v>
      </c>
      <c r="N106" s="2902">
        <f>0.5659/N101</f>
        <v>9.0543999999999999E-2</v>
      </c>
    </row>
    <row r="107" spans="1:14">
      <c r="A107" s="3322"/>
      <c r="B107" s="2901">
        <v>6</v>
      </c>
      <c r="C107" s="2902">
        <f>0.7608/C101</f>
        <v>0.121728</v>
      </c>
      <c r="D107" s="2902">
        <f>0.7608/D101</f>
        <v>0.121728</v>
      </c>
      <c r="E107" s="2902">
        <f>0.6482/E101</f>
        <v>0.103712</v>
      </c>
      <c r="F107" s="2902">
        <f>0.6482/F101</f>
        <v>0.103712</v>
      </c>
      <c r="G107" s="2902">
        <f>0.6482/G101</f>
        <v>0.103712</v>
      </c>
      <c r="H107" s="2902">
        <f>0.6482/H101</f>
        <v>0.103712</v>
      </c>
      <c r="I107" s="2902">
        <f>0.6482/I101</f>
        <v>0.103712</v>
      </c>
      <c r="J107" s="2902">
        <f>0.4525/J101</f>
        <v>7.2400000000000006E-2</v>
      </c>
      <c r="K107" s="2902">
        <f>0.4525/K101</f>
        <v>7.2400000000000006E-2</v>
      </c>
      <c r="L107" s="2902">
        <f>0.4525/L101</f>
        <v>7.2400000000000006E-2</v>
      </c>
      <c r="M107" s="2902">
        <f>0.4525/M101</f>
        <v>7.2400000000000006E-2</v>
      </c>
      <c r="N107" s="2902">
        <f>0.4525/N101</f>
        <v>7.2400000000000006E-2</v>
      </c>
    </row>
    <row r="108" spans="1:14">
      <c r="A108" s="3322"/>
      <c r="B108" s="3179"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23"/>
      <c r="B109" s="3180"/>
      <c r="C109" s="2904">
        <f>(-0.163*(C108^2)-0.59*C108+7617)*(10^(-4))/C101</f>
        <v>0.12187200000000001</v>
      </c>
      <c r="D109" s="2904">
        <f>(-0.163*(D108^2)-0.59*D108+7617)*(10^(-4))/D101</f>
        <v>0.12187200000000001</v>
      </c>
      <c r="E109" s="2904">
        <f>(-0.161*(E108^2)-7.509*E108+6533)*(10^(-4))/E101</f>
        <v>0.104528</v>
      </c>
      <c r="F109" s="2904">
        <f>(-0.161*(F108^2)-7.509*F108+6533)*(10^(-4))/F101</f>
        <v>0.104528</v>
      </c>
      <c r="G109" s="2904">
        <f>(-0.161*(G108^2)-7.509*G108+6533)*(10^(-4))/G101</f>
        <v>0.104528</v>
      </c>
      <c r="H109" s="2904">
        <f>(-0.161*(H108^2)-7.509*H108+6533)*(10^(-4))/H101</f>
        <v>0.104528</v>
      </c>
      <c r="I109" s="2904">
        <f>(-0.161*(I108^2)-7.509*I108+6533)*(10^(-4))/I101</f>
        <v>0.104528</v>
      </c>
      <c r="J109" s="2904">
        <f>(-0.214*(J108^2)-21.991*J108+4665)*(10^(-4))/J101</f>
        <v>7.4639999999999998E-2</v>
      </c>
      <c r="K109" s="2904">
        <f>(-0.214*(K108^2)-21.991*K108+4665)*(10^(-4))/K101</f>
        <v>7.4639999999999998E-2</v>
      </c>
      <c r="L109" s="2904">
        <f>(-0.214*(L108^2)-21.991*L108+4665)*(10^(-4))/L101</f>
        <v>7.4639999999999998E-2</v>
      </c>
      <c r="M109" s="2904">
        <f>(-0.214*(M108^2)-21.991*M108+4665)*(10^(-4))/M101</f>
        <v>7.4639999999999998E-2</v>
      </c>
      <c r="N109" s="2904">
        <f>(-0.214*(N108^2)-21.991*N108+4665)*(10^(-4))/N101</f>
        <v>7.4639999999999998E-2</v>
      </c>
    </row>
    <row r="110" spans="1:14">
      <c r="A110" s="3319" t="s">
        <v>2935</v>
      </c>
      <c r="B110" s="3319"/>
      <c r="C110" s="3319"/>
      <c r="D110" s="3319"/>
      <c r="E110" s="3319"/>
      <c r="F110" s="3319"/>
      <c r="G110" s="3319"/>
      <c r="H110" s="3319"/>
      <c r="I110" s="3319"/>
      <c r="J110" s="3319"/>
      <c r="K110" s="2907"/>
      <c r="L110" s="2907"/>
      <c r="M110" s="2907"/>
      <c r="N110" s="2907"/>
    </row>
    <row r="112" spans="1:14" ht="13.5" thickBot="1"/>
    <row r="113" spans="1:13" ht="25.5" thickBot="1">
      <c r="A113" s="903" t="s">
        <v>2936</v>
      </c>
      <c r="B113" s="1290">
        <f>G3</f>
        <v>6.25</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0.87480000000000002</v>
      </c>
      <c r="C115" s="910">
        <f>B115</f>
        <v>0.87480000000000002</v>
      </c>
      <c r="D115" s="910">
        <f>ROUND(0.8331-0.0109*B113,4)</f>
        <v>0.76500000000000001</v>
      </c>
      <c r="E115" s="910">
        <f>D115</f>
        <v>0.76500000000000001</v>
      </c>
      <c r="F115" s="910">
        <f>E115</f>
        <v>0.76500000000000001</v>
      </c>
      <c r="G115" s="910">
        <f>F115</f>
        <v>0.76500000000000001</v>
      </c>
      <c r="H115" s="910">
        <f>G115</f>
        <v>0.76500000000000001</v>
      </c>
      <c r="I115" s="910">
        <f>ROUND(0.689-0.0155*B113,4)</f>
        <v>0.59209999999999996</v>
      </c>
      <c r="J115" s="910">
        <f t="shared" ref="J115:M118" si="33">I115</f>
        <v>0.59209999999999996</v>
      </c>
      <c r="K115" s="910">
        <f t="shared" si="33"/>
        <v>0.59209999999999996</v>
      </c>
      <c r="L115" s="910">
        <f t="shared" si="33"/>
        <v>0.59209999999999996</v>
      </c>
      <c r="M115" s="911">
        <f t="shared" si="33"/>
        <v>0.59209999999999996</v>
      </c>
    </row>
    <row r="116" spans="1:13">
      <c r="A116" s="909" t="s">
        <v>2833</v>
      </c>
      <c r="B116" s="910">
        <f>ROUND(0.949-0.012*B113,4)</f>
        <v>0.874</v>
      </c>
      <c r="C116" s="910">
        <f>B116</f>
        <v>0.874</v>
      </c>
      <c r="D116" s="910">
        <f>ROUND(0.8567-0.013*B113,4)</f>
        <v>0.77549999999999997</v>
      </c>
      <c r="E116" s="910">
        <f t="shared" ref="E116:H117" si="34">D116</f>
        <v>0.77549999999999997</v>
      </c>
      <c r="F116" s="910">
        <f t="shared" si="34"/>
        <v>0.77549999999999997</v>
      </c>
      <c r="G116" s="910">
        <f t="shared" si="34"/>
        <v>0.77549999999999997</v>
      </c>
      <c r="H116" s="910">
        <f t="shared" si="34"/>
        <v>0.77549999999999997</v>
      </c>
      <c r="I116" s="910">
        <f>ROUND(0.7694-0.014*B113,4)</f>
        <v>0.68189999999999995</v>
      </c>
      <c r="J116" s="910">
        <f t="shared" si="33"/>
        <v>0.68189999999999995</v>
      </c>
      <c r="K116" s="910">
        <f t="shared" si="33"/>
        <v>0.68189999999999995</v>
      </c>
      <c r="L116" s="910">
        <f t="shared" si="33"/>
        <v>0.68189999999999995</v>
      </c>
      <c r="M116" s="911">
        <f t="shared" si="33"/>
        <v>0.68189999999999995</v>
      </c>
    </row>
    <row r="117" spans="1:13">
      <c r="A117" s="909" t="s">
        <v>2834</v>
      </c>
      <c r="B117" s="910">
        <f>ROUND(0.8808-0.006*B113,4)</f>
        <v>0.84330000000000005</v>
      </c>
      <c r="C117" s="910">
        <f>B117</f>
        <v>0.84330000000000005</v>
      </c>
      <c r="D117" s="910">
        <f>ROUND(0.8748-0.008*B113,4)</f>
        <v>0.82479999999999998</v>
      </c>
      <c r="E117" s="910">
        <f t="shared" si="34"/>
        <v>0.82479999999999998</v>
      </c>
      <c r="F117" s="910">
        <f t="shared" si="34"/>
        <v>0.82479999999999998</v>
      </c>
      <c r="G117" s="910">
        <f t="shared" si="34"/>
        <v>0.82479999999999998</v>
      </c>
      <c r="H117" s="910">
        <f t="shared" si="34"/>
        <v>0.82479999999999998</v>
      </c>
      <c r="I117" s="910">
        <f>ROUND(0.7412-0.0095*B113,4)</f>
        <v>0.68179999999999996</v>
      </c>
      <c r="J117" s="910">
        <f t="shared" si="33"/>
        <v>0.68179999999999996</v>
      </c>
      <c r="K117" s="910">
        <f t="shared" si="33"/>
        <v>0.68179999999999996</v>
      </c>
      <c r="L117" s="910">
        <f t="shared" si="33"/>
        <v>0.68179999999999996</v>
      </c>
      <c r="M117" s="911">
        <f t="shared" si="33"/>
        <v>0.68179999999999996</v>
      </c>
    </row>
    <row r="118" spans="1:13" ht="13.5" thickBot="1">
      <c r="A118" s="714" t="s">
        <v>2835</v>
      </c>
      <c r="B118" s="912">
        <f>ROUND(0.7275-0.01*B113,4)</f>
        <v>0.66500000000000004</v>
      </c>
      <c r="C118" s="912">
        <f>B118</f>
        <v>0.66500000000000004</v>
      </c>
      <c r="D118" s="912">
        <f>ROUND(0.7043-0.012*B113,4)</f>
        <v>0.62929999999999997</v>
      </c>
      <c r="E118" s="912">
        <f>D118</f>
        <v>0.62929999999999997</v>
      </c>
      <c r="F118" s="912">
        <f>E118</f>
        <v>0.62929999999999997</v>
      </c>
      <c r="G118" s="912">
        <f>ROUND(0.6299-0.0122*B113,4)</f>
        <v>0.55369999999999997</v>
      </c>
      <c r="H118" s="912">
        <f>G118</f>
        <v>0.55369999999999997</v>
      </c>
      <c r="I118" s="912">
        <f>ROUND(0.5667-0.0136*B113,4)</f>
        <v>0.48170000000000002</v>
      </c>
      <c r="J118" s="912">
        <f t="shared" si="33"/>
        <v>0.48170000000000002</v>
      </c>
      <c r="K118" s="912">
        <f t="shared" si="33"/>
        <v>0.48170000000000002</v>
      </c>
      <c r="L118" s="912">
        <f t="shared" si="33"/>
        <v>0.48170000000000002</v>
      </c>
      <c r="M118" s="913">
        <f t="shared" si="33"/>
        <v>0.48170000000000002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3" t="s">
        <v>1146</v>
      </c>
      <c r="C1" s="3333"/>
      <c r="D1" s="3333"/>
      <c r="E1" s="3333"/>
      <c r="F1" s="3333"/>
      <c r="G1" s="3332" t="s">
        <v>1147</v>
      </c>
      <c r="H1" s="3332"/>
      <c r="I1" s="3332"/>
      <c r="J1" s="3332"/>
      <c r="K1" s="3332"/>
      <c r="L1" s="3332"/>
      <c r="N1" s="3332" t="s">
        <v>1148</v>
      </c>
      <c r="O1" s="3332"/>
      <c r="P1" s="3332"/>
      <c r="Q1" s="3332"/>
      <c r="R1" s="1449"/>
      <c r="S1" s="3332" t="s">
        <v>1149</v>
      </c>
      <c r="T1" s="3332"/>
      <c r="U1" s="3332"/>
      <c r="V1" s="3332"/>
      <c r="X1" s="3331" t="s">
        <v>1150</v>
      </c>
      <c r="Y1" s="3332"/>
      <c r="Z1" s="3332"/>
      <c r="AA1" s="3332"/>
      <c r="AB1" s="3332"/>
      <c r="AD1" s="3331" t="s">
        <v>1151</v>
      </c>
      <c r="AE1" s="3332"/>
      <c r="AF1" s="3332"/>
      <c r="AG1" s="3332"/>
      <c r="AH1" s="333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34">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2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2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2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2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2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2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2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2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335">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36"/>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336"/>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337"/>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32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32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32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33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32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2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32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33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32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2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32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33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32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2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32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33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32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2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32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33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32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2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32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33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32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2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32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33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32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2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32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33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32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2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32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33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328">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329">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329">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330">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328">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329">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329">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33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339" t="s">
        <v>2961</v>
      </c>
      <c r="D1" s="3340"/>
      <c r="E1" s="3340"/>
      <c r="F1" s="3340"/>
      <c r="G1" s="3340"/>
      <c r="H1" s="3340"/>
      <c r="I1" s="3340"/>
      <c r="J1" s="3340"/>
      <c r="K1" s="3340"/>
      <c r="L1" s="3340"/>
      <c r="M1" s="3340"/>
      <c r="N1" s="3340"/>
      <c r="O1" s="3340"/>
      <c r="P1" s="3340"/>
      <c r="Q1" s="3340"/>
      <c r="R1" s="3340"/>
      <c r="S1" s="3341"/>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201" t="s">
        <v>33</v>
      </c>
      <c r="D22" s="3202"/>
      <c r="E22" s="3202"/>
      <c r="F22" s="3202"/>
      <c r="G22" s="3202"/>
      <c r="H22" s="3202"/>
      <c r="I22" s="3202"/>
      <c r="J22" s="3202"/>
      <c r="K22" s="3202"/>
      <c r="L22" s="3202"/>
      <c r="M22" s="3202"/>
      <c r="N22" s="3202"/>
      <c r="O22" s="3202"/>
      <c r="P22" s="3202"/>
      <c r="Q22" s="3338"/>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1626</v>
      </c>
      <c r="C4" s="3024"/>
      <c r="D4" s="3024"/>
      <c r="E4" s="1963"/>
    </row>
    <row r="5" spans="1:5" ht="16.5" thickTop="1">
      <c r="A5" s="1961"/>
      <c r="B5" s="3022" t="s">
        <v>1618</v>
      </c>
      <c r="C5" s="1964" t="s">
        <v>1619</v>
      </c>
      <c r="D5" s="1043">
        <f ca="1">结果表!H101</f>
        <v>31956</v>
      </c>
      <c r="E5" s="1961"/>
    </row>
    <row r="6" spans="1:5" ht="15.75">
      <c r="A6" s="1961"/>
      <c r="B6" s="3022"/>
      <c r="C6" s="1964" t="s">
        <v>1620</v>
      </c>
      <c r="D6" s="1043" t="str">
        <f ca="1">NUMBERSTRING(INT(D5*10000),2)&amp;"元整"</f>
        <v>叁亿壹仟玖佰伍拾陆万元整</v>
      </c>
      <c r="E6" s="1961"/>
    </row>
    <row r="7" spans="1:5" ht="15.75">
      <c r="A7" s="1961"/>
      <c r="B7" s="3027"/>
      <c r="C7" s="1965" t="s">
        <v>1621</v>
      </c>
      <c r="D7" s="1044">
        <f ca="1">结果表!H102</f>
        <v>7195</v>
      </c>
      <c r="E7" s="1961"/>
    </row>
    <row r="8" spans="1:5" ht="15.75">
      <c r="A8" s="1961"/>
      <c r="B8" s="3028" t="str">
        <f>结果表!E103</f>
        <v>2.估价师知悉的法定优先受偿款</v>
      </c>
      <c r="C8" s="1966" t="s">
        <v>1622</v>
      </c>
      <c r="D8" s="1044">
        <f>结果表!H103</f>
        <v>0</v>
      </c>
      <c r="E8" s="1961"/>
    </row>
    <row r="9" spans="1:5" ht="15.75">
      <c r="A9" s="1961"/>
      <c r="B9" s="303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021" t="str">
        <f>结果表!E107</f>
        <v>3.房地产抵押价值</v>
      </c>
      <c r="C13" s="1969" t="s">
        <v>1619</v>
      </c>
      <c r="D13" s="1046">
        <f ca="1">结果表!H107</f>
        <v>31956</v>
      </c>
      <c r="E13" s="1961"/>
    </row>
    <row r="14" spans="1:5" ht="15.75">
      <c r="A14" s="1961"/>
      <c r="B14" s="3022"/>
      <c r="C14" s="1964" t="s">
        <v>1620</v>
      </c>
      <c r="D14" s="1043" t="str">
        <f ca="1">NUMBERSTRING(INT(D13*10000),2)&amp;"元整"</f>
        <v>叁亿壹仟玖佰伍拾陆万元整</v>
      </c>
      <c r="E14" s="1961"/>
    </row>
    <row r="15" spans="1:5" ht="15">
      <c r="A15" s="1961"/>
      <c r="B15" s="3027"/>
      <c r="C15" s="1965" t="s">
        <v>1630</v>
      </c>
      <c r="D15" s="1055">
        <f ca="1">结果表!H108</f>
        <v>7195</v>
      </c>
      <c r="E15" s="1961"/>
    </row>
    <row r="16" spans="1:5" ht="15">
      <c r="A16" s="1961"/>
      <c r="B16" s="3028" t="str">
        <f>结果表!E109</f>
        <v>——</v>
      </c>
      <c r="C16" s="1969" t="s">
        <v>1631</v>
      </c>
      <c r="D16" s="1970" t="str">
        <f>结果表!H109</f>
        <v>——</v>
      </c>
      <c r="E16" s="1961"/>
    </row>
    <row r="17" spans="1:5" ht="15.75">
      <c r="A17" s="1961"/>
      <c r="B17" s="3029"/>
      <c r="C17" s="1964" t="s">
        <v>1632</v>
      </c>
      <c r="D17" s="1043" t="e">
        <f>NUMBERSTRING(INT(D16*10000),2)&amp;"元整"</f>
        <v>#VALUE!</v>
      </c>
      <c r="E17" s="1961"/>
    </row>
    <row r="18" spans="1:5" ht="15">
      <c r="A18" s="1961"/>
      <c r="B18" s="3030"/>
      <c r="C18" s="1965" t="s">
        <v>1621</v>
      </c>
      <c r="D18" s="1055" t="str">
        <f>结果表!H110</f>
        <v>——</v>
      </c>
      <c r="E18" s="1961"/>
    </row>
    <row r="19" spans="1:5" ht="15.75">
      <c r="A19" s="1961"/>
      <c r="B19" s="3021" t="str">
        <f>结果表!E111</f>
        <v>——</v>
      </c>
      <c r="C19" s="1969" t="s">
        <v>1619</v>
      </c>
      <c r="D19" s="1044" t="str">
        <f>结果表!H111</f>
        <v>——</v>
      </c>
      <c r="E19" s="1961"/>
    </row>
    <row r="20" spans="1:5" ht="15.75">
      <c r="A20" s="1961"/>
      <c r="B20" s="3022"/>
      <c r="C20" s="1964" t="s">
        <v>1632</v>
      </c>
      <c r="D20" s="1043" t="e">
        <f>NUMBERSTRING(INT(D19*10000),2)&amp;"元整"</f>
        <v>#VALUE!</v>
      </c>
      <c r="E20" s="1961"/>
    </row>
    <row r="21" spans="1:5" ht="15.75" thickBot="1">
      <c r="A21" s="1961"/>
      <c r="B21" s="302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35425</v>
      </c>
      <c r="C2" s="2" t="s">
        <v>133</v>
      </c>
      <c r="D2" s="243"/>
      <c r="E2" s="243"/>
      <c r="F2" s="243"/>
      <c r="G2" s="243"/>
    </row>
    <row r="3" spans="1:7" s="244" customFormat="1" ht="18" customHeight="1" thickBot="1">
      <c r="A3" s="247" t="s">
        <v>85</v>
      </c>
      <c r="B3" s="248">
        <f ca="1">ROUND(B2*10000/'数据-汇总表'!E3,0)</f>
        <v>7976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518</v>
      </c>
      <c r="D9" s="1035">
        <f>'数据-汇总表'!E5</f>
        <v>43156.770000000026</v>
      </c>
      <c r="E9" s="269">
        <f>'数据-取费表'!B27</f>
        <v>120</v>
      </c>
      <c r="F9" s="265"/>
      <c r="G9" s="270"/>
    </row>
    <row r="10" spans="1:7" s="258" customFormat="1" ht="13.5" customHeight="1">
      <c r="A10" s="953" t="s">
        <v>800</v>
      </c>
      <c r="B10" s="268" t="s">
        <v>94</v>
      </c>
      <c r="C10" s="269">
        <f>ROUND(D10*E10/10000,0)</f>
        <v>20</v>
      </c>
      <c r="D10" s="1035">
        <f>'数据-汇总表'!E6</f>
        <v>1255.6800000000003</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666</v>
      </c>
      <c r="D19" s="1039">
        <f>'数据-汇总表'!E3</f>
        <v>44412.450000000026</v>
      </c>
      <c r="E19" s="255">
        <f>'数据-取费表'!B31</f>
        <v>150</v>
      </c>
      <c r="F19" s="275"/>
      <c r="G19" s="1" t="s">
        <v>1073</v>
      </c>
    </row>
    <row r="20" spans="1:7" s="258" customFormat="1" ht="13.5" customHeight="1">
      <c r="A20" s="951" t="s">
        <v>1056</v>
      </c>
      <c r="B20" s="254" t="s">
        <v>104</v>
      </c>
      <c r="C20" s="276">
        <f>ROUND((C5+C19)*F20,0)</f>
        <v>430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988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32</v>
      </c>
      <c r="D24" s="282"/>
      <c r="E24" s="282"/>
      <c r="F24" s="283"/>
      <c r="G24" s="284" t="s">
        <v>109</v>
      </c>
    </row>
    <row r="25" spans="1:7" s="258" customFormat="1" ht="24">
      <c r="A25" s="954" t="s">
        <v>792</v>
      </c>
      <c r="B25" s="259" t="s">
        <v>1057</v>
      </c>
      <c r="C25" s="1358">
        <f ca="1">ROUND(IF('数据-取费表'!B22&lt;=1,C20*F22*'数据-取费表'!B23/2,C20*(POWER((1+F22),'数据-取费表'!B23/2)-1)),0)</f>
        <v>10</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1095</v>
      </c>
      <c r="D27" s="279">
        <f>C29</f>
        <v>1E-3</v>
      </c>
      <c r="E27" s="280" t="s">
        <v>126</v>
      </c>
      <c r="F27" s="290">
        <f>'数据-取费表'!Q16</f>
        <v>0.1</v>
      </c>
      <c r="G27" s="291" t="s">
        <v>1068</v>
      </c>
    </row>
    <row r="28" spans="1:7" s="258" customFormat="1" ht="13.5" customHeight="1">
      <c r="A28" s="954" t="s">
        <v>793</v>
      </c>
      <c r="B28" s="292" t="s">
        <v>1061</v>
      </c>
      <c r="C28" s="293">
        <f>ROUND((C5+C19+C20)*F27*'数据-取费表'!B21/'数据-取费表'!B20,0)</f>
        <v>1095</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25975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7621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6473</v>
      </c>
      <c r="D34" s="261"/>
      <c r="E34" s="264"/>
      <c r="F34" s="301">
        <f>IF('数据-取费表'!B24=0,1,'数据-取费表'!N16)</f>
        <v>0.6</v>
      </c>
      <c r="G34" s="263" t="s">
        <v>116</v>
      </c>
    </row>
    <row r="35" spans="1:7" ht="13.5" customHeight="1">
      <c r="A35" s="954" t="s">
        <v>795</v>
      </c>
      <c r="B35" s="259" t="s">
        <v>60</v>
      </c>
      <c r="C35" s="264">
        <f>ROUND(C34*F35,0)</f>
        <v>324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194</v>
      </c>
      <c r="D36" s="264"/>
      <c r="E36" s="264"/>
      <c r="F36" s="303">
        <f>'数据-取费表'!B34</f>
        <v>0.03</v>
      </c>
      <c r="G36" s="304" t="s">
        <v>62</v>
      </c>
    </row>
    <row r="37" spans="1:7" s="302" customFormat="1" ht="13.5" customHeight="1">
      <c r="A37" s="954" t="s">
        <v>797</v>
      </c>
      <c r="B37" s="259" t="s">
        <v>118</v>
      </c>
      <c r="C37" s="293">
        <f>ROUND(E37*D37*F34/10000,0)</f>
        <v>533</v>
      </c>
      <c r="D37" s="261">
        <f>'数据-汇总表'!E3</f>
        <v>44412.450000000026</v>
      </c>
      <c r="E37" s="293">
        <f>'数据-取费表'!B35</f>
        <v>200</v>
      </c>
      <c r="F37" s="303"/>
      <c r="G37" s="305" t="s">
        <v>119</v>
      </c>
    </row>
    <row r="38" spans="1:7" ht="13.5" customHeight="1">
      <c r="A38" s="954" t="s">
        <v>798</v>
      </c>
      <c r="B38" s="259" t="s">
        <v>63</v>
      </c>
      <c r="C38" s="264">
        <f>ROUND(C34*F38,0)</f>
        <v>97</v>
      </c>
      <c r="D38" s="264"/>
      <c r="E38" s="264"/>
      <c r="F38" s="303">
        <f>'数据-取费表'!B36</f>
        <v>1.4999999999999999E-2</v>
      </c>
      <c r="G38" s="263" t="s">
        <v>117</v>
      </c>
    </row>
    <row r="39" spans="1:7" s="258" customFormat="1" ht="13.5" customHeight="1">
      <c r="A39" s="951" t="s">
        <v>782</v>
      </c>
      <c r="B39" s="254" t="s">
        <v>104</v>
      </c>
      <c r="C39" s="276">
        <f>ROUND(C33*F20,0)</f>
        <v>152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183</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179</v>
      </c>
      <c r="D42" s="282"/>
      <c r="E42" s="282"/>
      <c r="F42" s="283"/>
      <c r="G42" s="3250" t="s">
        <v>121</v>
      </c>
    </row>
    <row r="43" spans="1:7" ht="13.5" customHeight="1">
      <c r="A43" s="954" t="s">
        <v>791</v>
      </c>
      <c r="B43" s="259" t="s">
        <v>1063</v>
      </c>
      <c r="C43" s="282">
        <f ca="1">ROUND(IF('数据-取费表'!B22&lt;=1,C39*F22*'数据-取费表'!B21/2,C39*(POWER((1+F22),'数据-取费表'!B21/2)-1)),0)</f>
        <v>4</v>
      </c>
      <c r="D43" s="282"/>
      <c r="E43" s="282"/>
      <c r="F43" s="283"/>
      <c r="G43" s="3251"/>
    </row>
    <row r="44" spans="1:7" ht="13.5" customHeight="1">
      <c r="A44" s="954" t="s">
        <v>792</v>
      </c>
      <c r="B44" s="259" t="s">
        <v>1065</v>
      </c>
      <c r="C44" s="282">
        <f ca="1">ROUND(IF('数据-取费表'!B22&lt;=1,C40*F22*'数据-取费表'!B21/2,C40*(POWER((1+F22),'数据-取费表'!B21/2)-1)),4)</f>
        <v>5.0000000000000001E-4</v>
      </c>
      <c r="D44" s="282"/>
      <c r="E44" s="282"/>
      <c r="F44" s="283"/>
      <c r="G44" s="3252"/>
    </row>
    <row r="45" spans="1:7" s="258" customFormat="1" ht="13.5" customHeight="1">
      <c r="A45" s="951" t="s">
        <v>785</v>
      </c>
      <c r="B45" s="288" t="s">
        <v>112</v>
      </c>
      <c r="C45" s="289">
        <f>C46</f>
        <v>777</v>
      </c>
      <c r="D45" s="279">
        <f>C47</f>
        <v>2E-3</v>
      </c>
      <c r="E45" s="280" t="s">
        <v>129</v>
      </c>
      <c r="F45" s="290"/>
      <c r="G45" s="291" t="s">
        <v>1071</v>
      </c>
    </row>
    <row r="46" spans="1:7" s="258" customFormat="1" ht="13.5" customHeight="1">
      <c r="A46" s="954" t="s">
        <v>793</v>
      </c>
      <c r="B46" s="292" t="s">
        <v>1064</v>
      </c>
      <c r="C46" s="293">
        <f>ROUND((C33+C39)*F27,0)</f>
        <v>777</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9450</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9450</v>
      </c>
      <c r="D51" s="276"/>
      <c r="E51" s="276"/>
      <c r="F51" s="308"/>
      <c r="G51" s="278" t="s">
        <v>64</v>
      </c>
    </row>
    <row r="52" spans="1:7" s="252" customFormat="1" ht="16.5" thickBot="1">
      <c r="A52" s="309" t="s">
        <v>65</v>
      </c>
      <c r="B52" s="310"/>
      <c r="C52" s="311">
        <f ca="1">C31+C51</f>
        <v>35425</v>
      </c>
      <c r="D52" s="310"/>
      <c r="E52" s="310"/>
      <c r="F52" s="310"/>
      <c r="G52" s="312"/>
    </row>
    <row r="55" spans="1:7" ht="15">
      <c r="B55" s="314" t="s">
        <v>66</v>
      </c>
      <c r="C55" s="315"/>
    </row>
    <row r="56" spans="1:7">
      <c r="B56" s="317" t="s">
        <v>67</v>
      </c>
      <c r="C56" s="318">
        <f ca="1">ROUND(C51/C52,3)</f>
        <v>0.26700000000000002</v>
      </c>
    </row>
    <row r="57" spans="1:7">
      <c r="B57" s="317" t="s">
        <v>68</v>
      </c>
      <c r="C57" s="319">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870</v>
      </c>
      <c r="B1" s="3342"/>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35"/>
  <sheetViews>
    <sheetView topLeftCell="H107" workbookViewId="0">
      <selection activeCell="R145" sqref="R145"/>
    </sheetView>
  </sheetViews>
  <sheetFormatPr defaultRowHeight="13.5"/>
  <cols>
    <col min="1" max="3" width="9" style="2958"/>
    <col min="4" max="4" width="10.25" style="2958" customWidth="1"/>
    <col min="5" max="6" width="11" style="2958" customWidth="1"/>
    <col min="7" max="16384" width="9" style="2958"/>
  </cols>
  <sheetData>
    <row r="2" spans="3:21">
      <c r="C2" s="3346" t="s">
        <v>3138</v>
      </c>
      <c r="D2" s="3346"/>
      <c r="E2" s="3346"/>
      <c r="F2" s="3346"/>
      <c r="H2" s="3346" t="s">
        <v>3147</v>
      </c>
      <c r="I2" s="3346"/>
      <c r="J2" s="3346"/>
      <c r="K2" s="3346"/>
      <c r="M2" s="3346" t="s">
        <v>3150</v>
      </c>
      <c r="N2" s="3346"/>
      <c r="O2" s="3346"/>
      <c r="P2" s="3346"/>
      <c r="R2" s="3346" t="s">
        <v>3151</v>
      </c>
      <c r="S2" s="3346"/>
      <c r="T2" s="3346"/>
      <c r="U2" s="3346"/>
    </row>
    <row r="3" spans="3:21">
      <c r="C3" s="2959" t="s">
        <v>3139</v>
      </c>
      <c r="D3" s="2959" t="s">
        <v>3140</v>
      </c>
      <c r="E3" s="2959" t="s">
        <v>3141</v>
      </c>
      <c r="F3" s="2959" t="s">
        <v>3142</v>
      </c>
      <c r="H3" s="2959" t="s">
        <v>3139</v>
      </c>
      <c r="I3" s="2959" t="s">
        <v>3140</v>
      </c>
      <c r="J3" s="2959" t="s">
        <v>3141</v>
      </c>
      <c r="K3" s="2959" t="s">
        <v>3142</v>
      </c>
      <c r="M3" s="2959" t="s">
        <v>3139</v>
      </c>
      <c r="N3" s="2959" t="s">
        <v>3140</v>
      </c>
      <c r="O3" s="2959" t="s">
        <v>3141</v>
      </c>
      <c r="P3" s="2959" t="s">
        <v>3142</v>
      </c>
      <c r="R3" s="2959" t="s">
        <v>3139</v>
      </c>
      <c r="S3" s="2959" t="s">
        <v>3140</v>
      </c>
      <c r="T3" s="2959" t="s">
        <v>3141</v>
      </c>
      <c r="U3" s="2959" t="s">
        <v>3142</v>
      </c>
    </row>
    <row r="4" spans="3:21">
      <c r="C4" s="2959">
        <v>1</v>
      </c>
      <c r="D4" s="2960">
        <v>101</v>
      </c>
      <c r="E4" s="2960">
        <v>97.44</v>
      </c>
      <c r="F4" s="2959" t="s">
        <v>3143</v>
      </c>
      <c r="H4" s="2960">
        <v>-1</v>
      </c>
      <c r="I4" s="2960">
        <v>-101</v>
      </c>
      <c r="J4" s="2960">
        <v>57.27</v>
      </c>
      <c r="K4" s="2959" t="s">
        <v>3148</v>
      </c>
      <c r="M4" s="2960">
        <v>-1</v>
      </c>
      <c r="N4" s="2960">
        <v>-101</v>
      </c>
      <c r="O4" s="2960">
        <v>38.96</v>
      </c>
      <c r="P4" s="2959" t="s">
        <v>3148</v>
      </c>
      <c r="R4" s="2960">
        <v>2</v>
      </c>
      <c r="S4" s="2960">
        <v>201</v>
      </c>
      <c r="T4" s="2960">
        <v>144.26</v>
      </c>
      <c r="U4" s="2959" t="s">
        <v>3143</v>
      </c>
    </row>
    <row r="5" spans="3:21">
      <c r="C5" s="2959">
        <v>1</v>
      </c>
      <c r="D5" s="2960">
        <v>102</v>
      </c>
      <c r="E5" s="2960">
        <v>557.9</v>
      </c>
      <c r="F5" s="2959" t="s">
        <v>3144</v>
      </c>
      <c r="H5" s="2960">
        <v>-1</v>
      </c>
      <c r="I5" s="2960">
        <v>-102</v>
      </c>
      <c r="J5" s="2960">
        <v>73.209999999999994</v>
      </c>
      <c r="K5" s="2959" t="s">
        <v>3148</v>
      </c>
      <c r="M5" s="2960">
        <v>-1</v>
      </c>
      <c r="N5" s="2960">
        <v>-102</v>
      </c>
      <c r="O5" s="2960">
        <v>52.75</v>
      </c>
      <c r="P5" s="2959" t="s">
        <v>3148</v>
      </c>
      <c r="R5" s="2960">
        <v>2</v>
      </c>
      <c r="S5" s="2960">
        <v>202</v>
      </c>
      <c r="T5" s="2960">
        <v>109.32</v>
      </c>
      <c r="U5" s="2959" t="s">
        <v>3143</v>
      </c>
    </row>
    <row r="6" spans="3:21">
      <c r="C6" s="2959">
        <v>1</v>
      </c>
      <c r="D6" s="2960">
        <v>103</v>
      </c>
      <c r="E6" s="2960">
        <v>97.44</v>
      </c>
      <c r="F6" s="2959" t="s">
        <v>3143</v>
      </c>
      <c r="H6" s="2960">
        <v>-1</v>
      </c>
      <c r="I6" s="2960">
        <v>-103</v>
      </c>
      <c r="J6" s="2960">
        <v>106.67</v>
      </c>
      <c r="K6" s="2959" t="s">
        <v>3148</v>
      </c>
      <c r="M6" s="2960">
        <v>-1</v>
      </c>
      <c r="N6" s="2960">
        <v>-103</v>
      </c>
      <c r="O6" s="2960">
        <v>67.61</v>
      </c>
      <c r="P6" s="2959" t="s">
        <v>3148</v>
      </c>
      <c r="R6" s="2960">
        <v>2</v>
      </c>
      <c r="S6" s="2960">
        <v>203</v>
      </c>
      <c r="T6" s="2960">
        <v>109.32</v>
      </c>
      <c r="U6" s="2959" t="s">
        <v>3143</v>
      </c>
    </row>
    <row r="7" spans="3:21">
      <c r="C7" s="2959">
        <v>2</v>
      </c>
      <c r="D7" s="2960">
        <v>201</v>
      </c>
      <c r="E7" s="2960">
        <v>119.95</v>
      </c>
      <c r="F7" s="2959" t="s">
        <v>3144</v>
      </c>
      <c r="H7" s="2960">
        <v>-1</v>
      </c>
      <c r="I7" s="2960">
        <v>-104</v>
      </c>
      <c r="J7" s="2960">
        <v>41.47</v>
      </c>
      <c r="K7" s="2959" t="s">
        <v>3148</v>
      </c>
      <c r="M7" s="2960">
        <v>-1</v>
      </c>
      <c r="N7" s="2960">
        <v>-104</v>
      </c>
      <c r="O7" s="2960">
        <v>44.76</v>
      </c>
      <c r="P7" s="2959" t="s">
        <v>3148</v>
      </c>
      <c r="R7" s="2960">
        <v>2</v>
      </c>
      <c r="S7" s="2960">
        <v>204</v>
      </c>
      <c r="T7" s="2960">
        <v>144.26</v>
      </c>
      <c r="U7" s="2959" t="s">
        <v>3143</v>
      </c>
    </row>
    <row r="8" spans="3:21">
      <c r="C8" s="2959">
        <v>2</v>
      </c>
      <c r="D8" s="2960">
        <v>202</v>
      </c>
      <c r="E8" s="2960">
        <v>119.95</v>
      </c>
      <c r="F8" s="2959" t="s">
        <v>3143</v>
      </c>
      <c r="H8" s="2960">
        <v>-1</v>
      </c>
      <c r="I8" s="2960">
        <v>-105</v>
      </c>
      <c r="J8" s="2960">
        <v>82.66</v>
      </c>
      <c r="K8" s="2959" t="s">
        <v>3148</v>
      </c>
      <c r="M8" s="2960">
        <v>-1</v>
      </c>
      <c r="N8" s="2960">
        <v>-105</v>
      </c>
      <c r="O8" s="2960">
        <v>83.29</v>
      </c>
      <c r="P8" s="2959" t="s">
        <v>3148</v>
      </c>
      <c r="R8" s="2960">
        <v>3</v>
      </c>
      <c r="S8" s="2960">
        <v>301</v>
      </c>
      <c r="T8" s="2960">
        <v>144.26</v>
      </c>
      <c r="U8" s="2959" t="s">
        <v>3143</v>
      </c>
    </row>
    <row r="9" spans="3:21">
      <c r="C9" s="2959">
        <v>3</v>
      </c>
      <c r="D9" s="2960">
        <v>301</v>
      </c>
      <c r="E9" s="2960">
        <v>123.3</v>
      </c>
      <c r="F9" s="2959" t="s">
        <v>3144</v>
      </c>
      <c r="H9" s="2960">
        <v>-1</v>
      </c>
      <c r="I9" s="2960">
        <v>-106</v>
      </c>
      <c r="J9" s="2960">
        <v>54.3</v>
      </c>
      <c r="K9" s="2959" t="s">
        <v>3148</v>
      </c>
      <c r="M9" s="2960">
        <v>-1</v>
      </c>
      <c r="N9" s="2960">
        <v>-106</v>
      </c>
      <c r="O9" s="2960">
        <v>105.76</v>
      </c>
      <c r="P9" s="2959" t="s">
        <v>3148</v>
      </c>
      <c r="R9" s="3016">
        <v>3</v>
      </c>
      <c r="S9" s="3016">
        <v>302</v>
      </c>
      <c r="T9" s="3016">
        <v>109.32</v>
      </c>
      <c r="U9" s="2961" t="s">
        <v>3387</v>
      </c>
    </row>
    <row r="10" spans="3:21">
      <c r="C10" s="2959">
        <v>3</v>
      </c>
      <c r="D10" s="2960">
        <v>302</v>
      </c>
      <c r="E10" s="2960">
        <v>123.3</v>
      </c>
      <c r="F10" s="2959" t="s">
        <v>3143</v>
      </c>
      <c r="H10" s="2960">
        <v>-1</v>
      </c>
      <c r="I10" s="2960">
        <v>-107</v>
      </c>
      <c r="J10" s="2960">
        <v>48.1</v>
      </c>
      <c r="K10" s="2959" t="s">
        <v>3148</v>
      </c>
      <c r="M10" s="2960">
        <v>-1</v>
      </c>
      <c r="N10" s="2960">
        <v>-107</v>
      </c>
      <c r="O10" s="2960">
        <v>104.24</v>
      </c>
      <c r="P10" s="2959" t="s">
        <v>3148</v>
      </c>
      <c r="R10" s="2960">
        <v>3</v>
      </c>
      <c r="S10" s="2960">
        <v>303</v>
      </c>
      <c r="T10" s="2960">
        <v>109.32</v>
      </c>
      <c r="U10" s="2959" t="s">
        <v>3143</v>
      </c>
    </row>
    <row r="11" spans="3:21">
      <c r="C11" s="2959">
        <v>4</v>
      </c>
      <c r="D11" s="2960">
        <v>401</v>
      </c>
      <c r="E11" s="2960">
        <v>123.43</v>
      </c>
      <c r="F11" s="2959" t="s">
        <v>3144</v>
      </c>
      <c r="H11" s="2960">
        <v>-1</v>
      </c>
      <c r="I11" s="2960">
        <v>-108</v>
      </c>
      <c r="J11" s="2960">
        <v>63.38</v>
      </c>
      <c r="K11" s="2959" t="s">
        <v>3148</v>
      </c>
      <c r="M11" s="2960">
        <v>-1</v>
      </c>
      <c r="N11" s="2960">
        <v>-108</v>
      </c>
      <c r="O11" s="2960">
        <v>128.59</v>
      </c>
      <c r="P11" s="2959" t="s">
        <v>3148</v>
      </c>
      <c r="R11" s="2960">
        <v>3</v>
      </c>
      <c r="S11" s="2960">
        <v>304</v>
      </c>
      <c r="T11" s="2960">
        <v>144.26</v>
      </c>
      <c r="U11" s="2959" t="s">
        <v>3143</v>
      </c>
    </row>
    <row r="12" spans="3:21">
      <c r="C12" s="2959">
        <v>4</v>
      </c>
      <c r="D12" s="2960">
        <v>402</v>
      </c>
      <c r="E12" s="2960">
        <v>123.43</v>
      </c>
      <c r="F12" s="2959" t="s">
        <v>3143</v>
      </c>
      <c r="H12" s="2960">
        <v>-1</v>
      </c>
      <c r="I12" s="2960">
        <v>-109</v>
      </c>
      <c r="J12" s="2960">
        <v>102.66</v>
      </c>
      <c r="K12" s="2959" t="s">
        <v>3148</v>
      </c>
      <c r="M12" s="2960">
        <v>1</v>
      </c>
      <c r="N12" s="2960">
        <v>101</v>
      </c>
      <c r="O12" s="2960">
        <v>137.91999999999999</v>
      </c>
      <c r="P12" s="2959" t="s">
        <v>3143</v>
      </c>
      <c r="R12" s="2959">
        <v>4</v>
      </c>
      <c r="S12" s="2960">
        <v>401</v>
      </c>
      <c r="T12" s="2960">
        <v>144.26</v>
      </c>
      <c r="U12" s="2959" t="s">
        <v>3143</v>
      </c>
    </row>
    <row r="13" spans="3:21">
      <c r="C13" s="2959">
        <v>4</v>
      </c>
      <c r="D13" s="2960">
        <v>403</v>
      </c>
      <c r="E13" s="2960">
        <v>100.56</v>
      </c>
      <c r="F13" s="2959" t="s">
        <v>3144</v>
      </c>
      <c r="H13" s="3016">
        <v>1</v>
      </c>
      <c r="I13" s="3016">
        <v>101</v>
      </c>
      <c r="J13" s="3016">
        <v>118.86</v>
      </c>
      <c r="K13" s="2961" t="s">
        <v>3388</v>
      </c>
      <c r="M13" s="2960">
        <v>1</v>
      </c>
      <c r="N13" s="2960">
        <v>102</v>
      </c>
      <c r="O13" s="2960">
        <v>109.24</v>
      </c>
      <c r="P13" s="2959" t="s">
        <v>3143</v>
      </c>
      <c r="R13" s="2959">
        <v>4</v>
      </c>
      <c r="S13" s="2960">
        <v>402</v>
      </c>
      <c r="T13" s="2960">
        <v>109.32</v>
      </c>
      <c r="U13" s="2959" t="s">
        <v>3143</v>
      </c>
    </row>
    <row r="14" spans="3:21">
      <c r="C14" s="2959">
        <v>4</v>
      </c>
      <c r="D14" s="2960">
        <v>404</v>
      </c>
      <c r="E14" s="2960">
        <v>100.56</v>
      </c>
      <c r="F14" s="2959" t="s">
        <v>3143</v>
      </c>
      <c r="H14" s="3016">
        <v>1</v>
      </c>
      <c r="I14" s="3016">
        <v>102</v>
      </c>
      <c r="J14" s="3016">
        <v>118.86</v>
      </c>
      <c r="K14" s="2961" t="s">
        <v>3388</v>
      </c>
      <c r="M14" s="3016">
        <v>1</v>
      </c>
      <c r="N14" s="3016">
        <v>103</v>
      </c>
      <c r="O14" s="3016">
        <v>109.24</v>
      </c>
      <c r="P14" s="2961" t="s">
        <v>3387</v>
      </c>
      <c r="R14" s="2959">
        <v>4</v>
      </c>
      <c r="S14" s="2960">
        <v>403</v>
      </c>
      <c r="T14" s="2960">
        <v>109.32</v>
      </c>
      <c r="U14" s="2959" t="s">
        <v>3143</v>
      </c>
    </row>
    <row r="15" spans="3:21">
      <c r="C15" s="2960">
        <v>5</v>
      </c>
      <c r="D15" s="2960">
        <v>501</v>
      </c>
      <c r="E15" s="2960">
        <v>123.43</v>
      </c>
      <c r="F15" s="2959" t="s">
        <v>3144</v>
      </c>
      <c r="H15" s="3016">
        <v>1</v>
      </c>
      <c r="I15" s="3016">
        <v>103</v>
      </c>
      <c r="J15" s="3016">
        <v>99.69</v>
      </c>
      <c r="K15" s="2961" t="s">
        <v>3388</v>
      </c>
      <c r="M15" s="2960">
        <v>1</v>
      </c>
      <c r="N15" s="2960">
        <v>104</v>
      </c>
      <c r="O15" s="2960">
        <v>137.91999999999999</v>
      </c>
      <c r="P15" s="2959" t="s">
        <v>3143</v>
      </c>
      <c r="R15" s="2959">
        <v>4</v>
      </c>
      <c r="S15" s="2960">
        <v>404</v>
      </c>
      <c r="T15" s="2960">
        <v>144.26</v>
      </c>
      <c r="U15" s="2959" t="s">
        <v>3143</v>
      </c>
    </row>
    <row r="16" spans="3:21">
      <c r="C16" s="2960">
        <v>5</v>
      </c>
      <c r="D16" s="2960">
        <v>502</v>
      </c>
      <c r="E16" s="2960">
        <v>123.43</v>
      </c>
      <c r="F16" s="2959" t="s">
        <v>3143</v>
      </c>
      <c r="H16" s="3016">
        <v>1</v>
      </c>
      <c r="I16" s="3016">
        <v>104</v>
      </c>
      <c r="J16" s="3016">
        <v>99.69</v>
      </c>
      <c r="K16" s="2961" t="s">
        <v>3388</v>
      </c>
      <c r="M16" s="2960">
        <v>2</v>
      </c>
      <c r="N16" s="2960">
        <v>201</v>
      </c>
      <c r="O16" s="2960">
        <v>137.91999999999999</v>
      </c>
      <c r="P16" s="2959" t="s">
        <v>3143</v>
      </c>
      <c r="R16" s="2960">
        <v>5</v>
      </c>
      <c r="S16" s="2960">
        <v>501</v>
      </c>
      <c r="T16" s="2960">
        <v>144.26</v>
      </c>
      <c r="U16" s="2959" t="s">
        <v>3143</v>
      </c>
    </row>
    <row r="17" spans="3:21">
      <c r="C17" s="2960">
        <v>5</v>
      </c>
      <c r="D17" s="2960">
        <v>503</v>
      </c>
      <c r="E17" s="2960">
        <v>100.56</v>
      </c>
      <c r="F17" s="2959" t="s">
        <v>3144</v>
      </c>
      <c r="H17" s="3016">
        <v>2</v>
      </c>
      <c r="I17" s="3016">
        <v>201</v>
      </c>
      <c r="J17" s="3016">
        <v>119.04</v>
      </c>
      <c r="K17" s="2961" t="s">
        <v>3387</v>
      </c>
      <c r="M17" s="2960">
        <v>2</v>
      </c>
      <c r="N17" s="2960">
        <v>202</v>
      </c>
      <c r="O17" s="2960">
        <v>109.24</v>
      </c>
      <c r="P17" s="2959" t="s">
        <v>3143</v>
      </c>
      <c r="R17" s="2960">
        <v>5</v>
      </c>
      <c r="S17" s="2960">
        <v>502</v>
      </c>
      <c r="T17" s="2960">
        <v>109.32</v>
      </c>
      <c r="U17" s="2959" t="s">
        <v>3143</v>
      </c>
    </row>
    <row r="18" spans="3:21">
      <c r="C18" s="2960">
        <v>5</v>
      </c>
      <c r="D18" s="2960">
        <v>504</v>
      </c>
      <c r="E18" s="2960">
        <v>100.56</v>
      </c>
      <c r="F18" s="2959" t="s">
        <v>3143</v>
      </c>
      <c r="H18" s="2960">
        <v>2</v>
      </c>
      <c r="I18" s="2960">
        <v>202</v>
      </c>
      <c r="J18" s="2960">
        <v>119.04</v>
      </c>
      <c r="K18" s="2959" t="s">
        <v>3143</v>
      </c>
      <c r="M18" s="2960">
        <v>2</v>
      </c>
      <c r="N18" s="2960">
        <v>203</v>
      </c>
      <c r="O18" s="2960">
        <v>109.24</v>
      </c>
      <c r="P18" s="2959" t="s">
        <v>3143</v>
      </c>
      <c r="R18" s="2960">
        <v>5</v>
      </c>
      <c r="S18" s="2960">
        <v>503</v>
      </c>
      <c r="T18" s="2960">
        <v>109.32</v>
      </c>
      <c r="U18" s="2959" t="s">
        <v>3143</v>
      </c>
    </row>
    <row r="19" spans="3:21">
      <c r="C19" s="2960">
        <v>6</v>
      </c>
      <c r="D19" s="2960">
        <v>601</v>
      </c>
      <c r="E19" s="2960">
        <v>123.43</v>
      </c>
      <c r="F19" s="2959" t="s">
        <v>3144</v>
      </c>
      <c r="H19" s="3016">
        <v>2</v>
      </c>
      <c r="I19" s="3016">
        <v>203</v>
      </c>
      <c r="J19" s="3016">
        <v>99.69</v>
      </c>
      <c r="K19" s="2961" t="s">
        <v>3387</v>
      </c>
      <c r="M19" s="2960">
        <v>2</v>
      </c>
      <c r="N19" s="2960">
        <v>204</v>
      </c>
      <c r="O19" s="2960">
        <v>137.91999999999999</v>
      </c>
      <c r="P19" s="2959" t="s">
        <v>3143</v>
      </c>
      <c r="R19" s="2960">
        <v>5</v>
      </c>
      <c r="S19" s="2960">
        <v>504</v>
      </c>
      <c r="T19" s="2960">
        <v>144.26</v>
      </c>
      <c r="U19" s="2959" t="s">
        <v>3143</v>
      </c>
    </row>
    <row r="20" spans="3:21">
      <c r="C20" s="2960">
        <v>6</v>
      </c>
      <c r="D20" s="2960">
        <v>602</v>
      </c>
      <c r="E20" s="2960">
        <v>123.43</v>
      </c>
      <c r="F20" s="2959" t="s">
        <v>3143</v>
      </c>
      <c r="H20" s="3016">
        <v>2</v>
      </c>
      <c r="I20" s="3016">
        <v>204</v>
      </c>
      <c r="J20" s="3016">
        <v>99.69</v>
      </c>
      <c r="K20" s="2961" t="s">
        <v>3387</v>
      </c>
      <c r="M20" s="2960">
        <v>3</v>
      </c>
      <c r="N20" s="2960">
        <v>301</v>
      </c>
      <c r="O20" s="2960">
        <v>137.91999999999999</v>
      </c>
      <c r="P20" s="2959" t="s">
        <v>3143</v>
      </c>
      <c r="R20" s="2960">
        <v>6</v>
      </c>
      <c r="S20" s="2960">
        <v>601</v>
      </c>
      <c r="T20" s="2960">
        <v>144.26</v>
      </c>
      <c r="U20" s="2959" t="s">
        <v>3143</v>
      </c>
    </row>
    <row r="21" spans="3:21">
      <c r="C21" s="2960">
        <v>6</v>
      </c>
      <c r="D21" s="2960">
        <v>603</v>
      </c>
      <c r="E21" s="2960">
        <v>100.56</v>
      </c>
      <c r="F21" s="2959" t="s">
        <v>3144</v>
      </c>
      <c r="H21" s="2960">
        <v>3</v>
      </c>
      <c r="I21" s="2960">
        <v>301</v>
      </c>
      <c r="J21" s="2960">
        <v>122.35</v>
      </c>
      <c r="K21" s="2959" t="s">
        <v>3143</v>
      </c>
      <c r="M21" s="2960">
        <v>3</v>
      </c>
      <c r="N21" s="2960">
        <v>302</v>
      </c>
      <c r="O21" s="2960">
        <v>109.24</v>
      </c>
      <c r="P21" s="2959" t="s">
        <v>3143</v>
      </c>
      <c r="R21" s="2960">
        <v>6</v>
      </c>
      <c r="S21" s="2960">
        <v>602</v>
      </c>
      <c r="T21" s="2960">
        <v>109.32</v>
      </c>
      <c r="U21" s="2959" t="s">
        <v>3143</v>
      </c>
    </row>
    <row r="22" spans="3:21">
      <c r="C22" s="3016">
        <v>6</v>
      </c>
      <c r="D22" s="3016">
        <v>604</v>
      </c>
      <c r="E22" s="3016">
        <v>100.56</v>
      </c>
      <c r="F22" s="2961" t="s">
        <v>3387</v>
      </c>
      <c r="H22" s="2960">
        <v>3</v>
      </c>
      <c r="I22" s="2960">
        <v>302</v>
      </c>
      <c r="J22" s="2960">
        <v>122.35</v>
      </c>
      <c r="K22" s="2959" t="s">
        <v>3143</v>
      </c>
      <c r="M22" s="2960">
        <v>3</v>
      </c>
      <c r="N22" s="2960">
        <v>303</v>
      </c>
      <c r="O22" s="2960">
        <v>109.24</v>
      </c>
      <c r="P22" s="2959" t="s">
        <v>3143</v>
      </c>
      <c r="R22" s="2960">
        <v>6</v>
      </c>
      <c r="S22" s="2960">
        <v>603</v>
      </c>
      <c r="T22" s="2960">
        <v>109.32</v>
      </c>
      <c r="U22" s="2959" t="s">
        <v>3143</v>
      </c>
    </row>
    <row r="23" spans="3:21">
      <c r="C23" s="2960">
        <v>7</v>
      </c>
      <c r="D23" s="2960">
        <v>701</v>
      </c>
      <c r="E23" s="2960">
        <v>123.43</v>
      </c>
      <c r="F23" s="2959" t="s">
        <v>3144</v>
      </c>
      <c r="H23" s="2960">
        <v>3</v>
      </c>
      <c r="I23" s="2960">
        <v>303</v>
      </c>
      <c r="J23" s="2960">
        <v>99.69</v>
      </c>
      <c r="K23" s="2959" t="s">
        <v>3143</v>
      </c>
      <c r="M23" s="2960">
        <v>3</v>
      </c>
      <c r="N23" s="2960">
        <v>304</v>
      </c>
      <c r="O23" s="2960">
        <v>137.91999999999999</v>
      </c>
      <c r="P23" s="2959" t="s">
        <v>3143</v>
      </c>
      <c r="R23" s="2960">
        <v>6</v>
      </c>
      <c r="S23" s="2960">
        <v>604</v>
      </c>
      <c r="T23" s="2960">
        <v>144.26</v>
      </c>
      <c r="U23" s="2959" t="s">
        <v>3143</v>
      </c>
    </row>
    <row r="24" spans="3:21">
      <c r="C24" s="2960">
        <v>7</v>
      </c>
      <c r="D24" s="2960">
        <v>702</v>
      </c>
      <c r="E24" s="2960">
        <v>123.43</v>
      </c>
      <c r="F24" s="2959" t="s">
        <v>3143</v>
      </c>
      <c r="H24" s="3016">
        <v>3</v>
      </c>
      <c r="I24" s="3016">
        <v>304</v>
      </c>
      <c r="J24" s="3016">
        <v>99.69</v>
      </c>
      <c r="K24" s="2961" t="s">
        <v>3387</v>
      </c>
      <c r="M24" s="2959">
        <v>4</v>
      </c>
      <c r="N24" s="2960">
        <v>401</v>
      </c>
      <c r="O24" s="2960">
        <v>137.91999999999999</v>
      </c>
      <c r="P24" s="2959" t="s">
        <v>3143</v>
      </c>
      <c r="R24" s="2960">
        <v>7</v>
      </c>
      <c r="S24" s="2960">
        <v>701</v>
      </c>
      <c r="T24" s="2960">
        <v>144.26</v>
      </c>
      <c r="U24" s="2959" t="s">
        <v>3143</v>
      </c>
    </row>
    <row r="25" spans="3:21">
      <c r="C25" s="2960">
        <v>7</v>
      </c>
      <c r="D25" s="2960">
        <v>703</v>
      </c>
      <c r="E25" s="2960">
        <v>100.56</v>
      </c>
      <c r="F25" s="2959" t="s">
        <v>3144</v>
      </c>
      <c r="H25" s="2959">
        <v>4</v>
      </c>
      <c r="I25" s="2960">
        <v>401</v>
      </c>
      <c r="J25" s="2960">
        <v>122.35</v>
      </c>
      <c r="K25" s="2959" t="s">
        <v>3143</v>
      </c>
      <c r="M25" s="2959">
        <v>4</v>
      </c>
      <c r="N25" s="2960">
        <v>402</v>
      </c>
      <c r="O25" s="2960">
        <v>109.24</v>
      </c>
      <c r="P25" s="2959" t="s">
        <v>3143</v>
      </c>
      <c r="R25" s="3016">
        <v>7</v>
      </c>
      <c r="S25" s="3016">
        <v>702</v>
      </c>
      <c r="T25" s="3016">
        <v>109.32</v>
      </c>
      <c r="U25" s="2961" t="s">
        <v>3387</v>
      </c>
    </row>
    <row r="26" spans="3:21">
      <c r="C26" s="2960">
        <v>7</v>
      </c>
      <c r="D26" s="2960">
        <v>704</v>
      </c>
      <c r="E26" s="2960">
        <v>100.56</v>
      </c>
      <c r="F26" s="2959" t="s">
        <v>3143</v>
      </c>
      <c r="H26" s="2959">
        <v>4</v>
      </c>
      <c r="I26" s="2960">
        <v>402</v>
      </c>
      <c r="J26" s="2960">
        <v>122.35</v>
      </c>
      <c r="K26" s="2959" t="s">
        <v>3143</v>
      </c>
      <c r="M26" s="2959">
        <v>4</v>
      </c>
      <c r="N26" s="2960">
        <v>403</v>
      </c>
      <c r="O26" s="2960">
        <v>109.24</v>
      </c>
      <c r="P26" s="2959" t="s">
        <v>3143</v>
      </c>
      <c r="R26" s="2960">
        <v>7</v>
      </c>
      <c r="S26" s="2960">
        <v>703</v>
      </c>
      <c r="T26" s="2960">
        <v>109.32</v>
      </c>
      <c r="U26" s="2959" t="s">
        <v>3143</v>
      </c>
    </row>
    <row r="27" spans="3:21">
      <c r="C27" s="2960">
        <v>8</v>
      </c>
      <c r="D27" s="2960">
        <v>801</v>
      </c>
      <c r="E27" s="2960">
        <v>123.43</v>
      </c>
      <c r="F27" s="2959" t="s">
        <v>3144</v>
      </c>
      <c r="H27" s="2959">
        <v>4</v>
      </c>
      <c r="I27" s="2960">
        <v>403</v>
      </c>
      <c r="J27" s="2960">
        <v>99.69</v>
      </c>
      <c r="K27" s="2959" t="s">
        <v>3143</v>
      </c>
      <c r="M27" s="2959">
        <v>4</v>
      </c>
      <c r="N27" s="2960">
        <v>404</v>
      </c>
      <c r="O27" s="2960">
        <v>137.91999999999999</v>
      </c>
      <c r="P27" s="2959" t="s">
        <v>3143</v>
      </c>
      <c r="R27" s="2960">
        <v>7</v>
      </c>
      <c r="S27" s="2960">
        <v>704</v>
      </c>
      <c r="T27" s="2960">
        <v>144.26</v>
      </c>
      <c r="U27" s="2959" t="s">
        <v>3143</v>
      </c>
    </row>
    <row r="28" spans="3:21">
      <c r="C28" s="2960">
        <v>8</v>
      </c>
      <c r="D28" s="2960">
        <v>802</v>
      </c>
      <c r="E28" s="2960">
        <v>123.43</v>
      </c>
      <c r="F28" s="2959" t="s">
        <v>3143</v>
      </c>
      <c r="H28" s="2959">
        <v>4</v>
      </c>
      <c r="I28" s="2960">
        <v>404</v>
      </c>
      <c r="J28" s="2960">
        <v>99.69</v>
      </c>
      <c r="K28" s="2959" t="s">
        <v>3143</v>
      </c>
      <c r="M28" s="2960">
        <v>5</v>
      </c>
      <c r="N28" s="2960">
        <v>501</v>
      </c>
      <c r="O28" s="2960">
        <v>137.91999999999999</v>
      </c>
      <c r="P28" s="2959" t="s">
        <v>3143</v>
      </c>
      <c r="R28" s="2960">
        <v>8</v>
      </c>
      <c r="S28" s="2960">
        <v>801</v>
      </c>
      <c r="T28" s="2960">
        <v>144.26</v>
      </c>
      <c r="U28" s="2959" t="s">
        <v>3143</v>
      </c>
    </row>
    <row r="29" spans="3:21">
      <c r="C29" s="2960">
        <v>8</v>
      </c>
      <c r="D29" s="2960">
        <v>803</v>
      </c>
      <c r="E29" s="2960">
        <v>100.56</v>
      </c>
      <c r="F29" s="2959" t="s">
        <v>3144</v>
      </c>
      <c r="H29" s="2960">
        <v>5</v>
      </c>
      <c r="I29" s="2960">
        <v>501</v>
      </c>
      <c r="J29" s="2960">
        <v>122.35</v>
      </c>
      <c r="K29" s="2959" t="s">
        <v>3143</v>
      </c>
      <c r="M29" s="2960">
        <v>5</v>
      </c>
      <c r="N29" s="2960">
        <v>502</v>
      </c>
      <c r="O29" s="2960">
        <v>109.24</v>
      </c>
      <c r="P29" s="2959" t="s">
        <v>3143</v>
      </c>
      <c r="R29" s="2960">
        <v>8</v>
      </c>
      <c r="S29" s="2960">
        <v>802</v>
      </c>
      <c r="T29" s="2960">
        <v>109.32</v>
      </c>
      <c r="U29" s="2959" t="s">
        <v>3143</v>
      </c>
    </row>
    <row r="30" spans="3:21">
      <c r="C30" s="2960">
        <v>8</v>
      </c>
      <c r="D30" s="2960">
        <v>804</v>
      </c>
      <c r="E30" s="2960">
        <v>100.56</v>
      </c>
      <c r="F30" s="2959" t="s">
        <v>3143</v>
      </c>
      <c r="H30" s="2960">
        <v>5</v>
      </c>
      <c r="I30" s="2960">
        <v>502</v>
      </c>
      <c r="J30" s="2960">
        <v>122.35</v>
      </c>
      <c r="K30" s="2959" t="s">
        <v>3143</v>
      </c>
      <c r="M30" s="3016">
        <v>5</v>
      </c>
      <c r="N30" s="3016">
        <v>503</v>
      </c>
      <c r="O30" s="3016">
        <v>109.24</v>
      </c>
      <c r="P30" s="2961" t="s">
        <v>3387</v>
      </c>
      <c r="R30" s="3016">
        <v>8</v>
      </c>
      <c r="S30" s="3016">
        <v>803</v>
      </c>
      <c r="T30" s="3016">
        <v>109.32</v>
      </c>
      <c r="U30" s="2961" t="s">
        <v>3387</v>
      </c>
    </row>
    <row r="31" spans="3:21">
      <c r="C31" s="2960">
        <v>9</v>
      </c>
      <c r="D31" s="2960">
        <v>901</v>
      </c>
      <c r="E31" s="2960">
        <v>123.43</v>
      </c>
      <c r="F31" s="2959" t="s">
        <v>3144</v>
      </c>
      <c r="H31" s="3016">
        <v>5</v>
      </c>
      <c r="I31" s="3016">
        <v>503</v>
      </c>
      <c r="J31" s="3016">
        <v>99.69</v>
      </c>
      <c r="K31" s="2961" t="s">
        <v>3387</v>
      </c>
      <c r="M31" s="2960">
        <v>5</v>
      </c>
      <c r="N31" s="2960">
        <v>504</v>
      </c>
      <c r="O31" s="2960">
        <v>137.91999999999999</v>
      </c>
      <c r="P31" s="2959" t="s">
        <v>3143</v>
      </c>
      <c r="R31" s="2960">
        <v>8</v>
      </c>
      <c r="S31" s="2960">
        <v>804</v>
      </c>
      <c r="T31" s="2960">
        <v>144.26</v>
      </c>
      <c r="U31" s="2959" t="s">
        <v>3143</v>
      </c>
    </row>
    <row r="32" spans="3:21">
      <c r="C32" s="2960">
        <v>9</v>
      </c>
      <c r="D32" s="2960">
        <v>902</v>
      </c>
      <c r="E32" s="2960">
        <v>123.43</v>
      </c>
      <c r="F32" s="2959" t="s">
        <v>3143</v>
      </c>
      <c r="H32" s="3016">
        <v>5</v>
      </c>
      <c r="I32" s="3016">
        <v>504</v>
      </c>
      <c r="J32" s="3016">
        <v>99.69</v>
      </c>
      <c r="K32" s="2961" t="s">
        <v>3387</v>
      </c>
      <c r="M32" s="2960">
        <v>6</v>
      </c>
      <c r="N32" s="2960">
        <v>601</v>
      </c>
      <c r="O32" s="2960">
        <v>137.91999999999999</v>
      </c>
      <c r="P32" s="2959" t="s">
        <v>3143</v>
      </c>
      <c r="R32" s="2960">
        <v>9</v>
      </c>
      <c r="S32" s="2960">
        <v>901</v>
      </c>
      <c r="T32" s="2960">
        <v>144.26</v>
      </c>
      <c r="U32" s="2959" t="s">
        <v>3143</v>
      </c>
    </row>
    <row r="33" spans="3:21">
      <c r="C33" s="2960">
        <v>9</v>
      </c>
      <c r="D33" s="2960">
        <v>903</v>
      </c>
      <c r="E33" s="2960">
        <v>100.56</v>
      </c>
      <c r="F33" s="2959" t="s">
        <v>3144</v>
      </c>
      <c r="H33" s="3016">
        <v>6</v>
      </c>
      <c r="I33" s="3016">
        <v>601</v>
      </c>
      <c r="J33" s="3016">
        <v>122.35</v>
      </c>
      <c r="K33" s="2961" t="s">
        <v>3387</v>
      </c>
      <c r="M33" s="2960">
        <v>6</v>
      </c>
      <c r="N33" s="2960">
        <v>602</v>
      </c>
      <c r="O33" s="2960">
        <v>109.24</v>
      </c>
      <c r="P33" s="2959" t="s">
        <v>3143</v>
      </c>
      <c r="R33" s="2960">
        <v>9</v>
      </c>
      <c r="S33" s="2960">
        <v>902</v>
      </c>
      <c r="T33" s="2960">
        <v>109.32</v>
      </c>
      <c r="U33" s="2959" t="s">
        <v>3143</v>
      </c>
    </row>
    <row r="34" spans="3:21">
      <c r="C34" s="3016">
        <v>9</v>
      </c>
      <c r="D34" s="3016">
        <v>904</v>
      </c>
      <c r="E34" s="3016">
        <v>100.56</v>
      </c>
      <c r="F34" s="2961" t="s">
        <v>3387</v>
      </c>
      <c r="H34" s="2960">
        <v>6</v>
      </c>
      <c r="I34" s="2960">
        <v>602</v>
      </c>
      <c r="J34" s="2960">
        <v>122.35</v>
      </c>
      <c r="K34" s="2959" t="s">
        <v>3143</v>
      </c>
      <c r="M34" s="3016">
        <v>6</v>
      </c>
      <c r="N34" s="3016">
        <v>603</v>
      </c>
      <c r="O34" s="3016">
        <v>109.24</v>
      </c>
      <c r="P34" s="2961" t="s">
        <v>3387</v>
      </c>
      <c r="R34" s="3016">
        <v>9</v>
      </c>
      <c r="S34" s="3016">
        <v>903</v>
      </c>
      <c r="T34" s="3016">
        <v>109.32</v>
      </c>
      <c r="U34" s="2961" t="s">
        <v>3143</v>
      </c>
    </row>
    <row r="35" spans="3:21">
      <c r="C35" s="2960">
        <v>10</v>
      </c>
      <c r="D35" s="2960">
        <v>1001</v>
      </c>
      <c r="E35" s="2960">
        <v>123.43</v>
      </c>
      <c r="F35" s="2959" t="s">
        <v>3144</v>
      </c>
      <c r="H35" s="3016">
        <v>6</v>
      </c>
      <c r="I35" s="3016">
        <v>603</v>
      </c>
      <c r="J35" s="3016">
        <v>99.69</v>
      </c>
      <c r="K35" s="2961" t="s">
        <v>3387</v>
      </c>
      <c r="M35" s="2960">
        <v>6</v>
      </c>
      <c r="N35" s="2960">
        <v>604</v>
      </c>
      <c r="O35" s="2960">
        <v>137.91999999999999</v>
      </c>
      <c r="P35" s="2959" t="s">
        <v>3143</v>
      </c>
      <c r="R35" s="2960">
        <v>9</v>
      </c>
      <c r="S35" s="2960">
        <v>904</v>
      </c>
      <c r="T35" s="2960">
        <v>144.26</v>
      </c>
      <c r="U35" s="2959" t="s">
        <v>3143</v>
      </c>
    </row>
    <row r="36" spans="3:21">
      <c r="C36" s="2960">
        <v>10</v>
      </c>
      <c r="D36" s="2960">
        <v>1002</v>
      </c>
      <c r="E36" s="2960">
        <v>123.43</v>
      </c>
      <c r="F36" s="2959" t="s">
        <v>3143</v>
      </c>
      <c r="H36" s="3016">
        <v>6</v>
      </c>
      <c r="I36" s="3016">
        <v>604</v>
      </c>
      <c r="J36" s="3016">
        <v>99.69</v>
      </c>
      <c r="K36" s="2961" t="s">
        <v>3387</v>
      </c>
      <c r="M36" s="2960">
        <v>7</v>
      </c>
      <c r="N36" s="2960">
        <v>701</v>
      </c>
      <c r="O36" s="2960">
        <v>137.91999999999999</v>
      </c>
      <c r="P36" s="2959" t="s">
        <v>3143</v>
      </c>
      <c r="R36" s="2960">
        <v>10</v>
      </c>
      <c r="S36" s="2960">
        <v>1001</v>
      </c>
      <c r="T36" s="2960">
        <v>144.26</v>
      </c>
      <c r="U36" s="2959" t="s">
        <v>3143</v>
      </c>
    </row>
    <row r="37" spans="3:21">
      <c r="C37" s="2960">
        <v>10</v>
      </c>
      <c r="D37" s="2960">
        <v>1003</v>
      </c>
      <c r="E37" s="2960">
        <v>100.56</v>
      </c>
      <c r="F37" s="2959" t="s">
        <v>3144</v>
      </c>
      <c r="H37" s="3016">
        <v>7</v>
      </c>
      <c r="I37" s="3016">
        <v>701</v>
      </c>
      <c r="J37" s="3016">
        <v>122.35</v>
      </c>
      <c r="K37" s="2961" t="s">
        <v>3387</v>
      </c>
      <c r="M37" s="2960">
        <v>7</v>
      </c>
      <c r="N37" s="2960">
        <v>702</v>
      </c>
      <c r="O37" s="2960">
        <v>109.24</v>
      </c>
      <c r="P37" s="2959" t="s">
        <v>3143</v>
      </c>
      <c r="R37" s="2960">
        <v>10</v>
      </c>
      <c r="S37" s="2960">
        <v>1002</v>
      </c>
      <c r="T37" s="2960">
        <v>109.32</v>
      </c>
      <c r="U37" s="2959" t="s">
        <v>3143</v>
      </c>
    </row>
    <row r="38" spans="3:21">
      <c r="C38" s="2960">
        <v>10</v>
      </c>
      <c r="D38" s="2960">
        <v>1004</v>
      </c>
      <c r="E38" s="2960">
        <v>100.56</v>
      </c>
      <c r="F38" s="2959" t="s">
        <v>3143</v>
      </c>
      <c r="H38" s="2960">
        <v>7</v>
      </c>
      <c r="I38" s="2960">
        <v>702</v>
      </c>
      <c r="J38" s="2960">
        <v>122.35</v>
      </c>
      <c r="K38" s="2959" t="s">
        <v>3143</v>
      </c>
      <c r="M38" s="3016">
        <v>7</v>
      </c>
      <c r="N38" s="3016">
        <v>703</v>
      </c>
      <c r="O38" s="3016">
        <v>109.24</v>
      </c>
      <c r="P38" s="2961" t="s">
        <v>3387</v>
      </c>
      <c r="R38" s="3016">
        <v>10</v>
      </c>
      <c r="S38" s="3016">
        <v>1003</v>
      </c>
      <c r="T38" s="3016">
        <v>109.32</v>
      </c>
      <c r="U38" s="2961" t="s">
        <v>3387</v>
      </c>
    </row>
    <row r="39" spans="3:21">
      <c r="C39" s="2960">
        <v>11</v>
      </c>
      <c r="D39" s="2960">
        <v>1101</v>
      </c>
      <c r="E39" s="2960">
        <v>123.43</v>
      </c>
      <c r="F39" s="2959" t="s">
        <v>3144</v>
      </c>
      <c r="H39" s="3016">
        <v>7</v>
      </c>
      <c r="I39" s="3016">
        <v>703</v>
      </c>
      <c r="J39" s="3016">
        <v>99.69</v>
      </c>
      <c r="K39" s="2961" t="s">
        <v>3387</v>
      </c>
      <c r="M39" s="2960">
        <v>7</v>
      </c>
      <c r="N39" s="2960">
        <v>704</v>
      </c>
      <c r="O39" s="2960">
        <v>137.91999999999999</v>
      </c>
      <c r="P39" s="2959" t="s">
        <v>3143</v>
      </c>
      <c r="R39" s="2960">
        <v>10</v>
      </c>
      <c r="S39" s="2960">
        <v>1004</v>
      </c>
      <c r="T39" s="2960">
        <v>144.26</v>
      </c>
      <c r="U39" s="2959" t="s">
        <v>3143</v>
      </c>
    </row>
    <row r="40" spans="3:21">
      <c r="C40" s="2960">
        <v>11</v>
      </c>
      <c r="D40" s="2960">
        <v>1102</v>
      </c>
      <c r="E40" s="2960">
        <v>123.43</v>
      </c>
      <c r="F40" s="2959" t="s">
        <v>3143</v>
      </c>
      <c r="H40" s="3016">
        <v>7</v>
      </c>
      <c r="I40" s="3016">
        <v>704</v>
      </c>
      <c r="J40" s="3016">
        <v>99.69</v>
      </c>
      <c r="K40" s="2961" t="s">
        <v>3387</v>
      </c>
      <c r="M40" s="2960">
        <v>8</v>
      </c>
      <c r="N40" s="2960">
        <v>801</v>
      </c>
      <c r="O40" s="2960">
        <v>137.91999999999999</v>
      </c>
      <c r="P40" s="2959" t="s">
        <v>3143</v>
      </c>
      <c r="R40" s="2960">
        <v>11</v>
      </c>
      <c r="S40" s="2960">
        <v>1101</v>
      </c>
      <c r="T40" s="2960">
        <v>144.26</v>
      </c>
      <c r="U40" s="2959" t="s">
        <v>3143</v>
      </c>
    </row>
    <row r="41" spans="3:21">
      <c r="C41" s="2960">
        <v>11</v>
      </c>
      <c r="D41" s="2960">
        <v>1103</v>
      </c>
      <c r="E41" s="2960">
        <v>100.56</v>
      </c>
      <c r="F41" s="2959" t="s">
        <v>3144</v>
      </c>
      <c r="H41" s="3016">
        <v>8</v>
      </c>
      <c r="I41" s="3016">
        <v>801</v>
      </c>
      <c r="J41" s="3016">
        <v>122.35</v>
      </c>
      <c r="K41" s="2961" t="s">
        <v>3387</v>
      </c>
      <c r="M41" s="2960">
        <v>8</v>
      </c>
      <c r="N41" s="2960">
        <v>802</v>
      </c>
      <c r="O41" s="2960">
        <v>109.24</v>
      </c>
      <c r="P41" s="2959" t="s">
        <v>3143</v>
      </c>
      <c r="R41" s="2960">
        <v>11</v>
      </c>
      <c r="S41" s="2960">
        <v>1102</v>
      </c>
      <c r="T41" s="2960">
        <v>109.32</v>
      </c>
      <c r="U41" s="2959" t="s">
        <v>3143</v>
      </c>
    </row>
    <row r="42" spans="3:21">
      <c r="C42" s="3016">
        <v>11</v>
      </c>
      <c r="D42" s="3016">
        <v>1104</v>
      </c>
      <c r="E42" s="3016">
        <v>100.56</v>
      </c>
      <c r="F42" s="2961" t="s">
        <v>3143</v>
      </c>
      <c r="H42" s="2960">
        <v>8</v>
      </c>
      <c r="I42" s="2960">
        <v>802</v>
      </c>
      <c r="J42" s="2960">
        <v>122.35</v>
      </c>
      <c r="K42" s="2959" t="s">
        <v>3143</v>
      </c>
      <c r="M42" s="2960">
        <v>8</v>
      </c>
      <c r="N42" s="2960">
        <v>803</v>
      </c>
      <c r="O42" s="2960">
        <v>109.24</v>
      </c>
      <c r="P42" s="2959" t="s">
        <v>3143</v>
      </c>
      <c r="R42" s="3016">
        <v>11</v>
      </c>
      <c r="S42" s="3016">
        <v>1103</v>
      </c>
      <c r="T42" s="3016">
        <v>109.32</v>
      </c>
      <c r="U42" s="2961" t="s">
        <v>3387</v>
      </c>
    </row>
    <row r="43" spans="3:21">
      <c r="C43" s="2960">
        <v>12</v>
      </c>
      <c r="D43" s="2960">
        <v>1201</v>
      </c>
      <c r="E43" s="2960">
        <v>123.43</v>
      </c>
      <c r="F43" s="2959" t="s">
        <v>3144</v>
      </c>
      <c r="H43" s="3016">
        <v>8</v>
      </c>
      <c r="I43" s="3016">
        <v>803</v>
      </c>
      <c r="J43" s="3016">
        <v>99.69</v>
      </c>
      <c r="K43" s="2961" t="s">
        <v>3387</v>
      </c>
      <c r="M43" s="2960">
        <v>8</v>
      </c>
      <c r="N43" s="2960">
        <v>804</v>
      </c>
      <c r="O43" s="2960">
        <v>137.91999999999999</v>
      </c>
      <c r="P43" s="2959" t="s">
        <v>3143</v>
      </c>
      <c r="R43" s="2960">
        <v>11</v>
      </c>
      <c r="S43" s="2960">
        <v>1104</v>
      </c>
      <c r="T43" s="2960">
        <v>144.26</v>
      </c>
      <c r="U43" s="2959" t="s">
        <v>3143</v>
      </c>
    </row>
    <row r="44" spans="3:21">
      <c r="C44" s="3016">
        <v>12</v>
      </c>
      <c r="D44" s="3016">
        <v>1202</v>
      </c>
      <c r="E44" s="3016">
        <v>123.43</v>
      </c>
      <c r="F44" s="2961" t="s">
        <v>3143</v>
      </c>
      <c r="H44" s="3016">
        <v>8</v>
      </c>
      <c r="I44" s="3016">
        <v>804</v>
      </c>
      <c r="J44" s="3016">
        <v>99.69</v>
      </c>
      <c r="K44" s="2961" t="s">
        <v>3387</v>
      </c>
      <c r="M44" s="2960">
        <v>9</v>
      </c>
      <c r="N44" s="2960">
        <v>901</v>
      </c>
      <c r="O44" s="2960">
        <v>137.91999999999999</v>
      </c>
      <c r="P44" s="2959" t="s">
        <v>3143</v>
      </c>
      <c r="R44" s="2960">
        <v>12</v>
      </c>
      <c r="S44" s="2960">
        <v>1201</v>
      </c>
      <c r="T44" s="2960">
        <v>144.26</v>
      </c>
      <c r="U44" s="2959" t="s">
        <v>3143</v>
      </c>
    </row>
    <row r="45" spans="3:21">
      <c r="C45" s="2960">
        <v>12</v>
      </c>
      <c r="D45" s="2960">
        <v>1203</v>
      </c>
      <c r="E45" s="2960">
        <v>100.56</v>
      </c>
      <c r="F45" s="2959" t="s">
        <v>3144</v>
      </c>
      <c r="H45" s="2960">
        <v>9</v>
      </c>
      <c r="I45" s="2960">
        <v>901</v>
      </c>
      <c r="J45" s="2960">
        <v>122.35</v>
      </c>
      <c r="K45" s="2959" t="s">
        <v>3143</v>
      </c>
      <c r="M45" s="2960">
        <v>9</v>
      </c>
      <c r="N45" s="2960">
        <v>902</v>
      </c>
      <c r="O45" s="2960">
        <v>109.24</v>
      </c>
      <c r="P45" s="2959" t="s">
        <v>3143</v>
      </c>
      <c r="R45" s="3016">
        <v>12</v>
      </c>
      <c r="S45" s="3016">
        <v>1202</v>
      </c>
      <c r="T45" s="3016">
        <v>109.32</v>
      </c>
      <c r="U45" s="2961" t="s">
        <v>3387</v>
      </c>
    </row>
    <row r="46" spans="3:21">
      <c r="C46" s="3016">
        <v>12</v>
      </c>
      <c r="D46" s="3016">
        <v>1204</v>
      </c>
      <c r="E46" s="3016">
        <v>100.56</v>
      </c>
      <c r="F46" s="2961" t="s">
        <v>3143</v>
      </c>
      <c r="H46" s="2960">
        <v>9</v>
      </c>
      <c r="I46" s="2960">
        <v>902</v>
      </c>
      <c r="J46" s="2960">
        <v>122.35</v>
      </c>
      <c r="K46" s="2959" t="s">
        <v>3143</v>
      </c>
      <c r="M46" s="3016">
        <v>9</v>
      </c>
      <c r="N46" s="3016">
        <v>903</v>
      </c>
      <c r="O46" s="3016">
        <v>109.24</v>
      </c>
      <c r="P46" s="2961" t="s">
        <v>3387</v>
      </c>
      <c r="R46" s="3016">
        <v>12</v>
      </c>
      <c r="S46" s="3016">
        <v>1203</v>
      </c>
      <c r="T46" s="3016">
        <v>109.32</v>
      </c>
      <c r="U46" s="2961" t="s">
        <v>3387</v>
      </c>
    </row>
    <row r="47" spans="3:21">
      <c r="C47" s="2960">
        <v>13</v>
      </c>
      <c r="D47" s="2960">
        <v>1301</v>
      </c>
      <c r="E47" s="2960">
        <v>123.43</v>
      </c>
      <c r="F47" s="2959" t="s">
        <v>3144</v>
      </c>
      <c r="H47" s="3016">
        <v>9</v>
      </c>
      <c r="I47" s="3016">
        <v>903</v>
      </c>
      <c r="J47" s="3016">
        <v>99.69</v>
      </c>
      <c r="K47" s="2961" t="s">
        <v>3387</v>
      </c>
      <c r="M47" s="2960">
        <v>9</v>
      </c>
      <c r="N47" s="2960">
        <v>904</v>
      </c>
      <c r="O47" s="2960">
        <v>137.91999999999999</v>
      </c>
      <c r="P47" s="2959" t="s">
        <v>3143</v>
      </c>
      <c r="R47" s="2960">
        <v>12</v>
      </c>
      <c r="S47" s="2960">
        <v>1204</v>
      </c>
      <c r="T47" s="2960">
        <v>144.26</v>
      </c>
      <c r="U47" s="2959" t="s">
        <v>3143</v>
      </c>
    </row>
    <row r="48" spans="3:21">
      <c r="C48" s="2960">
        <v>13</v>
      </c>
      <c r="D48" s="2960">
        <v>1302</v>
      </c>
      <c r="E48" s="2960">
        <v>123.43</v>
      </c>
      <c r="F48" s="2959" t="s">
        <v>3143</v>
      </c>
      <c r="H48" s="3016">
        <v>9</v>
      </c>
      <c r="I48" s="3016">
        <v>904</v>
      </c>
      <c r="J48" s="3016">
        <v>99.69</v>
      </c>
      <c r="K48" s="2961" t="s">
        <v>3387</v>
      </c>
      <c r="M48" s="2960">
        <v>10</v>
      </c>
      <c r="N48" s="2960">
        <v>1001</v>
      </c>
      <c r="O48" s="2960">
        <v>137.91999999999999</v>
      </c>
      <c r="P48" s="2959" t="s">
        <v>3143</v>
      </c>
      <c r="R48" s="2960">
        <v>13</v>
      </c>
      <c r="S48" s="2960">
        <v>1301</v>
      </c>
      <c r="T48" s="2960">
        <v>144.26</v>
      </c>
      <c r="U48" s="2959" t="s">
        <v>3143</v>
      </c>
    </row>
    <row r="49" spans="3:21">
      <c r="C49" s="2960">
        <v>13</v>
      </c>
      <c r="D49" s="2960">
        <v>1303</v>
      </c>
      <c r="E49" s="2960">
        <v>100.56</v>
      </c>
      <c r="F49" s="2959" t="s">
        <v>3144</v>
      </c>
      <c r="H49" s="2960">
        <v>10</v>
      </c>
      <c r="I49" s="2960">
        <v>1001</v>
      </c>
      <c r="J49" s="2960">
        <v>122.35</v>
      </c>
      <c r="K49" s="2959" t="s">
        <v>3143</v>
      </c>
      <c r="M49" s="3016">
        <v>10</v>
      </c>
      <c r="N49" s="3016">
        <v>1002</v>
      </c>
      <c r="O49" s="3016">
        <v>109.24</v>
      </c>
      <c r="P49" s="2961" t="s">
        <v>3387</v>
      </c>
      <c r="R49" s="3016">
        <v>13</v>
      </c>
      <c r="S49" s="3016">
        <v>1302</v>
      </c>
      <c r="T49" s="3016">
        <v>109.32</v>
      </c>
      <c r="U49" s="2961" t="s">
        <v>3387</v>
      </c>
    </row>
    <row r="50" spans="3:21">
      <c r="C50" s="3016">
        <v>13</v>
      </c>
      <c r="D50" s="3016">
        <v>1304</v>
      </c>
      <c r="E50" s="3016">
        <v>100.56</v>
      </c>
      <c r="F50" s="2961" t="s">
        <v>3143</v>
      </c>
      <c r="H50" s="2960">
        <v>10</v>
      </c>
      <c r="I50" s="2960">
        <v>1002</v>
      </c>
      <c r="J50" s="2960">
        <v>122.35</v>
      </c>
      <c r="K50" s="2959" t="s">
        <v>3143</v>
      </c>
      <c r="M50" s="3016">
        <v>10</v>
      </c>
      <c r="N50" s="3016">
        <v>1003</v>
      </c>
      <c r="O50" s="3016">
        <v>109.24</v>
      </c>
      <c r="P50" s="2961" t="s">
        <v>3387</v>
      </c>
      <c r="R50" s="3016">
        <v>13</v>
      </c>
      <c r="S50" s="3016">
        <v>1303</v>
      </c>
      <c r="T50" s="3016">
        <v>109.32</v>
      </c>
      <c r="U50" s="2961" t="s">
        <v>3387</v>
      </c>
    </row>
    <row r="51" spans="3:21">
      <c r="C51" s="2960">
        <v>14</v>
      </c>
      <c r="D51" s="2960">
        <v>1401</v>
      </c>
      <c r="E51" s="2960">
        <v>123.43</v>
      </c>
      <c r="F51" s="2959" t="s">
        <v>3144</v>
      </c>
      <c r="H51" s="3016">
        <v>10</v>
      </c>
      <c r="I51" s="3016">
        <v>1003</v>
      </c>
      <c r="J51" s="3016">
        <v>99.69</v>
      </c>
      <c r="K51" s="2961" t="s">
        <v>3387</v>
      </c>
      <c r="M51" s="2960">
        <v>10</v>
      </c>
      <c r="N51" s="2960">
        <v>1004</v>
      </c>
      <c r="O51" s="2960">
        <v>137.91999999999999</v>
      </c>
      <c r="P51" s="2959" t="s">
        <v>3143</v>
      </c>
      <c r="R51" s="3016">
        <v>13</v>
      </c>
      <c r="S51" s="3016">
        <v>1304</v>
      </c>
      <c r="T51" s="3016">
        <v>144.26</v>
      </c>
      <c r="U51" s="2961" t="s">
        <v>3387</v>
      </c>
    </row>
    <row r="52" spans="3:21">
      <c r="C52" s="2960">
        <v>14</v>
      </c>
      <c r="D52" s="2960">
        <v>1402</v>
      </c>
      <c r="E52" s="2960">
        <v>123.43</v>
      </c>
      <c r="F52" s="2959" t="s">
        <v>3143</v>
      </c>
      <c r="H52" s="3016">
        <v>10</v>
      </c>
      <c r="I52" s="3016">
        <v>1004</v>
      </c>
      <c r="J52" s="3016">
        <v>99.69</v>
      </c>
      <c r="K52" s="2961" t="s">
        <v>3387</v>
      </c>
      <c r="M52" s="2960">
        <v>11</v>
      </c>
      <c r="N52" s="2960">
        <v>1101</v>
      </c>
      <c r="O52" s="2960">
        <v>137.91999999999999</v>
      </c>
      <c r="P52" s="2959" t="s">
        <v>3143</v>
      </c>
      <c r="R52" s="2960">
        <v>14</v>
      </c>
      <c r="S52" s="2960">
        <v>1401</v>
      </c>
      <c r="T52" s="2960">
        <v>144.26</v>
      </c>
      <c r="U52" s="2959" t="s">
        <v>3143</v>
      </c>
    </row>
    <row r="53" spans="3:21">
      <c r="C53" s="2960">
        <v>14</v>
      </c>
      <c r="D53" s="2960">
        <v>1403</v>
      </c>
      <c r="E53" s="2960">
        <v>100.56</v>
      </c>
      <c r="F53" s="2959" t="s">
        <v>3144</v>
      </c>
      <c r="H53" s="3016">
        <v>11</v>
      </c>
      <c r="I53" s="3016">
        <v>1101</v>
      </c>
      <c r="J53" s="3016">
        <v>122.35</v>
      </c>
      <c r="K53" s="2961" t="s">
        <v>3387</v>
      </c>
      <c r="M53" s="3016">
        <v>11</v>
      </c>
      <c r="N53" s="3016">
        <v>1102</v>
      </c>
      <c r="O53" s="3016">
        <v>109.24</v>
      </c>
      <c r="P53" s="2961" t="s">
        <v>3387</v>
      </c>
      <c r="R53" s="3016">
        <v>14</v>
      </c>
      <c r="S53" s="3016">
        <v>1402</v>
      </c>
      <c r="T53" s="3016">
        <v>109.32</v>
      </c>
      <c r="U53" s="2961" t="s">
        <v>3387</v>
      </c>
    </row>
    <row r="54" spans="3:21">
      <c r="C54" s="3016">
        <v>14</v>
      </c>
      <c r="D54" s="3016">
        <v>1404</v>
      </c>
      <c r="E54" s="3016">
        <v>100.56</v>
      </c>
      <c r="F54" s="2961" t="s">
        <v>3143</v>
      </c>
      <c r="H54" s="2960">
        <v>11</v>
      </c>
      <c r="I54" s="2960">
        <v>1102</v>
      </c>
      <c r="J54" s="2960">
        <v>122.35</v>
      </c>
      <c r="K54" s="2959" t="s">
        <v>3143</v>
      </c>
      <c r="M54" s="3016">
        <v>11</v>
      </c>
      <c r="N54" s="3016">
        <v>1103</v>
      </c>
      <c r="O54" s="3016">
        <v>109.24</v>
      </c>
      <c r="P54" s="2961" t="s">
        <v>3387</v>
      </c>
      <c r="R54" s="2960">
        <v>14</v>
      </c>
      <c r="S54" s="2960">
        <v>1403</v>
      </c>
      <c r="T54" s="2960">
        <v>109.32</v>
      </c>
      <c r="U54" s="2959" t="s">
        <v>3143</v>
      </c>
    </row>
    <row r="55" spans="3:21">
      <c r="C55" s="2960">
        <v>15</v>
      </c>
      <c r="D55" s="2960">
        <v>1501</v>
      </c>
      <c r="E55" s="2960">
        <v>123.43</v>
      </c>
      <c r="F55" s="2959" t="s">
        <v>3144</v>
      </c>
      <c r="H55" s="3016">
        <v>11</v>
      </c>
      <c r="I55" s="3016">
        <v>1103</v>
      </c>
      <c r="J55" s="3016">
        <v>99.69</v>
      </c>
      <c r="K55" s="2961" t="s">
        <v>3387</v>
      </c>
      <c r="M55" s="2960">
        <v>11</v>
      </c>
      <c r="N55" s="2960">
        <v>1104</v>
      </c>
      <c r="O55" s="2960">
        <v>137.91999999999999</v>
      </c>
      <c r="P55" s="2959" t="s">
        <v>3143</v>
      </c>
      <c r="R55" s="2960">
        <v>14</v>
      </c>
      <c r="S55" s="2960">
        <v>1404</v>
      </c>
      <c r="T55" s="2960">
        <v>144.26</v>
      </c>
      <c r="U55" s="2959" t="s">
        <v>3143</v>
      </c>
    </row>
    <row r="56" spans="3:21">
      <c r="C56" s="2960">
        <v>15</v>
      </c>
      <c r="D56" s="2960">
        <v>1502</v>
      </c>
      <c r="E56" s="2960">
        <v>123.43</v>
      </c>
      <c r="F56" s="2959" t="s">
        <v>3143</v>
      </c>
      <c r="H56" s="3016">
        <v>11</v>
      </c>
      <c r="I56" s="3016">
        <v>1104</v>
      </c>
      <c r="J56" s="3016">
        <v>99.69</v>
      </c>
      <c r="K56" s="2961" t="s">
        <v>3387</v>
      </c>
      <c r="M56" s="2960">
        <v>12</v>
      </c>
      <c r="N56" s="2960">
        <v>1201</v>
      </c>
      <c r="O56" s="2960">
        <v>137.91999999999999</v>
      </c>
      <c r="P56" s="2959" t="s">
        <v>3143</v>
      </c>
      <c r="R56" s="3016">
        <v>15</v>
      </c>
      <c r="S56" s="3016">
        <v>1501</v>
      </c>
      <c r="T56" s="3016">
        <v>144.26</v>
      </c>
      <c r="U56" s="2961" t="s">
        <v>3387</v>
      </c>
    </row>
    <row r="57" spans="3:21">
      <c r="C57" s="2960">
        <v>15</v>
      </c>
      <c r="D57" s="2960">
        <v>1503</v>
      </c>
      <c r="E57" s="2960">
        <v>100.56</v>
      </c>
      <c r="F57" s="2959" t="s">
        <v>3144</v>
      </c>
      <c r="H57" s="3016">
        <v>12</v>
      </c>
      <c r="I57" s="3016">
        <v>1201</v>
      </c>
      <c r="J57" s="3016">
        <v>122.35</v>
      </c>
      <c r="K57" s="2961" t="s">
        <v>3387</v>
      </c>
      <c r="M57" s="3016">
        <v>12</v>
      </c>
      <c r="N57" s="3016">
        <v>1202</v>
      </c>
      <c r="O57" s="3016">
        <v>109.24</v>
      </c>
      <c r="P57" s="2961" t="s">
        <v>3387</v>
      </c>
      <c r="R57" s="3016">
        <v>15</v>
      </c>
      <c r="S57" s="3016">
        <v>1502</v>
      </c>
      <c r="T57" s="3016">
        <v>109.32</v>
      </c>
      <c r="U57" s="2961" t="s">
        <v>3387</v>
      </c>
    </row>
    <row r="58" spans="3:21">
      <c r="C58" s="3016">
        <v>15</v>
      </c>
      <c r="D58" s="3016">
        <v>1504</v>
      </c>
      <c r="E58" s="3016">
        <v>100.56</v>
      </c>
      <c r="F58" s="2961" t="s">
        <v>3143</v>
      </c>
      <c r="H58" s="3016">
        <v>12</v>
      </c>
      <c r="I58" s="3016">
        <v>1202</v>
      </c>
      <c r="J58" s="3016">
        <v>122.35</v>
      </c>
      <c r="K58" s="2961" t="s">
        <v>3387</v>
      </c>
      <c r="M58" s="3016">
        <v>12</v>
      </c>
      <c r="N58" s="3016">
        <v>1203</v>
      </c>
      <c r="O58" s="3016">
        <v>109.24</v>
      </c>
      <c r="P58" s="2961" t="s">
        <v>3387</v>
      </c>
      <c r="R58" s="3016">
        <v>15</v>
      </c>
      <c r="S58" s="3016">
        <v>1503</v>
      </c>
      <c r="T58" s="3016">
        <v>109.32</v>
      </c>
      <c r="U58" s="2961" t="s">
        <v>3387</v>
      </c>
    </row>
    <row r="59" spans="3:21">
      <c r="C59" s="2960">
        <v>16</v>
      </c>
      <c r="D59" s="2960">
        <v>1601</v>
      </c>
      <c r="E59" s="2960">
        <v>123.43</v>
      </c>
      <c r="F59" s="2959" t="s">
        <v>3144</v>
      </c>
      <c r="H59" s="3016">
        <v>12</v>
      </c>
      <c r="I59" s="3016">
        <v>1203</v>
      </c>
      <c r="J59" s="3016">
        <v>99.69</v>
      </c>
      <c r="K59" s="2961" t="s">
        <v>3387</v>
      </c>
      <c r="M59" s="2960">
        <v>12</v>
      </c>
      <c r="N59" s="2960">
        <v>1204</v>
      </c>
      <c r="O59" s="2960">
        <v>137.91999999999999</v>
      </c>
      <c r="P59" s="2959" t="s">
        <v>3143</v>
      </c>
      <c r="R59" s="3016">
        <v>15</v>
      </c>
      <c r="S59" s="3016">
        <v>1504</v>
      </c>
      <c r="T59" s="3016">
        <v>144.26</v>
      </c>
      <c r="U59" s="2961" t="s">
        <v>3387</v>
      </c>
    </row>
    <row r="60" spans="3:21">
      <c r="C60" s="2960">
        <v>16</v>
      </c>
      <c r="D60" s="2960">
        <v>1602</v>
      </c>
      <c r="E60" s="2960">
        <v>123.43</v>
      </c>
      <c r="F60" s="2959" t="s">
        <v>3143</v>
      </c>
      <c r="H60" s="3016">
        <v>12</v>
      </c>
      <c r="I60" s="3016">
        <v>1204</v>
      </c>
      <c r="J60" s="3016">
        <v>99.69</v>
      </c>
      <c r="K60" s="2961" t="s">
        <v>3387</v>
      </c>
      <c r="M60" s="2960">
        <v>13</v>
      </c>
      <c r="N60" s="2960">
        <v>1301</v>
      </c>
      <c r="O60" s="2960">
        <v>137.91999999999999</v>
      </c>
      <c r="P60" s="2959" t="s">
        <v>3143</v>
      </c>
      <c r="R60" s="3016">
        <v>16</v>
      </c>
      <c r="S60" s="3016">
        <v>1601</v>
      </c>
      <c r="T60" s="3016">
        <v>144.26</v>
      </c>
      <c r="U60" s="2961" t="s">
        <v>3387</v>
      </c>
    </row>
    <row r="61" spans="3:21">
      <c r="C61" s="2960">
        <v>16</v>
      </c>
      <c r="D61" s="2960">
        <v>1603</v>
      </c>
      <c r="E61" s="2960">
        <v>100.56</v>
      </c>
      <c r="F61" s="2959" t="s">
        <v>3144</v>
      </c>
      <c r="H61" s="3016">
        <v>13</v>
      </c>
      <c r="I61" s="3016">
        <v>1301</v>
      </c>
      <c r="J61" s="3016">
        <v>122.35</v>
      </c>
      <c r="K61" s="2961" t="s">
        <v>3387</v>
      </c>
      <c r="M61" s="3016">
        <v>13</v>
      </c>
      <c r="N61" s="3016">
        <v>1302</v>
      </c>
      <c r="O61" s="3016">
        <v>109.24</v>
      </c>
      <c r="P61" s="2961" t="s">
        <v>3387</v>
      </c>
      <c r="R61" s="3016">
        <v>16</v>
      </c>
      <c r="S61" s="3016">
        <v>1602</v>
      </c>
      <c r="T61" s="3016">
        <v>109.32</v>
      </c>
      <c r="U61" s="2961" t="s">
        <v>3387</v>
      </c>
    </row>
    <row r="62" spans="3:21">
      <c r="C62" s="3016">
        <v>16</v>
      </c>
      <c r="D62" s="3016">
        <v>1604</v>
      </c>
      <c r="E62" s="3016">
        <v>100.56</v>
      </c>
      <c r="F62" s="2961" t="s">
        <v>3143</v>
      </c>
      <c r="H62" s="3016">
        <v>13</v>
      </c>
      <c r="I62" s="3016">
        <v>1302</v>
      </c>
      <c r="J62" s="3016">
        <v>122.35</v>
      </c>
      <c r="K62" s="2961" t="s">
        <v>3387</v>
      </c>
      <c r="M62" s="3016">
        <v>13</v>
      </c>
      <c r="N62" s="3016">
        <v>1303</v>
      </c>
      <c r="O62" s="3016">
        <v>109.24</v>
      </c>
      <c r="P62" s="2961" t="s">
        <v>3387</v>
      </c>
      <c r="R62" s="3016">
        <v>16</v>
      </c>
      <c r="S62" s="3016">
        <v>1603</v>
      </c>
      <c r="T62" s="3016">
        <v>109.32</v>
      </c>
      <c r="U62" s="2961" t="s">
        <v>3387</v>
      </c>
    </row>
    <row r="63" spans="3:21">
      <c r="C63" s="2960">
        <v>17</v>
      </c>
      <c r="D63" s="2960">
        <v>1701</v>
      </c>
      <c r="E63" s="2960">
        <v>123.43</v>
      </c>
      <c r="F63" s="2959" t="s">
        <v>3144</v>
      </c>
      <c r="H63" s="3016">
        <v>13</v>
      </c>
      <c r="I63" s="3016">
        <v>1303</v>
      </c>
      <c r="J63" s="3016">
        <v>99.69</v>
      </c>
      <c r="K63" s="2961" t="s">
        <v>3387</v>
      </c>
      <c r="M63" s="2960">
        <v>13</v>
      </c>
      <c r="N63" s="2960">
        <v>1304</v>
      </c>
      <c r="O63" s="2960">
        <v>137.91999999999999</v>
      </c>
      <c r="P63" s="2959" t="s">
        <v>3143</v>
      </c>
      <c r="R63" s="3016">
        <v>16</v>
      </c>
      <c r="S63" s="3016">
        <v>1604</v>
      </c>
      <c r="T63" s="3016">
        <v>144.26</v>
      </c>
      <c r="U63" s="2961" t="s">
        <v>3387</v>
      </c>
    </row>
    <row r="64" spans="3:21">
      <c r="C64" s="2960">
        <v>17</v>
      </c>
      <c r="D64" s="2960">
        <v>1702</v>
      </c>
      <c r="E64" s="2960">
        <v>123.43</v>
      </c>
      <c r="F64" s="2959" t="s">
        <v>3143</v>
      </c>
      <c r="H64" s="3016">
        <v>13</v>
      </c>
      <c r="I64" s="3016">
        <v>1304</v>
      </c>
      <c r="J64" s="3016">
        <v>99.69</v>
      </c>
      <c r="K64" s="2961" t="s">
        <v>3387</v>
      </c>
      <c r="M64" s="2960">
        <v>14</v>
      </c>
      <c r="N64" s="2960">
        <v>1401</v>
      </c>
      <c r="O64" s="2960">
        <v>137.91999999999999</v>
      </c>
      <c r="P64" s="2959" t="s">
        <v>3143</v>
      </c>
      <c r="R64" s="3016">
        <v>17</v>
      </c>
      <c r="S64" s="3016">
        <v>1701</v>
      </c>
      <c r="T64" s="3016">
        <v>144.26</v>
      </c>
      <c r="U64" s="2961" t="s">
        <v>3387</v>
      </c>
    </row>
    <row r="65" spans="3:21">
      <c r="C65" s="2960">
        <v>17</v>
      </c>
      <c r="D65" s="2960">
        <v>1703</v>
      </c>
      <c r="E65" s="2960">
        <v>100.56</v>
      </c>
      <c r="F65" s="2959" t="s">
        <v>3144</v>
      </c>
      <c r="H65" s="3016">
        <v>14</v>
      </c>
      <c r="I65" s="3016">
        <v>1401</v>
      </c>
      <c r="J65" s="3016">
        <v>122.35</v>
      </c>
      <c r="K65" s="2961" t="s">
        <v>3387</v>
      </c>
      <c r="M65" s="2960">
        <v>14</v>
      </c>
      <c r="N65" s="2960">
        <v>1402</v>
      </c>
      <c r="O65" s="2960">
        <v>109.24</v>
      </c>
      <c r="P65" s="2959" t="s">
        <v>3143</v>
      </c>
      <c r="R65" s="3016">
        <v>17</v>
      </c>
      <c r="S65" s="3016">
        <v>1702</v>
      </c>
      <c r="T65" s="3016">
        <v>109.32</v>
      </c>
      <c r="U65" s="2961" t="s">
        <v>3387</v>
      </c>
    </row>
    <row r="66" spans="3:21">
      <c r="C66" s="3016">
        <v>17</v>
      </c>
      <c r="D66" s="3016">
        <v>1704</v>
      </c>
      <c r="E66" s="3016">
        <v>100.56</v>
      </c>
      <c r="F66" s="2961" t="s">
        <v>3143</v>
      </c>
      <c r="H66" s="2960">
        <v>14</v>
      </c>
      <c r="I66" s="2960">
        <v>1402</v>
      </c>
      <c r="J66" s="2960">
        <v>122.35</v>
      </c>
      <c r="K66" s="2959" t="s">
        <v>3143</v>
      </c>
      <c r="M66" s="2960">
        <v>14</v>
      </c>
      <c r="N66" s="2960">
        <v>1403</v>
      </c>
      <c r="O66" s="2960">
        <v>109.24</v>
      </c>
      <c r="P66" s="2959" t="s">
        <v>3143</v>
      </c>
      <c r="R66" s="3016">
        <v>17</v>
      </c>
      <c r="S66" s="3016">
        <v>1703</v>
      </c>
      <c r="T66" s="3016">
        <v>109.32</v>
      </c>
      <c r="U66" s="2961" t="s">
        <v>3387</v>
      </c>
    </row>
    <row r="67" spans="3:21">
      <c r="C67" s="2960">
        <v>18</v>
      </c>
      <c r="D67" s="2960">
        <v>1801</v>
      </c>
      <c r="E67" s="2960">
        <v>123.43</v>
      </c>
      <c r="F67" s="2959" t="s">
        <v>3144</v>
      </c>
      <c r="H67" s="2960">
        <v>14</v>
      </c>
      <c r="I67" s="2960">
        <v>1403</v>
      </c>
      <c r="J67" s="2960">
        <v>99.69</v>
      </c>
      <c r="K67" s="2959" t="s">
        <v>3143</v>
      </c>
      <c r="M67" s="2960">
        <v>14</v>
      </c>
      <c r="N67" s="2960">
        <v>1404</v>
      </c>
      <c r="O67" s="2960">
        <v>137.91999999999999</v>
      </c>
      <c r="P67" s="2959" t="s">
        <v>3143</v>
      </c>
      <c r="R67" s="3016">
        <v>17</v>
      </c>
      <c r="S67" s="3016">
        <v>1704</v>
      </c>
      <c r="T67" s="3016">
        <v>144.26</v>
      </c>
      <c r="U67" s="2961" t="s">
        <v>3387</v>
      </c>
    </row>
    <row r="68" spans="3:21">
      <c r="C68" s="3016">
        <v>18</v>
      </c>
      <c r="D68" s="3016">
        <v>1802</v>
      </c>
      <c r="E68" s="3016">
        <v>123.43</v>
      </c>
      <c r="F68" s="2961" t="s">
        <v>3143</v>
      </c>
      <c r="H68" s="3016">
        <v>14</v>
      </c>
      <c r="I68" s="3016">
        <v>1404</v>
      </c>
      <c r="J68" s="3016">
        <v>99.69</v>
      </c>
      <c r="K68" s="2961" t="s">
        <v>3387</v>
      </c>
      <c r="M68" s="2960">
        <v>15</v>
      </c>
      <c r="N68" s="2960">
        <v>1501</v>
      </c>
      <c r="O68" s="2960">
        <v>137.91999999999999</v>
      </c>
      <c r="P68" s="2959" t="s">
        <v>3143</v>
      </c>
      <c r="R68" s="2960">
        <v>18</v>
      </c>
      <c r="S68" s="2960">
        <v>1801</v>
      </c>
      <c r="T68" s="2960">
        <v>144.26</v>
      </c>
      <c r="U68" s="2959" t="s">
        <v>3143</v>
      </c>
    </row>
    <row r="69" spans="3:21">
      <c r="C69" s="2960">
        <v>18</v>
      </c>
      <c r="D69" s="2960">
        <v>1803</v>
      </c>
      <c r="E69" s="2960">
        <v>100.56</v>
      </c>
      <c r="F69" s="2959" t="s">
        <v>3144</v>
      </c>
      <c r="H69" s="3016">
        <v>15</v>
      </c>
      <c r="I69" s="3016">
        <v>1501</v>
      </c>
      <c r="J69" s="3016">
        <v>122.35</v>
      </c>
      <c r="K69" s="2961" t="s">
        <v>3387</v>
      </c>
      <c r="M69" s="3016">
        <v>15</v>
      </c>
      <c r="N69" s="3016">
        <v>1502</v>
      </c>
      <c r="O69" s="3016">
        <v>109.24</v>
      </c>
      <c r="P69" s="2961" t="s">
        <v>3387</v>
      </c>
      <c r="R69" s="2960">
        <v>18</v>
      </c>
      <c r="S69" s="2960">
        <v>1802</v>
      </c>
      <c r="T69" s="2960">
        <v>109.32</v>
      </c>
      <c r="U69" s="2959" t="s">
        <v>3143</v>
      </c>
    </row>
    <row r="70" spans="3:21">
      <c r="C70" s="3016">
        <v>18</v>
      </c>
      <c r="D70" s="3016">
        <v>1804</v>
      </c>
      <c r="E70" s="3016">
        <v>100.56</v>
      </c>
      <c r="F70" s="2961" t="s">
        <v>3387</v>
      </c>
      <c r="H70" s="2960">
        <v>15</v>
      </c>
      <c r="I70" s="2960">
        <v>1502</v>
      </c>
      <c r="J70" s="2960">
        <v>122.35</v>
      </c>
      <c r="K70" s="2959" t="s">
        <v>3143</v>
      </c>
      <c r="M70" s="3016">
        <v>15</v>
      </c>
      <c r="N70" s="3016">
        <v>1503</v>
      </c>
      <c r="O70" s="3016">
        <v>109.24</v>
      </c>
      <c r="P70" s="2961" t="s">
        <v>3387</v>
      </c>
      <c r="R70" s="3016">
        <v>18</v>
      </c>
      <c r="S70" s="3016">
        <v>1803</v>
      </c>
      <c r="T70" s="3016">
        <v>109.32</v>
      </c>
      <c r="U70" s="2961" t="s">
        <v>3387</v>
      </c>
    </row>
    <row r="71" spans="3:21">
      <c r="C71" s="2960">
        <v>19</v>
      </c>
      <c r="D71" s="2960">
        <v>1901</v>
      </c>
      <c r="E71" s="2960">
        <v>123.43</v>
      </c>
      <c r="F71" s="2959" t="s">
        <v>3144</v>
      </c>
      <c r="H71" s="3016">
        <v>15</v>
      </c>
      <c r="I71" s="3016">
        <v>1503</v>
      </c>
      <c r="J71" s="3016">
        <v>99.69</v>
      </c>
      <c r="K71" s="2961" t="s">
        <v>3387</v>
      </c>
      <c r="M71" s="2960">
        <v>15</v>
      </c>
      <c r="N71" s="2960">
        <v>1504</v>
      </c>
      <c r="O71" s="2960">
        <v>137.91999999999999</v>
      </c>
      <c r="P71" s="2959" t="s">
        <v>3143</v>
      </c>
      <c r="R71" s="2960">
        <v>18</v>
      </c>
      <c r="S71" s="2960">
        <v>1804</v>
      </c>
      <c r="T71" s="2960">
        <v>144.26</v>
      </c>
      <c r="U71" s="2959" t="s">
        <v>3143</v>
      </c>
    </row>
    <row r="72" spans="3:21">
      <c r="C72" s="2960">
        <v>19</v>
      </c>
      <c r="D72" s="2960">
        <v>1902</v>
      </c>
      <c r="E72" s="2960">
        <v>123.43</v>
      </c>
      <c r="F72" s="2959" t="s">
        <v>3143</v>
      </c>
      <c r="H72" s="3016">
        <v>15</v>
      </c>
      <c r="I72" s="3016">
        <v>1504</v>
      </c>
      <c r="J72" s="3016">
        <v>99.69</v>
      </c>
      <c r="K72" s="2961" t="s">
        <v>3387</v>
      </c>
      <c r="M72" s="2960">
        <v>16</v>
      </c>
      <c r="N72" s="2960">
        <v>1601</v>
      </c>
      <c r="O72" s="2960">
        <v>137.91999999999999</v>
      </c>
      <c r="P72" s="2959" t="s">
        <v>3143</v>
      </c>
      <c r="R72" s="3016">
        <v>19</v>
      </c>
      <c r="S72" s="3016">
        <v>1901</v>
      </c>
      <c r="T72" s="3016">
        <v>144.26</v>
      </c>
      <c r="U72" s="2961" t="s">
        <v>3387</v>
      </c>
    </row>
    <row r="73" spans="3:21">
      <c r="C73" s="2960">
        <v>19</v>
      </c>
      <c r="D73" s="2960">
        <v>1903</v>
      </c>
      <c r="E73" s="2960">
        <v>100.56</v>
      </c>
      <c r="F73" s="2959" t="s">
        <v>3144</v>
      </c>
      <c r="H73" s="3016">
        <v>16</v>
      </c>
      <c r="I73" s="3016">
        <v>1601</v>
      </c>
      <c r="J73" s="3016">
        <v>122.35</v>
      </c>
      <c r="K73" s="2961" t="s">
        <v>3387</v>
      </c>
      <c r="M73" s="3016">
        <v>16</v>
      </c>
      <c r="N73" s="3016">
        <v>1602</v>
      </c>
      <c r="O73" s="3016">
        <v>109.24</v>
      </c>
      <c r="P73" s="2961" t="s">
        <v>3387</v>
      </c>
      <c r="R73" s="3016">
        <v>19</v>
      </c>
      <c r="S73" s="3016">
        <v>1902</v>
      </c>
      <c r="T73" s="3016">
        <v>109.32</v>
      </c>
      <c r="U73" s="2961" t="s">
        <v>3387</v>
      </c>
    </row>
    <row r="74" spans="3:21">
      <c r="C74" s="3016">
        <v>19</v>
      </c>
      <c r="D74" s="3016">
        <v>1904</v>
      </c>
      <c r="E74" s="3016">
        <v>100.56</v>
      </c>
      <c r="F74" s="2961" t="s">
        <v>3387</v>
      </c>
      <c r="H74" s="2960">
        <v>16</v>
      </c>
      <c r="I74" s="2960">
        <v>1602</v>
      </c>
      <c r="J74" s="2960">
        <v>122.35</v>
      </c>
      <c r="K74" s="2959" t="s">
        <v>3143</v>
      </c>
      <c r="M74" s="3016">
        <v>16</v>
      </c>
      <c r="N74" s="3016">
        <v>1603</v>
      </c>
      <c r="O74" s="3016">
        <v>109.24</v>
      </c>
      <c r="P74" s="2961" t="s">
        <v>3387</v>
      </c>
      <c r="R74" s="3016">
        <v>19</v>
      </c>
      <c r="S74" s="3016">
        <v>1903</v>
      </c>
      <c r="T74" s="3016">
        <v>109.32</v>
      </c>
      <c r="U74" s="2961" t="s">
        <v>3387</v>
      </c>
    </row>
    <row r="75" spans="3:21">
      <c r="C75" s="2960">
        <v>20</v>
      </c>
      <c r="D75" s="2960">
        <v>2001</v>
      </c>
      <c r="E75" s="2960">
        <v>123.43</v>
      </c>
      <c r="F75" s="2959" t="s">
        <v>3144</v>
      </c>
      <c r="H75" s="3016">
        <v>16</v>
      </c>
      <c r="I75" s="3016">
        <v>1603</v>
      </c>
      <c r="J75" s="3016">
        <v>99.69</v>
      </c>
      <c r="K75" s="2961" t="s">
        <v>3387</v>
      </c>
      <c r="M75" s="2960">
        <v>16</v>
      </c>
      <c r="N75" s="2960">
        <v>1604</v>
      </c>
      <c r="O75" s="2960">
        <v>137.91999999999999</v>
      </c>
      <c r="P75" s="2959" t="s">
        <v>3143</v>
      </c>
      <c r="R75" s="3016">
        <v>19</v>
      </c>
      <c r="S75" s="3016">
        <v>1904</v>
      </c>
      <c r="T75" s="3016">
        <v>144.26</v>
      </c>
      <c r="U75" s="2961" t="s">
        <v>3387</v>
      </c>
    </row>
    <row r="76" spans="3:21">
      <c r="C76" s="3016">
        <v>20</v>
      </c>
      <c r="D76" s="3016">
        <v>2002</v>
      </c>
      <c r="E76" s="3016">
        <v>123.43</v>
      </c>
      <c r="F76" s="3016" t="s">
        <v>3143</v>
      </c>
      <c r="H76" s="3016">
        <v>16</v>
      </c>
      <c r="I76" s="3016">
        <v>1604</v>
      </c>
      <c r="J76" s="3016">
        <v>99.69</v>
      </c>
      <c r="K76" s="2961" t="s">
        <v>3387</v>
      </c>
      <c r="M76" s="2960">
        <v>17</v>
      </c>
      <c r="N76" s="2960">
        <v>1701</v>
      </c>
      <c r="O76" s="2960">
        <v>137.91999999999999</v>
      </c>
      <c r="P76" s="2959" t="s">
        <v>3143</v>
      </c>
      <c r="R76" s="3016">
        <v>20</v>
      </c>
      <c r="S76" s="3016">
        <v>2001</v>
      </c>
      <c r="T76" s="3016">
        <v>144.26</v>
      </c>
      <c r="U76" s="2961" t="s">
        <v>3387</v>
      </c>
    </row>
    <row r="77" spans="3:21">
      <c r="C77" s="2960">
        <v>20</v>
      </c>
      <c r="D77" s="2960">
        <v>2003</v>
      </c>
      <c r="E77" s="2960">
        <v>100.56</v>
      </c>
      <c r="F77" s="2959" t="s">
        <v>3144</v>
      </c>
      <c r="H77" s="3016">
        <v>17</v>
      </c>
      <c r="I77" s="3016">
        <v>1701</v>
      </c>
      <c r="J77" s="3016">
        <v>122.35</v>
      </c>
      <c r="K77" s="2961" t="s">
        <v>3387</v>
      </c>
      <c r="M77" s="2960">
        <v>17</v>
      </c>
      <c r="N77" s="2960">
        <v>1702</v>
      </c>
      <c r="O77" s="2960">
        <v>109.24</v>
      </c>
      <c r="P77" s="2959" t="s">
        <v>3143</v>
      </c>
      <c r="R77" s="3016">
        <v>20</v>
      </c>
      <c r="S77" s="3016">
        <v>2002</v>
      </c>
      <c r="T77" s="3016">
        <v>109.32</v>
      </c>
      <c r="U77" s="2961" t="s">
        <v>3387</v>
      </c>
    </row>
    <row r="78" spans="3:21">
      <c r="C78" s="2960">
        <v>20</v>
      </c>
      <c r="D78" s="2960">
        <v>2004</v>
      </c>
      <c r="E78" s="2960">
        <v>100.56</v>
      </c>
      <c r="F78" s="2959" t="s">
        <v>3143</v>
      </c>
      <c r="H78" s="3016">
        <v>17</v>
      </c>
      <c r="I78" s="3016">
        <v>1702</v>
      </c>
      <c r="J78" s="3016">
        <v>122.35</v>
      </c>
      <c r="K78" s="2961" t="s">
        <v>3387</v>
      </c>
      <c r="M78" s="3016">
        <v>17</v>
      </c>
      <c r="N78" s="3016">
        <v>1703</v>
      </c>
      <c r="O78" s="3016">
        <v>109.24</v>
      </c>
      <c r="P78" s="2961" t="s">
        <v>3387</v>
      </c>
      <c r="R78" s="3016">
        <v>20</v>
      </c>
      <c r="S78" s="3016">
        <v>2003</v>
      </c>
      <c r="T78" s="3016">
        <v>109.32</v>
      </c>
      <c r="U78" s="2961" t="s">
        <v>3387</v>
      </c>
    </row>
    <row r="79" spans="3:21">
      <c r="C79" s="2960">
        <v>21</v>
      </c>
      <c r="D79" s="2960">
        <v>2101</v>
      </c>
      <c r="E79" s="2960">
        <v>123.43</v>
      </c>
      <c r="F79" s="2959" t="s">
        <v>3144</v>
      </c>
      <c r="H79" s="3016">
        <v>17</v>
      </c>
      <c r="I79" s="3016">
        <v>1703</v>
      </c>
      <c r="J79" s="3016">
        <v>99.69</v>
      </c>
      <c r="K79" s="2961" t="s">
        <v>3387</v>
      </c>
      <c r="M79" s="2960">
        <v>17</v>
      </c>
      <c r="N79" s="2960">
        <v>1704</v>
      </c>
      <c r="O79" s="2960">
        <v>137.91999999999999</v>
      </c>
      <c r="P79" s="2959" t="s">
        <v>3143</v>
      </c>
      <c r="R79" s="3016">
        <v>20</v>
      </c>
      <c r="S79" s="3016">
        <v>2004</v>
      </c>
      <c r="T79" s="3016">
        <v>144.26</v>
      </c>
      <c r="U79" s="2961" t="s">
        <v>3387</v>
      </c>
    </row>
    <row r="80" spans="3:21">
      <c r="C80" s="3016">
        <v>21</v>
      </c>
      <c r="D80" s="3016">
        <v>2102</v>
      </c>
      <c r="E80" s="3016">
        <v>123.43</v>
      </c>
      <c r="F80" s="2961" t="s">
        <v>3387</v>
      </c>
      <c r="H80" s="3016">
        <v>17</v>
      </c>
      <c r="I80" s="3016">
        <v>1704</v>
      </c>
      <c r="J80" s="3016">
        <v>99.69</v>
      </c>
      <c r="K80" s="2961" t="s">
        <v>3387</v>
      </c>
      <c r="M80" s="2960">
        <v>18</v>
      </c>
      <c r="N80" s="2960">
        <v>1801</v>
      </c>
      <c r="O80" s="2960">
        <v>137.91999999999999</v>
      </c>
      <c r="P80" s="2959" t="s">
        <v>3143</v>
      </c>
      <c r="R80" s="3016">
        <v>21</v>
      </c>
      <c r="S80" s="3016">
        <v>2101</v>
      </c>
      <c r="T80" s="3016">
        <v>144.26</v>
      </c>
      <c r="U80" s="2961" t="s">
        <v>3387</v>
      </c>
    </row>
    <row r="81" spans="3:21">
      <c r="C81" s="2960">
        <v>21</v>
      </c>
      <c r="D81" s="2960">
        <v>2103</v>
      </c>
      <c r="E81" s="2960">
        <v>100.56</v>
      </c>
      <c r="F81" s="2959" t="s">
        <v>3144</v>
      </c>
      <c r="H81" s="2960">
        <v>18</v>
      </c>
      <c r="I81" s="2960">
        <v>1801</v>
      </c>
      <c r="J81" s="2960">
        <v>122.35</v>
      </c>
      <c r="K81" s="2959" t="s">
        <v>3143</v>
      </c>
      <c r="M81" s="2960">
        <v>18</v>
      </c>
      <c r="N81" s="2960">
        <v>1802</v>
      </c>
      <c r="O81" s="2960">
        <v>109.24</v>
      </c>
      <c r="P81" s="2959" t="s">
        <v>3143</v>
      </c>
      <c r="R81" s="2960">
        <v>21</v>
      </c>
      <c r="S81" s="2960">
        <v>2102</v>
      </c>
      <c r="T81" s="2960">
        <v>109.32</v>
      </c>
      <c r="U81" s="2959" t="s">
        <v>3143</v>
      </c>
    </row>
    <row r="82" spans="3:21">
      <c r="C82" s="2960">
        <v>21</v>
      </c>
      <c r="D82" s="2960">
        <v>2104</v>
      </c>
      <c r="E82" s="2960">
        <v>100.56</v>
      </c>
      <c r="F82" s="2959" t="s">
        <v>3143</v>
      </c>
      <c r="H82" s="2960">
        <v>18</v>
      </c>
      <c r="I82" s="2960">
        <v>1802</v>
      </c>
      <c r="J82" s="2960">
        <v>122.35</v>
      </c>
      <c r="K82" s="2959" t="s">
        <v>3143</v>
      </c>
      <c r="M82" s="3016">
        <v>18</v>
      </c>
      <c r="N82" s="3016">
        <v>1803</v>
      </c>
      <c r="O82" s="3016">
        <v>109.24</v>
      </c>
      <c r="P82" s="2961" t="s">
        <v>3390</v>
      </c>
      <c r="R82" s="3016">
        <v>21</v>
      </c>
      <c r="S82" s="3016">
        <v>2103</v>
      </c>
      <c r="T82" s="3016">
        <v>109.32</v>
      </c>
      <c r="U82" s="2961" t="s">
        <v>3387</v>
      </c>
    </row>
    <row r="83" spans="3:21">
      <c r="C83" s="2960">
        <v>22</v>
      </c>
      <c r="D83" s="2960">
        <v>2201</v>
      </c>
      <c r="E83" s="2960">
        <v>123.43</v>
      </c>
      <c r="F83" s="2959" t="s">
        <v>3144</v>
      </c>
      <c r="H83" s="2960">
        <v>18</v>
      </c>
      <c r="I83" s="2960">
        <v>1803</v>
      </c>
      <c r="J83" s="2960">
        <v>99.69</v>
      </c>
      <c r="K83" s="2959" t="s">
        <v>3143</v>
      </c>
      <c r="M83" s="2960">
        <v>18</v>
      </c>
      <c r="N83" s="2960">
        <v>1804</v>
      </c>
      <c r="O83" s="2960">
        <v>137.91999999999999</v>
      </c>
      <c r="P83" s="2959" t="s">
        <v>3143</v>
      </c>
      <c r="R83" s="3016">
        <v>21</v>
      </c>
      <c r="S83" s="3016">
        <v>2104</v>
      </c>
      <c r="T83" s="3016">
        <v>144.26</v>
      </c>
      <c r="U83" s="2961" t="s">
        <v>3387</v>
      </c>
    </row>
    <row r="84" spans="3:21">
      <c r="C84" s="3016">
        <v>22</v>
      </c>
      <c r="D84" s="3016">
        <v>2202</v>
      </c>
      <c r="E84" s="3016">
        <v>123.43</v>
      </c>
      <c r="F84" s="2961" t="s">
        <v>3387</v>
      </c>
      <c r="H84" s="2960">
        <v>18</v>
      </c>
      <c r="I84" s="2960">
        <v>1804</v>
      </c>
      <c r="J84" s="2960">
        <v>99.69</v>
      </c>
      <c r="K84" s="2959" t="s">
        <v>3143</v>
      </c>
      <c r="M84" s="2960">
        <v>19</v>
      </c>
      <c r="N84" s="2960">
        <v>1901</v>
      </c>
      <c r="O84" s="2960">
        <v>137.91999999999999</v>
      </c>
      <c r="P84" s="2959" t="s">
        <v>3143</v>
      </c>
      <c r="R84" s="3016">
        <v>22</v>
      </c>
      <c r="S84" s="3016">
        <v>2201</v>
      </c>
      <c r="T84" s="3016">
        <v>144.26</v>
      </c>
      <c r="U84" s="2961" t="s">
        <v>3387</v>
      </c>
    </row>
    <row r="85" spans="3:21">
      <c r="C85" s="2960">
        <v>22</v>
      </c>
      <c r="D85" s="2960">
        <v>2203</v>
      </c>
      <c r="E85" s="2960">
        <v>100.56</v>
      </c>
      <c r="F85" s="2959" t="s">
        <v>3144</v>
      </c>
      <c r="H85" s="3016">
        <v>19</v>
      </c>
      <c r="I85" s="3016">
        <v>1901</v>
      </c>
      <c r="J85" s="3016">
        <v>122.35</v>
      </c>
      <c r="K85" s="2961" t="s">
        <v>3387</v>
      </c>
      <c r="M85" s="2960">
        <v>19</v>
      </c>
      <c r="N85" s="2960">
        <v>1902</v>
      </c>
      <c r="O85" s="2960">
        <v>109.24</v>
      </c>
      <c r="P85" s="2959" t="s">
        <v>3143</v>
      </c>
      <c r="R85" s="3016">
        <v>22</v>
      </c>
      <c r="S85" s="3016">
        <v>2202</v>
      </c>
      <c r="T85" s="3016">
        <v>109.32</v>
      </c>
      <c r="U85" s="2961" t="s">
        <v>3387</v>
      </c>
    </row>
    <row r="86" spans="3:21">
      <c r="C86" s="3016">
        <v>22</v>
      </c>
      <c r="D86" s="3016">
        <v>2204</v>
      </c>
      <c r="E86" s="3016">
        <v>100.56</v>
      </c>
      <c r="F86" s="2961" t="s">
        <v>3387</v>
      </c>
      <c r="H86" s="3016">
        <v>19</v>
      </c>
      <c r="I86" s="3016">
        <v>1902</v>
      </c>
      <c r="J86" s="3016">
        <v>122.35</v>
      </c>
      <c r="K86" s="2961" t="s">
        <v>3387</v>
      </c>
      <c r="M86" s="2960">
        <v>19</v>
      </c>
      <c r="N86" s="2960">
        <v>1903</v>
      </c>
      <c r="O86" s="2960">
        <v>109.24</v>
      </c>
      <c r="P86" s="2959" t="s">
        <v>3143</v>
      </c>
      <c r="R86" s="3016">
        <v>22</v>
      </c>
      <c r="S86" s="3016">
        <v>2203</v>
      </c>
      <c r="T86" s="3016">
        <v>109.32</v>
      </c>
      <c r="U86" s="2961" t="s">
        <v>3387</v>
      </c>
    </row>
    <row r="87" spans="3:21">
      <c r="C87" s="2960">
        <v>23</v>
      </c>
      <c r="D87" s="2960">
        <v>2301</v>
      </c>
      <c r="E87" s="2960">
        <v>123.43</v>
      </c>
      <c r="F87" s="2959" t="s">
        <v>3144</v>
      </c>
      <c r="H87" s="2960">
        <v>19</v>
      </c>
      <c r="I87" s="2960">
        <v>1903</v>
      </c>
      <c r="J87" s="2960">
        <v>99.69</v>
      </c>
      <c r="K87" s="2959" t="s">
        <v>3143</v>
      </c>
      <c r="M87" s="2960">
        <v>19</v>
      </c>
      <c r="N87" s="2960">
        <v>1904</v>
      </c>
      <c r="O87" s="2960">
        <v>137.91999999999999</v>
      </c>
      <c r="P87" s="2959" t="s">
        <v>3143</v>
      </c>
      <c r="R87" s="3018">
        <v>22</v>
      </c>
      <c r="S87" s="3018">
        <v>2204</v>
      </c>
      <c r="T87" s="3018">
        <v>144.26</v>
      </c>
      <c r="U87" s="3019" t="s">
        <v>3387</v>
      </c>
    </row>
    <row r="88" spans="3:21">
      <c r="C88" s="2960">
        <v>23</v>
      </c>
      <c r="D88" s="2960">
        <v>2302</v>
      </c>
      <c r="E88" s="2960">
        <v>123.43</v>
      </c>
      <c r="F88" s="2959" t="s">
        <v>3143</v>
      </c>
      <c r="H88" s="3016">
        <v>19</v>
      </c>
      <c r="I88" s="3016">
        <v>1904</v>
      </c>
      <c r="J88" s="3016">
        <v>99.69</v>
      </c>
      <c r="K88" s="2961" t="s">
        <v>3387</v>
      </c>
      <c r="M88" s="2960">
        <v>20</v>
      </c>
      <c r="N88" s="2960">
        <v>2001</v>
      </c>
      <c r="O88" s="2960">
        <v>137.91999999999999</v>
      </c>
      <c r="P88" s="2959" t="s">
        <v>3143</v>
      </c>
      <c r="R88" s="2960">
        <v>23</v>
      </c>
      <c r="S88" s="2960">
        <v>2301</v>
      </c>
      <c r="T88" s="2960">
        <v>144.26</v>
      </c>
      <c r="U88" s="2959" t="s">
        <v>3143</v>
      </c>
    </row>
    <row r="89" spans="3:21">
      <c r="C89" s="2960">
        <v>23</v>
      </c>
      <c r="D89" s="2960">
        <v>2303</v>
      </c>
      <c r="E89" s="2960">
        <v>100.56</v>
      </c>
      <c r="F89" s="2959" t="s">
        <v>3144</v>
      </c>
      <c r="H89" s="3016">
        <v>20</v>
      </c>
      <c r="I89" s="3016">
        <v>2001</v>
      </c>
      <c r="J89" s="3016">
        <v>122.35</v>
      </c>
      <c r="K89" s="2961" t="s">
        <v>3387</v>
      </c>
      <c r="M89" s="2960">
        <v>20</v>
      </c>
      <c r="N89" s="2960">
        <v>2002</v>
      </c>
      <c r="O89" s="2960">
        <v>109.24</v>
      </c>
      <c r="P89" s="2959" t="s">
        <v>3143</v>
      </c>
      <c r="R89" s="2960">
        <v>23</v>
      </c>
      <c r="S89" s="2960">
        <v>2302</v>
      </c>
      <c r="T89" s="2960">
        <v>109.32</v>
      </c>
      <c r="U89" s="2959" t="s">
        <v>3143</v>
      </c>
    </row>
    <row r="90" spans="3:21">
      <c r="C90" s="2960">
        <v>23</v>
      </c>
      <c r="D90" s="2960">
        <v>2304</v>
      </c>
      <c r="E90" s="2960">
        <v>100.56</v>
      </c>
      <c r="F90" s="2959" t="s">
        <v>3143</v>
      </c>
      <c r="H90" s="2960">
        <v>20</v>
      </c>
      <c r="I90" s="2960">
        <v>2002</v>
      </c>
      <c r="J90" s="2960">
        <v>122.35</v>
      </c>
      <c r="K90" s="2959" t="s">
        <v>3143</v>
      </c>
      <c r="M90" s="3016">
        <v>20</v>
      </c>
      <c r="N90" s="3016">
        <v>2003</v>
      </c>
      <c r="O90" s="3016">
        <v>109.24</v>
      </c>
      <c r="P90" s="2961" t="s">
        <v>3387</v>
      </c>
      <c r="R90" s="3016">
        <v>23</v>
      </c>
      <c r="S90" s="3016">
        <v>2303</v>
      </c>
      <c r="T90" s="3016">
        <v>109.32</v>
      </c>
      <c r="U90" s="2961" t="s">
        <v>3143</v>
      </c>
    </row>
    <row r="91" spans="3:21">
      <c r="C91" s="3016">
        <v>24</v>
      </c>
      <c r="D91" s="3016">
        <v>2401</v>
      </c>
      <c r="E91" s="3016">
        <v>123.43</v>
      </c>
      <c r="F91" s="2961" t="s">
        <v>3387</v>
      </c>
      <c r="H91" s="2960">
        <v>20</v>
      </c>
      <c r="I91" s="2960">
        <v>2003</v>
      </c>
      <c r="J91" s="2960">
        <v>99.69</v>
      </c>
      <c r="K91" s="2959" t="s">
        <v>3143</v>
      </c>
      <c r="M91" s="2960">
        <v>20</v>
      </c>
      <c r="N91" s="2960">
        <v>2004</v>
      </c>
      <c r="O91" s="2960">
        <v>137.91999999999999</v>
      </c>
      <c r="P91" s="2959" t="s">
        <v>3143</v>
      </c>
      <c r="R91" s="2960">
        <v>23</v>
      </c>
      <c r="S91" s="2960">
        <v>2304</v>
      </c>
      <c r="T91" s="2960">
        <v>144.26</v>
      </c>
      <c r="U91" s="2959" t="s">
        <v>3143</v>
      </c>
    </row>
    <row r="92" spans="3:21">
      <c r="C92" s="3016">
        <v>24</v>
      </c>
      <c r="D92" s="3016">
        <v>2402</v>
      </c>
      <c r="E92" s="3016">
        <v>123.43</v>
      </c>
      <c r="F92" s="2961" t="s">
        <v>3387</v>
      </c>
      <c r="H92" s="3016">
        <v>20</v>
      </c>
      <c r="I92" s="3016">
        <v>2004</v>
      </c>
      <c r="J92" s="3016">
        <v>99.69</v>
      </c>
      <c r="K92" s="2961" t="s">
        <v>3387</v>
      </c>
      <c r="M92" s="2960">
        <v>21</v>
      </c>
      <c r="N92" s="2960">
        <v>2101</v>
      </c>
      <c r="O92" s="2960">
        <v>137.91999999999999</v>
      </c>
      <c r="P92" s="2959" t="s">
        <v>3143</v>
      </c>
      <c r="R92" s="2960">
        <v>24</v>
      </c>
      <c r="S92" s="2960">
        <v>2401</v>
      </c>
      <c r="T92" s="2960">
        <v>144.26</v>
      </c>
      <c r="U92" s="2959" t="s">
        <v>3143</v>
      </c>
    </row>
    <row r="93" spans="3:21">
      <c r="C93" s="2960">
        <v>24</v>
      </c>
      <c r="D93" s="2960">
        <v>2403</v>
      </c>
      <c r="E93" s="2960">
        <v>100.56</v>
      </c>
      <c r="F93" s="2959" t="s">
        <v>3144</v>
      </c>
      <c r="H93" s="3016">
        <v>21</v>
      </c>
      <c r="I93" s="3016">
        <v>2101</v>
      </c>
      <c r="J93" s="3016">
        <v>122.35</v>
      </c>
      <c r="K93" s="2961" t="s">
        <v>3387</v>
      </c>
      <c r="M93" s="2960">
        <v>21</v>
      </c>
      <c r="N93" s="2960">
        <v>2102</v>
      </c>
      <c r="O93" s="2960">
        <v>109.24</v>
      </c>
      <c r="P93" s="2959" t="s">
        <v>3143</v>
      </c>
      <c r="R93" s="2960">
        <v>24</v>
      </c>
      <c r="S93" s="2960">
        <v>2402</v>
      </c>
      <c r="T93" s="2960">
        <v>109.32</v>
      </c>
      <c r="U93" s="2959" t="s">
        <v>3143</v>
      </c>
    </row>
    <row r="94" spans="3:21">
      <c r="C94" s="2960">
        <v>24</v>
      </c>
      <c r="D94" s="2960">
        <v>2404</v>
      </c>
      <c r="E94" s="2960">
        <v>100.56</v>
      </c>
      <c r="F94" s="2959" t="s">
        <v>3143</v>
      </c>
      <c r="H94" s="3016">
        <v>21</v>
      </c>
      <c r="I94" s="3016">
        <v>2102</v>
      </c>
      <c r="J94" s="3016">
        <v>122.35</v>
      </c>
      <c r="K94" s="2961" t="s">
        <v>3387</v>
      </c>
      <c r="M94" s="2960">
        <v>21</v>
      </c>
      <c r="N94" s="2960">
        <v>2103</v>
      </c>
      <c r="O94" s="2960">
        <v>109.24</v>
      </c>
      <c r="P94" s="2959" t="s">
        <v>3143</v>
      </c>
      <c r="R94" s="2960">
        <v>24</v>
      </c>
      <c r="S94" s="2960">
        <v>2403</v>
      </c>
      <c r="T94" s="2960">
        <v>109.32</v>
      </c>
      <c r="U94" s="2959" t="s">
        <v>3143</v>
      </c>
    </row>
    <row r="95" spans="3:21">
      <c r="C95" s="2960">
        <v>25</v>
      </c>
      <c r="D95" s="2960">
        <v>2501</v>
      </c>
      <c r="E95" s="2960">
        <v>123.43</v>
      </c>
      <c r="F95" s="2959" t="s">
        <v>3144</v>
      </c>
      <c r="H95" s="2960">
        <v>21</v>
      </c>
      <c r="I95" s="2960">
        <v>2103</v>
      </c>
      <c r="J95" s="2960">
        <v>99.69</v>
      </c>
      <c r="K95" s="2959" t="s">
        <v>3143</v>
      </c>
      <c r="M95" s="2960">
        <v>21</v>
      </c>
      <c r="N95" s="2960">
        <v>2104</v>
      </c>
      <c r="O95" s="2960">
        <v>137.91999999999999</v>
      </c>
      <c r="P95" s="2959" t="s">
        <v>3143</v>
      </c>
      <c r="R95" s="3016">
        <v>24</v>
      </c>
      <c r="S95" s="3016">
        <v>2404</v>
      </c>
      <c r="T95" s="3016">
        <v>144.26</v>
      </c>
      <c r="U95" s="2961" t="s">
        <v>3387</v>
      </c>
    </row>
    <row r="96" spans="3:21">
      <c r="C96" s="3016">
        <v>25</v>
      </c>
      <c r="D96" s="3016">
        <v>2502</v>
      </c>
      <c r="E96" s="3016">
        <v>123.43</v>
      </c>
      <c r="F96" s="2961" t="s">
        <v>3387</v>
      </c>
      <c r="H96" s="3016">
        <v>21</v>
      </c>
      <c r="I96" s="3016">
        <v>2104</v>
      </c>
      <c r="J96" s="3016">
        <v>99.69</v>
      </c>
      <c r="K96" s="2961" t="s">
        <v>3387</v>
      </c>
      <c r="M96" s="3016">
        <v>22</v>
      </c>
      <c r="N96" s="3016">
        <v>2201</v>
      </c>
      <c r="O96" s="3016">
        <v>137.91999999999999</v>
      </c>
      <c r="P96" s="2961" t="s">
        <v>3387</v>
      </c>
      <c r="R96" s="2960">
        <v>25</v>
      </c>
      <c r="S96" s="2960">
        <v>2501</v>
      </c>
      <c r="T96" s="2960">
        <v>144.26</v>
      </c>
      <c r="U96" s="2959" t="s">
        <v>3143</v>
      </c>
    </row>
    <row r="97" spans="3:21">
      <c r="C97" s="2960">
        <v>25</v>
      </c>
      <c r="D97" s="2960">
        <v>2503</v>
      </c>
      <c r="E97" s="2960">
        <v>100.56</v>
      </c>
      <c r="F97" s="2959" t="s">
        <v>3144</v>
      </c>
      <c r="H97" s="2960">
        <v>22</v>
      </c>
      <c r="I97" s="2960">
        <v>2201</v>
      </c>
      <c r="J97" s="2960">
        <v>122.35</v>
      </c>
      <c r="K97" s="2959" t="s">
        <v>3143</v>
      </c>
      <c r="M97" s="3016">
        <v>22</v>
      </c>
      <c r="N97" s="3016">
        <v>2202</v>
      </c>
      <c r="O97" s="3016">
        <v>109.24</v>
      </c>
      <c r="P97" s="2961" t="s">
        <v>3387</v>
      </c>
      <c r="R97" s="2960">
        <v>25</v>
      </c>
      <c r="S97" s="2960">
        <v>2502</v>
      </c>
      <c r="T97" s="2960">
        <v>109.32</v>
      </c>
      <c r="U97" s="2959" t="s">
        <v>3143</v>
      </c>
    </row>
    <row r="98" spans="3:21">
      <c r="C98" s="2960">
        <v>25</v>
      </c>
      <c r="D98" s="2960">
        <v>2504</v>
      </c>
      <c r="E98" s="2960">
        <v>100.56</v>
      </c>
      <c r="F98" s="2959" t="s">
        <v>3143</v>
      </c>
      <c r="H98" s="2960">
        <v>22</v>
      </c>
      <c r="I98" s="2960">
        <v>2202</v>
      </c>
      <c r="J98" s="2960">
        <v>122.35</v>
      </c>
      <c r="K98" s="2959" t="s">
        <v>3143</v>
      </c>
      <c r="M98" s="2960">
        <v>22</v>
      </c>
      <c r="N98" s="2960">
        <v>2203</v>
      </c>
      <c r="O98" s="2960">
        <v>109.24</v>
      </c>
      <c r="P98" s="2959" t="s">
        <v>3143</v>
      </c>
      <c r="R98" s="2960">
        <v>25</v>
      </c>
      <c r="S98" s="2960">
        <v>2503</v>
      </c>
      <c r="T98" s="2960">
        <v>109.32</v>
      </c>
      <c r="U98" s="2959" t="s">
        <v>3143</v>
      </c>
    </row>
    <row r="99" spans="3:21">
      <c r="C99" s="2960">
        <v>26</v>
      </c>
      <c r="D99" s="2960">
        <v>2601</v>
      </c>
      <c r="E99" s="2960">
        <v>123.43</v>
      </c>
      <c r="F99" s="2959" t="s">
        <v>3144</v>
      </c>
      <c r="H99" s="2960">
        <v>22</v>
      </c>
      <c r="I99" s="2960">
        <v>2203</v>
      </c>
      <c r="J99" s="2960">
        <v>99.69</v>
      </c>
      <c r="K99" s="2959" t="s">
        <v>3143</v>
      </c>
      <c r="M99" s="2960">
        <v>22</v>
      </c>
      <c r="N99" s="2960">
        <v>2204</v>
      </c>
      <c r="O99" s="2960">
        <v>137.91999999999999</v>
      </c>
      <c r="P99" s="2959" t="s">
        <v>3143</v>
      </c>
      <c r="R99" s="2960">
        <v>25</v>
      </c>
      <c r="S99" s="2960">
        <v>2504</v>
      </c>
      <c r="T99" s="2960">
        <v>144.26</v>
      </c>
      <c r="U99" s="2959" t="s">
        <v>3143</v>
      </c>
    </row>
    <row r="100" spans="3:21">
      <c r="C100" s="3016">
        <v>26</v>
      </c>
      <c r="D100" s="3016">
        <v>2602</v>
      </c>
      <c r="E100" s="3016">
        <v>123.43</v>
      </c>
      <c r="F100" s="2961" t="s">
        <v>3387</v>
      </c>
      <c r="H100" s="3016">
        <v>22</v>
      </c>
      <c r="I100" s="3016">
        <v>2204</v>
      </c>
      <c r="J100" s="3016">
        <v>99.69</v>
      </c>
      <c r="K100" s="2961" t="s">
        <v>3387</v>
      </c>
      <c r="M100" s="2960">
        <v>23</v>
      </c>
      <c r="N100" s="2960">
        <v>2301</v>
      </c>
      <c r="O100" s="2960">
        <v>137.91999999999999</v>
      </c>
      <c r="P100" s="2959" t="s">
        <v>3143</v>
      </c>
      <c r="R100" s="3016">
        <v>26</v>
      </c>
      <c r="S100" s="3016">
        <v>2601</v>
      </c>
      <c r="T100" s="3016">
        <v>144.26</v>
      </c>
      <c r="U100" s="2961" t="s">
        <v>3387</v>
      </c>
    </row>
    <row r="101" spans="3:21">
      <c r="C101" s="2960">
        <v>26</v>
      </c>
      <c r="D101" s="2960">
        <v>2603</v>
      </c>
      <c r="E101" s="2960">
        <v>100.56</v>
      </c>
      <c r="F101" s="2959" t="s">
        <v>3144</v>
      </c>
      <c r="H101" s="3016">
        <v>23</v>
      </c>
      <c r="I101" s="3016">
        <v>2301</v>
      </c>
      <c r="J101" s="3016">
        <v>122.35</v>
      </c>
      <c r="K101" s="2961" t="s">
        <v>3387</v>
      </c>
      <c r="M101" s="2960">
        <v>23</v>
      </c>
      <c r="N101" s="2960">
        <v>2302</v>
      </c>
      <c r="O101" s="2960">
        <v>109.24</v>
      </c>
      <c r="P101" s="2959" t="s">
        <v>3143</v>
      </c>
      <c r="R101" s="2960">
        <v>26</v>
      </c>
      <c r="S101" s="2960">
        <v>2602</v>
      </c>
      <c r="T101" s="2960">
        <v>109.32</v>
      </c>
      <c r="U101" s="2959" t="s">
        <v>3143</v>
      </c>
    </row>
    <row r="102" spans="3:21">
      <c r="C102" s="2960">
        <v>26</v>
      </c>
      <c r="D102" s="2960">
        <v>2604</v>
      </c>
      <c r="E102" s="2960">
        <v>100.56</v>
      </c>
      <c r="F102" s="2959" t="s">
        <v>3143</v>
      </c>
      <c r="H102" s="3016">
        <v>23</v>
      </c>
      <c r="I102" s="3016">
        <v>2302</v>
      </c>
      <c r="J102" s="3016">
        <v>122.35</v>
      </c>
      <c r="K102" s="2961" t="s">
        <v>3387</v>
      </c>
      <c r="M102" s="3016">
        <v>23</v>
      </c>
      <c r="N102" s="3016">
        <v>2303</v>
      </c>
      <c r="O102" s="3016">
        <v>109.24</v>
      </c>
      <c r="P102" s="2961" t="s">
        <v>3387</v>
      </c>
      <c r="R102" s="3016">
        <v>26</v>
      </c>
      <c r="S102" s="3016">
        <v>2603</v>
      </c>
      <c r="T102" s="3016">
        <v>109.32</v>
      </c>
      <c r="U102" s="2961" t="s">
        <v>3387</v>
      </c>
    </row>
    <row r="103" spans="3:21">
      <c r="C103" s="3016">
        <v>27</v>
      </c>
      <c r="D103" s="3016">
        <v>2701</v>
      </c>
      <c r="E103" s="3016">
        <v>123.43</v>
      </c>
      <c r="F103" s="2961" t="s">
        <v>3387</v>
      </c>
      <c r="H103" s="2960">
        <v>23</v>
      </c>
      <c r="I103" s="2960">
        <v>2303</v>
      </c>
      <c r="J103" s="2960">
        <v>99.69</v>
      </c>
      <c r="K103" s="2959" t="s">
        <v>3143</v>
      </c>
      <c r="M103" s="2960">
        <v>23</v>
      </c>
      <c r="N103" s="2960">
        <v>2304</v>
      </c>
      <c r="O103" s="2960">
        <v>137.91999999999999</v>
      </c>
      <c r="P103" s="2959" t="s">
        <v>3143</v>
      </c>
      <c r="R103" s="2960">
        <v>26</v>
      </c>
      <c r="S103" s="2960">
        <v>2604</v>
      </c>
      <c r="T103" s="2960">
        <v>144.26</v>
      </c>
      <c r="U103" s="2959" t="s">
        <v>3143</v>
      </c>
    </row>
    <row r="104" spans="3:21">
      <c r="C104" s="3016">
        <v>27</v>
      </c>
      <c r="D104" s="3016">
        <v>2702</v>
      </c>
      <c r="E104" s="3016">
        <v>123.43</v>
      </c>
      <c r="F104" s="2961" t="s">
        <v>3387</v>
      </c>
      <c r="H104" s="3016">
        <v>23</v>
      </c>
      <c r="I104" s="3016">
        <v>2304</v>
      </c>
      <c r="J104" s="3016">
        <v>99.69</v>
      </c>
      <c r="K104" s="2961" t="s">
        <v>3387</v>
      </c>
      <c r="M104" s="2960">
        <v>24</v>
      </c>
      <c r="N104" s="2960">
        <v>2401</v>
      </c>
      <c r="O104" s="2960">
        <v>137.91999999999999</v>
      </c>
      <c r="P104" s="2959" t="s">
        <v>3143</v>
      </c>
      <c r="R104" s="2960">
        <v>27</v>
      </c>
      <c r="S104" s="2960">
        <v>2701</v>
      </c>
      <c r="T104" s="2960">
        <v>144.26</v>
      </c>
      <c r="U104" s="2959" t="s">
        <v>3143</v>
      </c>
    </row>
    <row r="105" spans="3:21">
      <c r="C105" s="2960">
        <v>27</v>
      </c>
      <c r="D105" s="2960">
        <v>2703</v>
      </c>
      <c r="E105" s="2960">
        <v>100.56</v>
      </c>
      <c r="F105" s="2959" t="s">
        <v>3144</v>
      </c>
      <c r="H105" s="3016">
        <v>24</v>
      </c>
      <c r="I105" s="3016">
        <v>2401</v>
      </c>
      <c r="J105" s="3016">
        <v>122.35</v>
      </c>
      <c r="K105" s="2961" t="s">
        <v>3387</v>
      </c>
      <c r="M105" s="2960">
        <v>24</v>
      </c>
      <c r="N105" s="2960">
        <v>2402</v>
      </c>
      <c r="O105" s="2960">
        <v>109.24</v>
      </c>
      <c r="P105" s="2959" t="s">
        <v>3143</v>
      </c>
      <c r="R105" s="2960">
        <v>27</v>
      </c>
      <c r="S105" s="2960">
        <v>2702</v>
      </c>
      <c r="T105" s="2960">
        <v>109.32</v>
      </c>
      <c r="U105" s="2959" t="s">
        <v>3143</v>
      </c>
    </row>
    <row r="106" spans="3:21">
      <c r="C106" s="2960">
        <v>27</v>
      </c>
      <c r="D106" s="2960">
        <v>2704</v>
      </c>
      <c r="E106" s="2960">
        <v>100.56</v>
      </c>
      <c r="F106" s="2959" t="s">
        <v>3143</v>
      </c>
      <c r="H106" s="2960">
        <v>24</v>
      </c>
      <c r="I106" s="2960">
        <v>2402</v>
      </c>
      <c r="J106" s="2960">
        <v>122.35</v>
      </c>
      <c r="K106" s="2959" t="s">
        <v>3143</v>
      </c>
      <c r="M106" s="2960">
        <v>24</v>
      </c>
      <c r="N106" s="2960">
        <v>2403</v>
      </c>
      <c r="O106" s="2960">
        <v>109.24</v>
      </c>
      <c r="P106" s="2959" t="s">
        <v>3143</v>
      </c>
      <c r="R106" s="2960">
        <v>27</v>
      </c>
      <c r="S106" s="2960">
        <v>2703</v>
      </c>
      <c r="T106" s="2960">
        <v>109.32</v>
      </c>
      <c r="U106" s="2959" t="s">
        <v>3143</v>
      </c>
    </row>
    <row r="107" spans="3:21">
      <c r="C107" s="2960">
        <v>28</v>
      </c>
      <c r="D107" s="2960">
        <v>2801</v>
      </c>
      <c r="E107" s="2960">
        <v>123.43</v>
      </c>
      <c r="F107" s="2959" t="s">
        <v>3144</v>
      </c>
      <c r="H107" s="2960">
        <v>24</v>
      </c>
      <c r="I107" s="2960">
        <v>2403</v>
      </c>
      <c r="J107" s="2960">
        <v>99.69</v>
      </c>
      <c r="K107" s="2959" t="s">
        <v>3143</v>
      </c>
      <c r="M107" s="2960">
        <v>24</v>
      </c>
      <c r="N107" s="2960">
        <v>2404</v>
      </c>
      <c r="O107" s="2960">
        <v>137.91999999999999</v>
      </c>
      <c r="P107" s="2959" t="s">
        <v>3143</v>
      </c>
      <c r="R107" s="2960">
        <v>27</v>
      </c>
      <c r="S107" s="2960">
        <v>2704</v>
      </c>
      <c r="T107" s="2960">
        <v>144.26</v>
      </c>
      <c r="U107" s="2959" t="s">
        <v>3143</v>
      </c>
    </row>
    <row r="108" spans="3:21">
      <c r="C108" s="3016">
        <v>28</v>
      </c>
      <c r="D108" s="3016">
        <v>2802</v>
      </c>
      <c r="E108" s="3016">
        <v>123.43</v>
      </c>
      <c r="F108" s="2961" t="s">
        <v>3388</v>
      </c>
      <c r="H108" s="2960">
        <v>24</v>
      </c>
      <c r="I108" s="2960">
        <v>2404</v>
      </c>
      <c r="J108" s="2960">
        <v>99.69</v>
      </c>
      <c r="K108" s="2959" t="s">
        <v>3143</v>
      </c>
      <c r="M108" s="2960">
        <v>25</v>
      </c>
      <c r="N108" s="2960">
        <v>2501</v>
      </c>
      <c r="O108" s="2960">
        <v>137.91999999999999</v>
      </c>
      <c r="P108" s="2959" t="s">
        <v>3143</v>
      </c>
      <c r="R108" s="2960">
        <v>28</v>
      </c>
      <c r="S108" s="2960">
        <v>2801</v>
      </c>
      <c r="T108" s="2960">
        <v>144.26</v>
      </c>
      <c r="U108" s="2959" t="s">
        <v>3143</v>
      </c>
    </row>
    <row r="109" spans="3:21">
      <c r="C109" s="2960">
        <v>28</v>
      </c>
      <c r="D109" s="2960">
        <v>2803</v>
      </c>
      <c r="E109" s="2960">
        <v>100.56</v>
      </c>
      <c r="F109" s="2959" t="s">
        <v>3144</v>
      </c>
      <c r="H109" s="3016">
        <v>25</v>
      </c>
      <c r="I109" s="3016">
        <v>2501</v>
      </c>
      <c r="J109" s="3016">
        <v>122.35</v>
      </c>
      <c r="K109" s="2961" t="s">
        <v>3387</v>
      </c>
      <c r="M109" s="2960">
        <v>25</v>
      </c>
      <c r="N109" s="2960">
        <v>2502</v>
      </c>
      <c r="O109" s="2960">
        <v>109.24</v>
      </c>
      <c r="P109" s="2959" t="s">
        <v>3143</v>
      </c>
      <c r="R109" s="2960">
        <v>28</v>
      </c>
      <c r="S109" s="2960">
        <v>2802</v>
      </c>
      <c r="T109" s="2960">
        <v>109.32</v>
      </c>
      <c r="U109" s="2959" t="s">
        <v>3143</v>
      </c>
    </row>
    <row r="110" spans="3:21">
      <c r="C110" s="3016">
        <v>28</v>
      </c>
      <c r="D110" s="3016">
        <v>2804</v>
      </c>
      <c r="E110" s="3016">
        <v>100.56</v>
      </c>
      <c r="F110" s="2961" t="s">
        <v>3387</v>
      </c>
      <c r="H110" s="2960">
        <v>25</v>
      </c>
      <c r="I110" s="2960">
        <v>2502</v>
      </c>
      <c r="J110" s="2960">
        <v>122.35</v>
      </c>
      <c r="K110" s="2959" t="s">
        <v>3143</v>
      </c>
      <c r="M110" s="2960">
        <v>25</v>
      </c>
      <c r="N110" s="2960">
        <v>2503</v>
      </c>
      <c r="O110" s="2960">
        <v>109.24</v>
      </c>
      <c r="P110" s="2959" t="s">
        <v>3143</v>
      </c>
      <c r="R110" s="3016">
        <v>28</v>
      </c>
      <c r="S110" s="3016">
        <v>2803</v>
      </c>
      <c r="T110" s="3016">
        <v>109.32</v>
      </c>
      <c r="U110" s="2961" t="s">
        <v>3387</v>
      </c>
    </row>
    <row r="111" spans="3:21">
      <c r="C111" s="2960">
        <v>29</v>
      </c>
      <c r="D111" s="2960">
        <v>2901</v>
      </c>
      <c r="E111" s="2960">
        <v>123.43</v>
      </c>
      <c r="F111" s="2959" t="s">
        <v>3387</v>
      </c>
      <c r="H111" s="2960">
        <v>25</v>
      </c>
      <c r="I111" s="2960">
        <v>2503</v>
      </c>
      <c r="J111" s="2960">
        <v>99.69</v>
      </c>
      <c r="K111" s="2959" t="s">
        <v>3143</v>
      </c>
      <c r="M111" s="2960">
        <v>25</v>
      </c>
      <c r="N111" s="2960">
        <v>2504</v>
      </c>
      <c r="O111" s="2960">
        <v>137.91999999999999</v>
      </c>
      <c r="P111" s="2959" t="s">
        <v>3143</v>
      </c>
      <c r="R111" s="3016">
        <v>28</v>
      </c>
      <c r="S111" s="3016">
        <v>2804</v>
      </c>
      <c r="T111" s="3016">
        <v>144.26</v>
      </c>
      <c r="U111" s="2961" t="s">
        <v>3387</v>
      </c>
    </row>
    <row r="112" spans="3:21">
      <c r="C112" s="3016">
        <v>29</v>
      </c>
      <c r="D112" s="3016">
        <v>2902</v>
      </c>
      <c r="E112" s="3016">
        <v>123.43</v>
      </c>
      <c r="F112" s="2961" t="s">
        <v>3387</v>
      </c>
      <c r="H112" s="3016">
        <v>25</v>
      </c>
      <c r="I112" s="3016">
        <v>2504</v>
      </c>
      <c r="J112" s="3016">
        <v>99.69</v>
      </c>
      <c r="K112" s="2961" t="s">
        <v>3387</v>
      </c>
      <c r="M112" s="2960">
        <v>26</v>
      </c>
      <c r="N112" s="2960">
        <v>2601</v>
      </c>
      <c r="O112" s="2960">
        <v>137.91999999999999</v>
      </c>
      <c r="P112" s="2959" t="s">
        <v>3143</v>
      </c>
      <c r="R112" s="2960">
        <v>29</v>
      </c>
      <c r="S112" s="2960">
        <v>2901</v>
      </c>
      <c r="T112" s="2960">
        <v>144.26</v>
      </c>
      <c r="U112" s="2959" t="s">
        <v>3143</v>
      </c>
    </row>
    <row r="113" spans="3:21">
      <c r="C113" s="2960">
        <v>29</v>
      </c>
      <c r="D113" s="2960">
        <v>2903</v>
      </c>
      <c r="E113" s="2960">
        <v>100.56</v>
      </c>
      <c r="F113" s="2959" t="s">
        <v>3144</v>
      </c>
      <c r="H113" s="3016">
        <v>26</v>
      </c>
      <c r="I113" s="3016">
        <v>2601</v>
      </c>
      <c r="J113" s="3016">
        <v>122.35</v>
      </c>
      <c r="K113" s="2961" t="s">
        <v>3387</v>
      </c>
      <c r="M113" s="2960">
        <v>26</v>
      </c>
      <c r="N113" s="2960">
        <v>2602</v>
      </c>
      <c r="O113" s="2960">
        <v>109.24</v>
      </c>
      <c r="P113" s="2959" t="s">
        <v>3143</v>
      </c>
      <c r="R113" s="2960">
        <v>29</v>
      </c>
      <c r="S113" s="2960">
        <v>2902</v>
      </c>
      <c r="T113" s="2960">
        <v>109.32</v>
      </c>
      <c r="U113" s="2959" t="s">
        <v>3143</v>
      </c>
    </row>
    <row r="114" spans="3:21">
      <c r="C114" s="2960">
        <v>29</v>
      </c>
      <c r="D114" s="2960">
        <v>2904</v>
      </c>
      <c r="E114" s="2960">
        <v>100.56</v>
      </c>
      <c r="F114" s="2959" t="s">
        <v>3143</v>
      </c>
      <c r="H114" s="2960">
        <v>26</v>
      </c>
      <c r="I114" s="2960">
        <v>2602</v>
      </c>
      <c r="J114" s="2960">
        <v>122.35</v>
      </c>
      <c r="K114" s="2959" t="s">
        <v>3143</v>
      </c>
      <c r="M114" s="2960">
        <v>26</v>
      </c>
      <c r="N114" s="2960">
        <v>2603</v>
      </c>
      <c r="O114" s="2960">
        <v>109.24</v>
      </c>
      <c r="P114" s="2959" t="s">
        <v>3143</v>
      </c>
      <c r="R114" s="2960">
        <v>29</v>
      </c>
      <c r="S114" s="2960">
        <v>2903</v>
      </c>
      <c r="T114" s="2960">
        <v>109.32</v>
      </c>
      <c r="U114" s="2959" t="s">
        <v>3143</v>
      </c>
    </row>
    <row r="115" spans="3:21">
      <c r="C115" s="2960">
        <v>30</v>
      </c>
      <c r="D115" s="2960">
        <v>3001</v>
      </c>
      <c r="E115" s="2960">
        <v>123.43</v>
      </c>
      <c r="F115" s="2959" t="s">
        <v>3144</v>
      </c>
      <c r="H115" s="2960">
        <v>26</v>
      </c>
      <c r="I115" s="2960">
        <v>2603</v>
      </c>
      <c r="J115" s="2960">
        <v>99.69</v>
      </c>
      <c r="K115" s="2959" t="s">
        <v>3143</v>
      </c>
      <c r="M115" s="3016">
        <v>26</v>
      </c>
      <c r="N115" s="3016">
        <v>2604</v>
      </c>
      <c r="O115" s="3016">
        <v>137.91999999999999</v>
      </c>
      <c r="P115" s="2961" t="s">
        <v>3387</v>
      </c>
      <c r="R115" s="2960">
        <v>29</v>
      </c>
      <c r="S115" s="2960">
        <v>2904</v>
      </c>
      <c r="T115" s="2960">
        <v>144.26</v>
      </c>
      <c r="U115" s="2959" t="s">
        <v>3143</v>
      </c>
    </row>
    <row r="116" spans="3:21">
      <c r="C116" s="3016">
        <v>30</v>
      </c>
      <c r="D116" s="3016">
        <v>3002</v>
      </c>
      <c r="E116" s="3016">
        <v>123.43</v>
      </c>
      <c r="F116" s="2961" t="s">
        <v>3387</v>
      </c>
      <c r="H116" s="3016">
        <v>26</v>
      </c>
      <c r="I116" s="3016">
        <v>2604</v>
      </c>
      <c r="J116" s="3016">
        <v>99.69</v>
      </c>
      <c r="K116" s="2961" t="s">
        <v>3387</v>
      </c>
      <c r="M116" s="2960">
        <v>27</v>
      </c>
      <c r="N116" s="2960">
        <v>2701</v>
      </c>
      <c r="O116" s="2960">
        <v>137.91999999999999</v>
      </c>
      <c r="P116" s="2959" t="s">
        <v>3143</v>
      </c>
      <c r="R116" s="2960">
        <v>30</v>
      </c>
      <c r="S116" s="2960">
        <v>3001</v>
      </c>
      <c r="T116" s="2960">
        <v>144.26</v>
      </c>
      <c r="U116" s="2959" t="s">
        <v>3143</v>
      </c>
    </row>
    <row r="117" spans="3:21">
      <c r="C117" s="2960">
        <v>30</v>
      </c>
      <c r="D117" s="2960">
        <v>3003</v>
      </c>
      <c r="E117" s="2960">
        <v>100.56</v>
      </c>
      <c r="F117" s="2959" t="s">
        <v>3144</v>
      </c>
      <c r="H117" s="3016">
        <v>27</v>
      </c>
      <c r="I117" s="3016">
        <v>2701</v>
      </c>
      <c r="J117" s="3016">
        <v>122.35</v>
      </c>
      <c r="K117" s="2961" t="s">
        <v>3387</v>
      </c>
      <c r="M117" s="2960">
        <v>27</v>
      </c>
      <c r="N117" s="2960">
        <v>2702</v>
      </c>
      <c r="O117" s="2960">
        <v>109.24</v>
      </c>
      <c r="P117" s="2959" t="s">
        <v>3143</v>
      </c>
      <c r="R117" s="2960">
        <v>30</v>
      </c>
      <c r="S117" s="2960">
        <v>3002</v>
      </c>
      <c r="T117" s="2960">
        <v>109.32</v>
      </c>
      <c r="U117" s="2959" t="s">
        <v>3143</v>
      </c>
    </row>
    <row r="118" spans="3:21">
      <c r="C118" s="2960">
        <v>30</v>
      </c>
      <c r="D118" s="2960">
        <v>3004</v>
      </c>
      <c r="E118" s="2960">
        <v>100.56</v>
      </c>
      <c r="F118" s="2959" t="s">
        <v>3143</v>
      </c>
      <c r="H118" s="2960">
        <v>27</v>
      </c>
      <c r="I118" s="2960">
        <v>2702</v>
      </c>
      <c r="J118" s="2960">
        <v>122.35</v>
      </c>
      <c r="K118" s="2959" t="s">
        <v>3143</v>
      </c>
      <c r="M118" s="2960">
        <v>27</v>
      </c>
      <c r="N118" s="2960">
        <v>2703</v>
      </c>
      <c r="O118" s="2960">
        <v>109.24</v>
      </c>
      <c r="P118" s="2959" t="s">
        <v>3143</v>
      </c>
      <c r="R118" s="2960">
        <v>30</v>
      </c>
      <c r="S118" s="2960">
        <v>3003</v>
      </c>
      <c r="T118" s="2960">
        <v>109.32</v>
      </c>
      <c r="U118" s="2959" t="s">
        <v>3143</v>
      </c>
    </row>
    <row r="119" spans="3:21">
      <c r="C119" s="2960">
        <v>31</v>
      </c>
      <c r="D119" s="2960">
        <v>3101</v>
      </c>
      <c r="E119" s="2960">
        <v>123.43</v>
      </c>
      <c r="F119" s="2959" t="s">
        <v>3144</v>
      </c>
      <c r="H119" s="3016">
        <v>27</v>
      </c>
      <c r="I119" s="3016">
        <v>2703</v>
      </c>
      <c r="J119" s="3016">
        <v>99.69</v>
      </c>
      <c r="K119" s="2961" t="s">
        <v>3389</v>
      </c>
      <c r="M119" s="2960">
        <v>27</v>
      </c>
      <c r="N119" s="2960">
        <v>2704</v>
      </c>
      <c r="O119" s="2960">
        <v>137.91999999999999</v>
      </c>
      <c r="P119" s="2959" t="s">
        <v>3143</v>
      </c>
      <c r="R119" s="2960">
        <v>30</v>
      </c>
      <c r="S119" s="2960">
        <v>3004</v>
      </c>
      <c r="T119" s="2960">
        <v>144.26</v>
      </c>
      <c r="U119" s="2959" t="s">
        <v>3143</v>
      </c>
    </row>
    <row r="120" spans="3:21">
      <c r="C120" s="2960">
        <v>31</v>
      </c>
      <c r="D120" s="2960">
        <v>3102</v>
      </c>
      <c r="E120" s="2960">
        <v>123.43</v>
      </c>
      <c r="F120" s="2959" t="s">
        <v>3143</v>
      </c>
      <c r="H120" s="3016">
        <v>27</v>
      </c>
      <c r="I120" s="3016">
        <v>2704</v>
      </c>
      <c r="J120" s="3016">
        <v>99.69</v>
      </c>
      <c r="K120" s="2961" t="s">
        <v>3389</v>
      </c>
      <c r="M120" s="2960">
        <v>28</v>
      </c>
      <c r="N120" s="2960">
        <v>2801</v>
      </c>
      <c r="O120" s="2960">
        <v>137.91999999999999</v>
      </c>
      <c r="P120" s="2959" t="s">
        <v>3143</v>
      </c>
      <c r="R120" s="2960">
        <v>31</v>
      </c>
      <c r="S120" s="2960">
        <v>3101</v>
      </c>
      <c r="T120" s="2960">
        <v>144.26</v>
      </c>
      <c r="U120" s="2959" t="s">
        <v>3143</v>
      </c>
    </row>
    <row r="121" spans="3:21">
      <c r="C121" s="2960">
        <v>31</v>
      </c>
      <c r="D121" s="2960">
        <v>3103</v>
      </c>
      <c r="E121" s="2960">
        <v>100.56</v>
      </c>
      <c r="F121" s="2959" t="s">
        <v>3144</v>
      </c>
      <c r="H121" s="3016">
        <v>28</v>
      </c>
      <c r="I121" s="3016">
        <v>2801</v>
      </c>
      <c r="J121" s="3016">
        <v>122.35</v>
      </c>
      <c r="K121" s="2961" t="s">
        <v>3387</v>
      </c>
      <c r="M121" s="2960">
        <v>28</v>
      </c>
      <c r="N121" s="2960">
        <v>2802</v>
      </c>
      <c r="O121" s="2960">
        <v>109.24</v>
      </c>
      <c r="P121" s="2959" t="s">
        <v>3143</v>
      </c>
      <c r="R121" s="2960">
        <v>31</v>
      </c>
      <c r="S121" s="2960">
        <v>3102</v>
      </c>
      <c r="T121" s="2960">
        <v>109.32</v>
      </c>
      <c r="U121" s="2959" t="s">
        <v>3143</v>
      </c>
    </row>
    <row r="122" spans="3:21">
      <c r="C122" s="2960">
        <v>31</v>
      </c>
      <c r="D122" s="2960">
        <v>3104</v>
      </c>
      <c r="E122" s="2960">
        <v>100.56</v>
      </c>
      <c r="F122" s="2959" t="s">
        <v>3143</v>
      </c>
      <c r="H122" s="2960">
        <v>28</v>
      </c>
      <c r="I122" s="2960">
        <v>2802</v>
      </c>
      <c r="J122" s="2960">
        <v>122.35</v>
      </c>
      <c r="K122" s="2959" t="s">
        <v>3143</v>
      </c>
      <c r="M122" s="2960">
        <v>28</v>
      </c>
      <c r="N122" s="2960">
        <v>2803</v>
      </c>
      <c r="O122" s="2960">
        <v>109.24</v>
      </c>
      <c r="P122" s="2959" t="s">
        <v>3143</v>
      </c>
      <c r="R122" s="2960">
        <v>31</v>
      </c>
      <c r="S122" s="2960">
        <v>3103</v>
      </c>
      <c r="T122" s="2960">
        <v>109.32</v>
      </c>
      <c r="U122" s="2959" t="s">
        <v>3143</v>
      </c>
    </row>
    <row r="123" spans="3:21">
      <c r="C123" s="2960">
        <v>32</v>
      </c>
      <c r="D123" s="2960">
        <v>3201</v>
      </c>
      <c r="E123" s="2960">
        <v>123.43</v>
      </c>
      <c r="F123" s="2959" t="s">
        <v>3144</v>
      </c>
      <c r="H123" s="2960">
        <v>28</v>
      </c>
      <c r="I123" s="2960">
        <v>2803</v>
      </c>
      <c r="J123" s="2960">
        <v>99.69</v>
      </c>
      <c r="K123" s="2959" t="s">
        <v>3143</v>
      </c>
      <c r="M123" s="2960">
        <v>28</v>
      </c>
      <c r="N123" s="2960">
        <v>2804</v>
      </c>
      <c r="O123" s="2960">
        <v>137.91999999999999</v>
      </c>
      <c r="P123" s="2959" t="s">
        <v>3143</v>
      </c>
      <c r="R123" s="2960">
        <v>31</v>
      </c>
      <c r="S123" s="2960">
        <v>3104</v>
      </c>
      <c r="T123" s="2960">
        <v>144.26</v>
      </c>
      <c r="U123" s="2959" t="s">
        <v>3143</v>
      </c>
    </row>
    <row r="124" spans="3:21">
      <c r="C124" s="2960">
        <v>32</v>
      </c>
      <c r="D124" s="2960">
        <v>3202</v>
      </c>
      <c r="E124" s="2960">
        <v>123.43</v>
      </c>
      <c r="F124" s="2959" t="s">
        <v>3143</v>
      </c>
      <c r="H124" s="3016">
        <v>28</v>
      </c>
      <c r="I124" s="3016">
        <v>2804</v>
      </c>
      <c r="J124" s="3016">
        <v>99.69</v>
      </c>
      <c r="K124" s="2961" t="s">
        <v>3387</v>
      </c>
      <c r="M124" s="2960">
        <v>29</v>
      </c>
      <c r="N124" s="2960">
        <v>2901</v>
      </c>
      <c r="O124" s="2960">
        <v>137.91999999999999</v>
      </c>
      <c r="P124" s="2959" t="s">
        <v>3143</v>
      </c>
      <c r="R124" s="3016">
        <v>32</v>
      </c>
      <c r="S124" s="3016">
        <v>3201</v>
      </c>
      <c r="T124" s="3016">
        <v>144.26</v>
      </c>
      <c r="U124" s="2961" t="s">
        <v>3387</v>
      </c>
    </row>
    <row r="125" spans="3:21">
      <c r="C125" s="2960">
        <v>32</v>
      </c>
      <c r="D125" s="2960">
        <v>3203</v>
      </c>
      <c r="E125" s="2960">
        <v>100.56</v>
      </c>
      <c r="F125" s="2959" t="s">
        <v>3144</v>
      </c>
      <c r="H125" s="3016">
        <v>29</v>
      </c>
      <c r="I125" s="3016">
        <v>2901</v>
      </c>
      <c r="J125" s="3016">
        <v>122.35</v>
      </c>
      <c r="K125" s="2961" t="s">
        <v>3387</v>
      </c>
      <c r="M125" s="3016">
        <v>29</v>
      </c>
      <c r="N125" s="3016">
        <v>2902</v>
      </c>
      <c r="O125" s="3016">
        <v>109.24</v>
      </c>
      <c r="P125" s="2961" t="s">
        <v>3387</v>
      </c>
      <c r="R125" s="2960">
        <v>32</v>
      </c>
      <c r="S125" s="2960">
        <v>3202</v>
      </c>
      <c r="T125" s="2960">
        <v>109.32</v>
      </c>
      <c r="U125" s="2959" t="s">
        <v>3143</v>
      </c>
    </row>
    <row r="126" spans="3:21">
      <c r="C126" s="2960">
        <v>32</v>
      </c>
      <c r="D126" s="2960">
        <v>3204</v>
      </c>
      <c r="E126" s="2960">
        <v>100.56</v>
      </c>
      <c r="F126" s="2959" t="s">
        <v>3143</v>
      </c>
      <c r="H126" s="2960">
        <v>29</v>
      </c>
      <c r="I126" s="2960">
        <v>2902</v>
      </c>
      <c r="J126" s="2960">
        <v>122.35</v>
      </c>
      <c r="K126" s="2959" t="s">
        <v>3143</v>
      </c>
      <c r="M126" s="2960">
        <v>29</v>
      </c>
      <c r="N126" s="2960">
        <v>2903</v>
      </c>
      <c r="O126" s="2960">
        <v>109.24</v>
      </c>
      <c r="P126" s="2959" t="s">
        <v>3143</v>
      </c>
      <c r="R126" s="2960">
        <v>32</v>
      </c>
      <c r="S126" s="2960">
        <v>3203</v>
      </c>
      <c r="T126" s="2960">
        <v>109.32</v>
      </c>
      <c r="U126" s="2959" t="s">
        <v>3143</v>
      </c>
    </row>
    <row r="127" spans="3:21">
      <c r="C127" s="2960">
        <v>33</v>
      </c>
      <c r="D127" s="2960">
        <v>3301</v>
      </c>
      <c r="E127" s="2960">
        <v>123.43</v>
      </c>
      <c r="F127" s="2959" t="s">
        <v>3144</v>
      </c>
      <c r="H127" s="3016">
        <v>29</v>
      </c>
      <c r="I127" s="3016">
        <v>2903</v>
      </c>
      <c r="J127" s="3016">
        <v>99.69</v>
      </c>
      <c r="K127" s="2961" t="s">
        <v>3387</v>
      </c>
      <c r="M127" s="2960">
        <v>29</v>
      </c>
      <c r="N127" s="2960">
        <v>2904</v>
      </c>
      <c r="O127" s="2960">
        <v>137.91999999999999</v>
      </c>
      <c r="P127" s="2959" t="s">
        <v>3143</v>
      </c>
      <c r="R127" s="2960">
        <v>32</v>
      </c>
      <c r="S127" s="2960">
        <v>3204</v>
      </c>
      <c r="T127" s="2960">
        <v>144.26</v>
      </c>
      <c r="U127" s="2959" t="s">
        <v>3143</v>
      </c>
    </row>
    <row r="128" spans="3:21">
      <c r="C128" s="2960">
        <v>33</v>
      </c>
      <c r="D128" s="2960">
        <v>3302</v>
      </c>
      <c r="E128" s="2960">
        <v>123.43</v>
      </c>
      <c r="F128" s="2959" t="s">
        <v>3143</v>
      </c>
      <c r="H128" s="2960">
        <v>29</v>
      </c>
      <c r="I128" s="2960">
        <v>2904</v>
      </c>
      <c r="J128" s="2960">
        <v>99.69</v>
      </c>
      <c r="K128" s="2959" t="s">
        <v>3143</v>
      </c>
      <c r="M128" s="2960">
        <v>30</v>
      </c>
      <c r="N128" s="2960">
        <v>3001</v>
      </c>
      <c r="O128" s="2960">
        <v>137.91999999999999</v>
      </c>
      <c r="P128" s="2959" t="s">
        <v>3143</v>
      </c>
      <c r="R128" s="2960">
        <v>33</v>
      </c>
      <c r="S128" s="2960">
        <v>3301</v>
      </c>
      <c r="T128" s="2960">
        <v>144.26</v>
      </c>
      <c r="U128" s="2959" t="s">
        <v>3143</v>
      </c>
    </row>
    <row r="129" spans="3:21">
      <c r="C129" s="2960">
        <v>33</v>
      </c>
      <c r="D129" s="2960">
        <v>3303</v>
      </c>
      <c r="E129" s="2960">
        <v>100.56</v>
      </c>
      <c r="F129" s="2959" t="s">
        <v>3144</v>
      </c>
      <c r="H129" s="2960">
        <v>30</v>
      </c>
      <c r="I129" s="2960">
        <v>3001</v>
      </c>
      <c r="J129" s="2960">
        <v>122.35</v>
      </c>
      <c r="K129" s="2959" t="s">
        <v>3143</v>
      </c>
      <c r="M129" s="3016">
        <v>30</v>
      </c>
      <c r="N129" s="3016">
        <v>3002</v>
      </c>
      <c r="O129" s="3016">
        <v>109.24</v>
      </c>
      <c r="P129" s="2961" t="s">
        <v>3387</v>
      </c>
      <c r="R129" s="2960">
        <v>33</v>
      </c>
      <c r="S129" s="2960">
        <v>3302</v>
      </c>
      <c r="T129" s="2960">
        <v>109.32</v>
      </c>
      <c r="U129" s="2959" t="s">
        <v>3143</v>
      </c>
    </row>
    <row r="130" spans="3:21">
      <c r="C130" s="2960">
        <v>33</v>
      </c>
      <c r="D130" s="2960">
        <v>3304</v>
      </c>
      <c r="E130" s="2960">
        <v>100.56</v>
      </c>
      <c r="F130" s="2959" t="s">
        <v>3143</v>
      </c>
      <c r="H130" s="2960">
        <v>30</v>
      </c>
      <c r="I130" s="2960">
        <v>3002</v>
      </c>
      <c r="J130" s="2960">
        <v>122.35</v>
      </c>
      <c r="K130" s="2959" t="s">
        <v>3143</v>
      </c>
      <c r="M130" s="2960">
        <v>30</v>
      </c>
      <c r="N130" s="2960">
        <v>3003</v>
      </c>
      <c r="O130" s="2960">
        <v>109.24</v>
      </c>
      <c r="P130" s="2959" t="s">
        <v>3143</v>
      </c>
      <c r="R130" s="2960">
        <v>33</v>
      </c>
      <c r="S130" s="2960">
        <v>3303</v>
      </c>
      <c r="T130" s="2960">
        <v>109.32</v>
      </c>
      <c r="U130" s="2959" t="s">
        <v>3143</v>
      </c>
    </row>
    <row r="131" spans="3:21">
      <c r="C131" s="2960">
        <v>34</v>
      </c>
      <c r="D131" s="2960">
        <v>3401</v>
      </c>
      <c r="E131" s="2960">
        <v>123.43</v>
      </c>
      <c r="F131" s="2959" t="s">
        <v>3144</v>
      </c>
      <c r="H131" s="3016">
        <v>30</v>
      </c>
      <c r="I131" s="3016">
        <v>3003</v>
      </c>
      <c r="J131" s="3016">
        <v>99.69</v>
      </c>
      <c r="K131" s="2961" t="s">
        <v>3387</v>
      </c>
      <c r="M131" s="2960">
        <v>30</v>
      </c>
      <c r="N131" s="2960">
        <v>3004</v>
      </c>
      <c r="O131" s="2960">
        <v>137.91999999999999</v>
      </c>
      <c r="P131" s="2959" t="s">
        <v>3143</v>
      </c>
      <c r="R131" s="2960">
        <v>33</v>
      </c>
      <c r="S131" s="2960">
        <v>3304</v>
      </c>
      <c r="T131" s="2960">
        <v>144.26</v>
      </c>
      <c r="U131" s="2959" t="s">
        <v>3143</v>
      </c>
    </row>
    <row r="132" spans="3:21">
      <c r="C132" s="2960">
        <v>34</v>
      </c>
      <c r="D132" s="2960">
        <v>3402</v>
      </c>
      <c r="E132" s="2960">
        <v>123.43</v>
      </c>
      <c r="F132" s="2959" t="s">
        <v>3143</v>
      </c>
      <c r="H132" s="3016">
        <v>30</v>
      </c>
      <c r="I132" s="3016">
        <v>3004</v>
      </c>
      <c r="J132" s="3016">
        <v>99.69</v>
      </c>
      <c r="K132" s="2961" t="s">
        <v>3387</v>
      </c>
      <c r="M132" s="2960">
        <v>31</v>
      </c>
      <c r="N132" s="2960">
        <v>3101</v>
      </c>
      <c r="O132" s="2960">
        <v>137.91999999999999</v>
      </c>
      <c r="P132" s="2959" t="s">
        <v>3143</v>
      </c>
      <c r="R132" s="2960">
        <v>34</v>
      </c>
      <c r="S132" s="2960">
        <v>3401</v>
      </c>
      <c r="T132" s="2960">
        <v>144.26</v>
      </c>
      <c r="U132" s="2959" t="s">
        <v>3143</v>
      </c>
    </row>
    <row r="133" spans="3:21">
      <c r="C133" s="2960">
        <v>34</v>
      </c>
      <c r="D133" s="2960">
        <v>3403</v>
      </c>
      <c r="E133" s="2960">
        <v>100.56</v>
      </c>
      <c r="F133" s="2959" t="s">
        <v>3144</v>
      </c>
      <c r="H133" s="2960">
        <v>31</v>
      </c>
      <c r="I133" s="2960">
        <v>3101</v>
      </c>
      <c r="J133" s="2960">
        <v>122.35</v>
      </c>
      <c r="K133" s="2959" t="s">
        <v>3143</v>
      </c>
      <c r="M133" s="2960">
        <v>31</v>
      </c>
      <c r="N133" s="2960">
        <v>3102</v>
      </c>
      <c r="O133" s="2960">
        <v>109.24</v>
      </c>
      <c r="P133" s="2959" t="s">
        <v>3143</v>
      </c>
      <c r="R133" s="2960">
        <v>34</v>
      </c>
      <c r="S133" s="2960">
        <v>3402</v>
      </c>
      <c r="T133" s="2960">
        <v>109.32</v>
      </c>
      <c r="U133" s="2959" t="s">
        <v>3143</v>
      </c>
    </row>
    <row r="134" spans="3:21">
      <c r="C134" s="2960">
        <v>34</v>
      </c>
      <c r="D134" s="2960">
        <v>3404</v>
      </c>
      <c r="E134" s="2960">
        <v>100.56</v>
      </c>
      <c r="F134" s="2959" t="s">
        <v>3143</v>
      </c>
      <c r="H134" s="3016">
        <v>31</v>
      </c>
      <c r="I134" s="3016">
        <v>3102</v>
      </c>
      <c r="J134" s="3016">
        <v>122.35</v>
      </c>
      <c r="K134" s="2961" t="s">
        <v>3387</v>
      </c>
      <c r="M134" s="2960">
        <v>31</v>
      </c>
      <c r="N134" s="2960">
        <v>3103</v>
      </c>
      <c r="O134" s="2960">
        <v>109.24</v>
      </c>
      <c r="P134" s="2959" t="s">
        <v>3143</v>
      </c>
      <c r="R134" s="2960">
        <v>34</v>
      </c>
      <c r="S134" s="2960">
        <v>3403</v>
      </c>
      <c r="T134" s="2960">
        <v>109.32</v>
      </c>
      <c r="U134" s="2959" t="s">
        <v>3143</v>
      </c>
    </row>
    <row r="135" spans="3:21">
      <c r="C135" s="2959" t="s">
        <v>3145</v>
      </c>
      <c r="D135" s="2959" t="s">
        <v>3146</v>
      </c>
      <c r="E135" s="2960">
        <f>SUM(E4:E134)</f>
        <v>15126.660000000003</v>
      </c>
      <c r="F135" s="2959" t="s">
        <v>3146</v>
      </c>
      <c r="H135" s="2960">
        <v>31</v>
      </c>
      <c r="I135" s="2960">
        <v>3103</v>
      </c>
      <c r="J135" s="2960">
        <v>99.69</v>
      </c>
      <c r="K135" s="2959" t="s">
        <v>3387</v>
      </c>
      <c r="M135" s="2960">
        <v>31</v>
      </c>
      <c r="N135" s="2960">
        <v>3104</v>
      </c>
      <c r="O135" s="2960">
        <v>137.91999999999999</v>
      </c>
      <c r="P135" s="2959" t="s">
        <v>3143</v>
      </c>
      <c r="R135" s="2960">
        <v>34</v>
      </c>
      <c r="S135" s="2960">
        <v>3404</v>
      </c>
      <c r="T135" s="2960">
        <v>144.26</v>
      </c>
      <c r="U135" s="2959" t="s">
        <v>3143</v>
      </c>
    </row>
    <row r="136" spans="3:21">
      <c r="D136" s="3017" t="s">
        <v>3391</v>
      </c>
      <c r="E136" s="2958">
        <f>E135-E116-E112-E110-E108-E104-E103-E100-E96-E92-E91-E86-E84-E80-E76-E74-E70-E68-E66-E62-E58-E54-E50-E46-E44-E42-E34-E22</f>
        <v>12091.360000000006</v>
      </c>
      <c r="H136" s="2960">
        <v>31</v>
      </c>
      <c r="I136" s="2960">
        <v>3104</v>
      </c>
      <c r="J136" s="2960">
        <v>99.69</v>
      </c>
      <c r="K136" s="2959" t="s">
        <v>3143</v>
      </c>
      <c r="M136" s="2960">
        <v>32</v>
      </c>
      <c r="N136" s="2960">
        <v>3201</v>
      </c>
      <c r="O136" s="2960">
        <v>137.91999999999999</v>
      </c>
      <c r="P136" s="2959" t="s">
        <v>3143</v>
      </c>
      <c r="R136" s="2959" t="s">
        <v>3145</v>
      </c>
      <c r="S136" s="2959" t="s">
        <v>3146</v>
      </c>
      <c r="T136" s="2959">
        <f>SUM(T4:T135)</f>
        <v>16736.28</v>
      </c>
      <c r="U136" s="2959" t="s">
        <v>3146</v>
      </c>
    </row>
    <row r="137" spans="3:21">
      <c r="H137" s="2960">
        <v>32</v>
      </c>
      <c r="I137" s="2960">
        <v>3201</v>
      </c>
      <c r="J137" s="2960">
        <v>122.35</v>
      </c>
      <c r="K137" s="2959" t="s">
        <v>3143</v>
      </c>
      <c r="M137" s="2960">
        <v>32</v>
      </c>
      <c r="N137" s="2960">
        <v>3202</v>
      </c>
      <c r="O137" s="2960">
        <v>109.24</v>
      </c>
      <c r="P137" s="2959" t="s">
        <v>3143</v>
      </c>
      <c r="R137" s="3017" t="s">
        <v>3391</v>
      </c>
      <c r="T137" s="2958">
        <f>T136-T34-T95-T124-T111-T110-T102-T100-T90-T86-T85-T84-T83-T82-T80-T79-T78-T77-T76-T75-T74-T73-T72-T70-T67-T66-T65-T64-T63-T62-T61-T60-T59-T58-T57-T56-T53-T51-T50-T49-T46-T45-T42-T38-T30-T25-T9</f>
        <v>11078.640000000005</v>
      </c>
    </row>
    <row r="138" spans="3:21">
      <c r="H138" s="3016">
        <v>32</v>
      </c>
      <c r="I138" s="3016">
        <v>3202</v>
      </c>
      <c r="J138" s="3016">
        <v>122.35</v>
      </c>
      <c r="K138" s="2961" t="s">
        <v>3387</v>
      </c>
      <c r="M138" s="2960">
        <v>32</v>
      </c>
      <c r="N138" s="2960">
        <v>3203</v>
      </c>
      <c r="O138" s="2960">
        <v>109.24</v>
      </c>
      <c r="P138" s="2959" t="s">
        <v>3143</v>
      </c>
    </row>
    <row r="139" spans="3:21">
      <c r="H139" s="2960">
        <v>32</v>
      </c>
      <c r="I139" s="2960">
        <v>3203</v>
      </c>
      <c r="J139" s="2960">
        <v>99.69</v>
      </c>
      <c r="K139" s="2959" t="s">
        <v>3143</v>
      </c>
      <c r="M139" s="2960">
        <v>32</v>
      </c>
      <c r="N139" s="2960">
        <v>3204</v>
      </c>
      <c r="O139" s="2960">
        <v>137.91999999999999</v>
      </c>
      <c r="P139" s="2959" t="s">
        <v>3143</v>
      </c>
    </row>
    <row r="140" spans="3:21">
      <c r="H140" s="2960">
        <v>32</v>
      </c>
      <c r="I140" s="2960">
        <v>3204</v>
      </c>
      <c r="J140" s="2960">
        <v>99.69</v>
      </c>
      <c r="K140" s="2959" t="s">
        <v>3143</v>
      </c>
      <c r="M140" s="2960">
        <v>33</v>
      </c>
      <c r="N140" s="2960">
        <v>3301</v>
      </c>
      <c r="O140" s="2960">
        <v>137.91999999999999</v>
      </c>
      <c r="P140" s="2959" t="s">
        <v>3143</v>
      </c>
    </row>
    <row r="141" spans="3:21">
      <c r="H141" s="2960">
        <v>33</v>
      </c>
      <c r="I141" s="2960">
        <v>3301</v>
      </c>
      <c r="J141" s="2960">
        <v>122.35</v>
      </c>
      <c r="K141" s="2959" t="s">
        <v>3143</v>
      </c>
      <c r="M141" s="2960">
        <v>33</v>
      </c>
      <c r="N141" s="2960">
        <v>3302</v>
      </c>
      <c r="O141" s="2960">
        <v>109.24</v>
      </c>
      <c r="P141" s="2959" t="s">
        <v>3143</v>
      </c>
    </row>
    <row r="142" spans="3:21">
      <c r="H142" s="2960">
        <v>33</v>
      </c>
      <c r="I142" s="2960">
        <v>3302</v>
      </c>
      <c r="J142" s="2960">
        <v>122.35</v>
      </c>
      <c r="K142" s="2959" t="s">
        <v>3143</v>
      </c>
      <c r="M142" s="2960">
        <v>33</v>
      </c>
      <c r="N142" s="2960">
        <v>3303</v>
      </c>
      <c r="O142" s="2960">
        <v>109.24</v>
      </c>
      <c r="P142" s="2959" t="s">
        <v>3143</v>
      </c>
    </row>
    <row r="143" spans="3:21">
      <c r="H143" s="2960">
        <v>33</v>
      </c>
      <c r="I143" s="2960">
        <v>3303</v>
      </c>
      <c r="J143" s="2960">
        <v>99.69</v>
      </c>
      <c r="K143" s="2959" t="s">
        <v>3143</v>
      </c>
      <c r="M143" s="2960">
        <v>33</v>
      </c>
      <c r="N143" s="2960">
        <v>3304</v>
      </c>
      <c r="O143" s="2960">
        <v>137.91999999999999</v>
      </c>
      <c r="P143" s="2959" t="s">
        <v>3143</v>
      </c>
    </row>
    <row r="144" spans="3:21">
      <c r="H144" s="2960">
        <v>33</v>
      </c>
      <c r="I144" s="2960">
        <v>3304</v>
      </c>
      <c r="J144" s="2960">
        <v>99.69</v>
      </c>
      <c r="K144" s="2959" t="s">
        <v>3143</v>
      </c>
      <c r="M144" s="2959" t="s">
        <v>3149</v>
      </c>
      <c r="N144" s="2959" t="s">
        <v>3146</v>
      </c>
      <c r="O144" s="2960">
        <f>SUM(O4:O143)</f>
        <v>16938.51999999999</v>
      </c>
      <c r="P144" s="2959" t="s">
        <v>3146</v>
      </c>
    </row>
    <row r="145" spans="2:15">
      <c r="H145" s="2959" t="s">
        <v>3149</v>
      </c>
      <c r="I145" s="2959" t="s">
        <v>3146</v>
      </c>
      <c r="J145" s="2960">
        <f>SUM(J4:J144)</f>
        <v>15270.760000000026</v>
      </c>
      <c r="K145" s="2959" t="s">
        <v>3146</v>
      </c>
      <c r="M145" s="3017" t="s">
        <v>3393</v>
      </c>
      <c r="O145" s="2958">
        <f>O144-O129-O125-O115-O102-O97-O96-O90-O82-O78-O74-O73-O70-O69-O62-O61-O58-O57-O54-O53-O50-O49-O46-O38-O34-O14-O30</f>
        <v>14040.919999999991</v>
      </c>
    </row>
    <row r="146" spans="2:15">
      <c r="H146" s="3017" t="s">
        <v>3392</v>
      </c>
      <c r="J146" s="2958">
        <f>J145-J112-J138-J134-J132-J131-J127-J125-J124-J121-J120-J119-J117-J116-J113-J109-J105-J104-J102-J101-J100-J96-J94-J93-J92-J89-J88-J86-J85-J80-J79-J78-J77-J76-J75-J73-J72-J71-J69-J68-J65-J64-J63-J62-J61-J60-J59-J58-J57-J56-J55-J53-J52-J51-J48-J47-J44-J43-J41-J40-J39-J37-J36-J35-J33-J32-J31-J24-J20-J19-J17-J16-J15-J14-J13</f>
        <v>7201.5300000000007</v>
      </c>
    </row>
    <row r="149" spans="2:15">
      <c r="B149" s="2958">
        <v>1</v>
      </c>
    </row>
    <row r="150" spans="2:15">
      <c r="B150" s="2958">
        <v>2</v>
      </c>
    </row>
    <row r="151" spans="2:15">
      <c r="B151" s="2958">
        <v>3</v>
      </c>
    </row>
    <row r="152" spans="2:15">
      <c r="B152" s="2958">
        <v>4</v>
      </c>
    </row>
    <row r="153" spans="2:15">
      <c r="B153" s="2958">
        <v>5</v>
      </c>
    </row>
    <row r="154" spans="2:15">
      <c r="B154" s="2958">
        <v>6</v>
      </c>
    </row>
    <row r="155" spans="2:15">
      <c r="B155" s="2958">
        <v>7</v>
      </c>
    </row>
    <row r="156" spans="2:15">
      <c r="B156" s="2958">
        <v>8</v>
      </c>
    </row>
    <row r="157" spans="2:15">
      <c r="B157" s="2958">
        <v>9</v>
      </c>
    </row>
    <row r="158" spans="2:15">
      <c r="B158" s="2958">
        <v>10</v>
      </c>
    </row>
    <row r="159" spans="2:15">
      <c r="B159" s="2958">
        <v>11</v>
      </c>
    </row>
    <row r="160" spans="2:15">
      <c r="B160" s="2958">
        <v>12</v>
      </c>
    </row>
    <row r="161" spans="2:2">
      <c r="B161" s="2958">
        <v>13</v>
      </c>
    </row>
    <row r="162" spans="2:2">
      <c r="B162" s="2958">
        <v>14</v>
      </c>
    </row>
    <row r="163" spans="2:2">
      <c r="B163" s="2958">
        <v>15</v>
      </c>
    </row>
    <row r="164" spans="2:2">
      <c r="B164" s="2958">
        <v>16</v>
      </c>
    </row>
    <row r="165" spans="2:2">
      <c r="B165" s="2958">
        <v>17</v>
      </c>
    </row>
    <row r="166" spans="2:2">
      <c r="B166" s="2958">
        <v>18</v>
      </c>
    </row>
    <row r="167" spans="2:2">
      <c r="B167" s="2958">
        <v>19</v>
      </c>
    </row>
    <row r="168" spans="2:2">
      <c r="B168" s="2958">
        <v>20</v>
      </c>
    </row>
    <row r="169" spans="2:2">
      <c r="B169" s="2958">
        <v>21</v>
      </c>
    </row>
    <row r="170" spans="2:2">
      <c r="B170" s="2958">
        <v>22</v>
      </c>
    </row>
    <row r="171" spans="2:2">
      <c r="B171" s="2958">
        <v>23</v>
      </c>
    </row>
    <row r="172" spans="2:2">
      <c r="B172" s="2958">
        <v>24</v>
      </c>
    </row>
    <row r="173" spans="2:2">
      <c r="B173" s="2958">
        <v>25</v>
      </c>
    </row>
    <row r="174" spans="2:2">
      <c r="B174" s="2958">
        <v>26</v>
      </c>
    </row>
    <row r="175" spans="2:2">
      <c r="B175" s="2958">
        <v>27</v>
      </c>
    </row>
    <row r="176" spans="2:2">
      <c r="B176" s="2958">
        <v>28</v>
      </c>
    </row>
    <row r="177" spans="2:2">
      <c r="B177" s="2958">
        <v>29</v>
      </c>
    </row>
    <row r="178" spans="2:2">
      <c r="B178" s="2958">
        <v>30</v>
      </c>
    </row>
    <row r="179" spans="2:2">
      <c r="B179" s="2958">
        <v>31</v>
      </c>
    </row>
    <row r="180" spans="2:2">
      <c r="B180" s="2958">
        <v>32</v>
      </c>
    </row>
    <row r="181" spans="2:2">
      <c r="B181" s="2958">
        <v>33</v>
      </c>
    </row>
    <row r="182" spans="2:2">
      <c r="B182" s="2958">
        <v>34</v>
      </c>
    </row>
    <row r="183" spans="2:2">
      <c r="B183" s="2958">
        <v>35</v>
      </c>
    </row>
    <row r="184" spans="2:2">
      <c r="B184" s="2958">
        <v>36</v>
      </c>
    </row>
    <row r="185" spans="2:2">
      <c r="B185" s="2958">
        <v>37</v>
      </c>
    </row>
    <row r="186" spans="2:2">
      <c r="B186" s="2958">
        <v>38</v>
      </c>
    </row>
    <row r="187" spans="2:2">
      <c r="B187" s="2958">
        <v>39</v>
      </c>
    </row>
    <row r="188" spans="2:2">
      <c r="B188" s="2958">
        <v>40</v>
      </c>
    </row>
    <row r="189" spans="2:2">
      <c r="B189" s="2958">
        <v>41</v>
      </c>
    </row>
    <row r="190" spans="2:2">
      <c r="B190" s="2958">
        <v>42</v>
      </c>
    </row>
    <row r="191" spans="2:2">
      <c r="B191" s="2958">
        <v>43</v>
      </c>
    </row>
    <row r="192" spans="2:2">
      <c r="B192" s="2958">
        <v>44</v>
      </c>
    </row>
    <row r="193" spans="2:2">
      <c r="B193" s="2958">
        <v>45</v>
      </c>
    </row>
    <row r="194" spans="2:2">
      <c r="B194" s="2958">
        <v>46</v>
      </c>
    </row>
    <row r="195" spans="2:2">
      <c r="B195" s="2958">
        <v>47</v>
      </c>
    </row>
    <row r="196" spans="2:2">
      <c r="B196" s="2958">
        <v>48</v>
      </c>
    </row>
    <row r="197" spans="2:2">
      <c r="B197" s="2958">
        <v>49</v>
      </c>
    </row>
    <row r="198" spans="2:2">
      <c r="B198" s="2958">
        <v>50</v>
      </c>
    </row>
    <row r="199" spans="2:2">
      <c r="B199" s="2958">
        <v>51</v>
      </c>
    </row>
    <row r="200" spans="2:2">
      <c r="B200" s="2958">
        <v>52</v>
      </c>
    </row>
    <row r="201" spans="2:2">
      <c r="B201" s="2958">
        <v>53</v>
      </c>
    </row>
    <row r="202" spans="2:2">
      <c r="B202" s="2958">
        <v>54</v>
      </c>
    </row>
    <row r="203" spans="2:2">
      <c r="B203" s="2958">
        <v>55</v>
      </c>
    </row>
    <row r="204" spans="2:2">
      <c r="B204" s="2958">
        <v>56</v>
      </c>
    </row>
    <row r="205" spans="2:2">
      <c r="B205" s="2958">
        <v>57</v>
      </c>
    </row>
    <row r="206" spans="2:2">
      <c r="B206" s="2958">
        <v>58</v>
      </c>
    </row>
    <row r="207" spans="2:2">
      <c r="B207" s="2958">
        <v>59</v>
      </c>
    </row>
    <row r="208" spans="2:2">
      <c r="B208" s="2958">
        <v>60</v>
      </c>
    </row>
    <row r="209" spans="2:2">
      <c r="B209" s="2958">
        <v>61</v>
      </c>
    </row>
    <row r="210" spans="2:2">
      <c r="B210" s="2958">
        <v>62</v>
      </c>
    </row>
    <row r="211" spans="2:2">
      <c r="B211" s="2958">
        <v>63</v>
      </c>
    </row>
    <row r="212" spans="2:2">
      <c r="B212" s="2958">
        <v>64</v>
      </c>
    </row>
    <row r="213" spans="2:2">
      <c r="B213" s="2958">
        <v>65</v>
      </c>
    </row>
    <row r="214" spans="2:2">
      <c r="B214" s="2958">
        <v>66</v>
      </c>
    </row>
    <row r="215" spans="2:2">
      <c r="B215" s="2958">
        <v>67</v>
      </c>
    </row>
    <row r="216" spans="2:2">
      <c r="B216" s="2958">
        <v>68</v>
      </c>
    </row>
    <row r="217" spans="2:2">
      <c r="B217" s="2958">
        <v>69</v>
      </c>
    </row>
    <row r="218" spans="2:2">
      <c r="B218" s="2958">
        <v>70</v>
      </c>
    </row>
    <row r="219" spans="2:2">
      <c r="B219" s="2958">
        <v>71</v>
      </c>
    </row>
    <row r="220" spans="2:2">
      <c r="B220" s="2958">
        <v>72</v>
      </c>
    </row>
    <row r="221" spans="2:2">
      <c r="B221" s="2958">
        <v>73</v>
      </c>
    </row>
    <row r="222" spans="2:2">
      <c r="B222" s="2958">
        <v>74</v>
      </c>
    </row>
    <row r="223" spans="2:2">
      <c r="B223" s="2958">
        <v>75</v>
      </c>
    </row>
    <row r="224" spans="2:2">
      <c r="B224" s="2958">
        <v>76</v>
      </c>
    </row>
    <row r="225" spans="2:2">
      <c r="B225" s="2958">
        <v>77</v>
      </c>
    </row>
    <row r="226" spans="2:2">
      <c r="B226" s="2958">
        <v>78</v>
      </c>
    </row>
    <row r="227" spans="2:2">
      <c r="B227" s="2958">
        <v>79</v>
      </c>
    </row>
    <row r="228" spans="2:2">
      <c r="B228" s="2958">
        <v>80</v>
      </c>
    </row>
    <row r="229" spans="2:2">
      <c r="B229" s="2958">
        <v>81</v>
      </c>
    </row>
    <row r="230" spans="2:2">
      <c r="B230" s="2958">
        <v>82</v>
      </c>
    </row>
    <row r="231" spans="2:2">
      <c r="B231" s="2958">
        <v>83</v>
      </c>
    </row>
    <row r="232" spans="2:2">
      <c r="B232" s="2958">
        <v>84</v>
      </c>
    </row>
    <row r="233" spans="2:2">
      <c r="B233" s="2958">
        <v>85</v>
      </c>
    </row>
    <row r="234" spans="2:2">
      <c r="B234" s="2958">
        <v>86</v>
      </c>
    </row>
    <row r="235" spans="2:2">
      <c r="B235" s="2958">
        <v>87</v>
      </c>
    </row>
    <row r="236" spans="2:2">
      <c r="B236" s="2958">
        <v>88</v>
      </c>
    </row>
    <row r="237" spans="2:2">
      <c r="B237" s="2958">
        <v>89</v>
      </c>
    </row>
    <row r="238" spans="2:2">
      <c r="B238" s="2958">
        <v>90</v>
      </c>
    </row>
    <row r="239" spans="2:2">
      <c r="B239" s="2958">
        <v>91</v>
      </c>
    </row>
    <row r="240" spans="2:2">
      <c r="B240" s="2958">
        <v>92</v>
      </c>
    </row>
    <row r="241" spans="2:2">
      <c r="B241" s="2958">
        <v>93</v>
      </c>
    </row>
    <row r="242" spans="2:2">
      <c r="B242" s="2958">
        <v>94</v>
      </c>
    </row>
    <row r="243" spans="2:2">
      <c r="B243" s="2958">
        <v>95</v>
      </c>
    </row>
    <row r="244" spans="2:2">
      <c r="B244" s="2958">
        <v>96</v>
      </c>
    </row>
    <row r="245" spans="2:2">
      <c r="B245" s="2958">
        <v>97</v>
      </c>
    </row>
    <row r="246" spans="2:2">
      <c r="B246" s="2958">
        <v>98</v>
      </c>
    </row>
    <row r="247" spans="2:2">
      <c r="B247" s="2958">
        <v>99</v>
      </c>
    </row>
    <row r="248" spans="2:2">
      <c r="B248" s="2958">
        <v>100</v>
      </c>
    </row>
    <row r="249" spans="2:2">
      <c r="B249" s="2958">
        <v>101</v>
      </c>
    </row>
    <row r="250" spans="2:2">
      <c r="B250" s="2958">
        <v>102</v>
      </c>
    </row>
    <row r="251" spans="2:2">
      <c r="B251" s="2958">
        <v>103</v>
      </c>
    </row>
    <row r="252" spans="2:2">
      <c r="B252" s="2958">
        <v>104</v>
      </c>
    </row>
    <row r="253" spans="2:2">
      <c r="B253" s="2958">
        <v>105</v>
      </c>
    </row>
    <row r="254" spans="2:2">
      <c r="B254" s="2958">
        <v>106</v>
      </c>
    </row>
    <row r="255" spans="2:2">
      <c r="B255" s="2958">
        <v>107</v>
      </c>
    </row>
    <row r="256" spans="2:2">
      <c r="B256" s="2958">
        <v>108</v>
      </c>
    </row>
    <row r="257" spans="2:2">
      <c r="B257" s="2958">
        <v>109</v>
      </c>
    </row>
    <row r="258" spans="2:2">
      <c r="B258" s="2958">
        <v>110</v>
      </c>
    </row>
    <row r="259" spans="2:2">
      <c r="B259" s="2958">
        <v>111</v>
      </c>
    </row>
    <row r="260" spans="2:2">
      <c r="B260" s="2958">
        <v>112</v>
      </c>
    </row>
    <row r="261" spans="2:2">
      <c r="B261" s="2958">
        <v>113</v>
      </c>
    </row>
    <row r="262" spans="2:2">
      <c r="B262" s="2958">
        <v>114</v>
      </c>
    </row>
    <row r="263" spans="2:2">
      <c r="B263" s="2958">
        <v>115</v>
      </c>
    </row>
    <row r="264" spans="2:2">
      <c r="B264" s="2958">
        <v>116</v>
      </c>
    </row>
    <row r="265" spans="2:2">
      <c r="B265" s="2958">
        <v>117</v>
      </c>
    </row>
    <row r="266" spans="2:2">
      <c r="B266" s="2958">
        <v>118</v>
      </c>
    </row>
    <row r="267" spans="2:2">
      <c r="B267" s="2958">
        <v>119</v>
      </c>
    </row>
    <row r="268" spans="2:2">
      <c r="B268" s="2958">
        <v>120</v>
      </c>
    </row>
    <row r="269" spans="2:2">
      <c r="B269" s="2958">
        <v>121</v>
      </c>
    </row>
    <row r="270" spans="2:2">
      <c r="B270" s="2958">
        <v>122</v>
      </c>
    </row>
    <row r="271" spans="2:2">
      <c r="B271" s="2958">
        <v>123</v>
      </c>
    </row>
    <row r="272" spans="2:2">
      <c r="B272" s="2958">
        <v>124</v>
      </c>
    </row>
    <row r="273" spans="2:2">
      <c r="B273" s="2958">
        <v>125</v>
      </c>
    </row>
    <row r="274" spans="2:2">
      <c r="B274" s="2958">
        <v>126</v>
      </c>
    </row>
    <row r="275" spans="2:2">
      <c r="B275" s="2958">
        <v>127</v>
      </c>
    </row>
    <row r="276" spans="2:2">
      <c r="B276" s="2958">
        <v>128</v>
      </c>
    </row>
    <row r="277" spans="2:2">
      <c r="B277" s="2958">
        <v>129</v>
      </c>
    </row>
    <row r="278" spans="2:2">
      <c r="B278" s="2958">
        <v>130</v>
      </c>
    </row>
    <row r="279" spans="2:2">
      <c r="B279" s="2958">
        <v>131</v>
      </c>
    </row>
    <row r="280" spans="2:2">
      <c r="B280" s="2958">
        <v>132</v>
      </c>
    </row>
    <row r="281" spans="2:2">
      <c r="B281" s="2958">
        <v>133</v>
      </c>
    </row>
    <row r="282" spans="2:2">
      <c r="B282" s="2958">
        <v>134</v>
      </c>
    </row>
    <row r="283" spans="2:2">
      <c r="B283" s="2958">
        <v>135</v>
      </c>
    </row>
    <row r="284" spans="2:2">
      <c r="B284" s="2958">
        <v>136</v>
      </c>
    </row>
    <row r="285" spans="2:2">
      <c r="B285" s="2958">
        <v>137</v>
      </c>
    </row>
    <row r="286" spans="2:2">
      <c r="B286" s="2958">
        <v>138</v>
      </c>
    </row>
    <row r="287" spans="2:2">
      <c r="B287" s="2958">
        <v>139</v>
      </c>
    </row>
    <row r="288" spans="2:2">
      <c r="B288" s="2958">
        <v>140</v>
      </c>
    </row>
    <row r="289" spans="2:2">
      <c r="B289" s="2958">
        <v>141</v>
      </c>
    </row>
    <row r="290" spans="2:2">
      <c r="B290" s="2958">
        <v>142</v>
      </c>
    </row>
    <row r="291" spans="2:2">
      <c r="B291" s="2958">
        <v>143</v>
      </c>
    </row>
    <row r="292" spans="2:2">
      <c r="B292" s="2958">
        <v>144</v>
      </c>
    </row>
    <row r="293" spans="2:2">
      <c r="B293" s="2958">
        <v>145</v>
      </c>
    </row>
    <row r="294" spans="2:2">
      <c r="B294" s="2958">
        <v>146</v>
      </c>
    </row>
    <row r="295" spans="2:2">
      <c r="B295" s="2958">
        <v>147</v>
      </c>
    </row>
    <row r="296" spans="2:2">
      <c r="B296" s="2958">
        <v>148</v>
      </c>
    </row>
    <row r="297" spans="2:2">
      <c r="B297" s="2958">
        <v>149</v>
      </c>
    </row>
    <row r="298" spans="2:2">
      <c r="B298" s="2958">
        <v>150</v>
      </c>
    </row>
    <row r="299" spans="2:2">
      <c r="B299" s="2958">
        <v>151</v>
      </c>
    </row>
    <row r="300" spans="2:2">
      <c r="B300" s="2958">
        <v>152</v>
      </c>
    </row>
    <row r="301" spans="2:2">
      <c r="B301" s="2958">
        <v>153</v>
      </c>
    </row>
    <row r="302" spans="2:2">
      <c r="B302" s="2958">
        <v>154</v>
      </c>
    </row>
    <row r="303" spans="2:2">
      <c r="B303" s="2958">
        <v>155</v>
      </c>
    </row>
    <row r="304" spans="2:2">
      <c r="B304" s="2958">
        <v>156</v>
      </c>
    </row>
    <row r="305" spans="2:2">
      <c r="B305" s="2958">
        <v>157</v>
      </c>
    </row>
    <row r="306" spans="2:2">
      <c r="B306" s="2958">
        <v>158</v>
      </c>
    </row>
    <row r="307" spans="2:2">
      <c r="B307" s="2958">
        <v>159</v>
      </c>
    </row>
    <row r="308" spans="2:2">
      <c r="B308" s="2958">
        <v>160</v>
      </c>
    </row>
    <row r="309" spans="2:2">
      <c r="B309" s="2958">
        <v>161</v>
      </c>
    </row>
    <row r="310" spans="2:2">
      <c r="B310" s="2958">
        <v>162</v>
      </c>
    </row>
    <row r="311" spans="2:2">
      <c r="B311" s="2958">
        <v>163</v>
      </c>
    </row>
    <row r="312" spans="2:2">
      <c r="B312" s="2958">
        <v>164</v>
      </c>
    </row>
    <row r="313" spans="2:2">
      <c r="B313" s="2958">
        <v>165</v>
      </c>
    </row>
    <row r="314" spans="2:2">
      <c r="B314" s="2958">
        <v>166</v>
      </c>
    </row>
    <row r="315" spans="2:2">
      <c r="B315" s="2958">
        <v>167</v>
      </c>
    </row>
    <row r="316" spans="2:2">
      <c r="B316" s="2958">
        <v>168</v>
      </c>
    </row>
    <row r="317" spans="2:2">
      <c r="B317" s="2958">
        <v>169</v>
      </c>
    </row>
    <row r="318" spans="2:2">
      <c r="B318" s="2958">
        <v>170</v>
      </c>
    </row>
    <row r="319" spans="2:2">
      <c r="B319" s="2958">
        <v>171</v>
      </c>
    </row>
    <row r="320" spans="2:2">
      <c r="B320" s="2958">
        <v>172</v>
      </c>
    </row>
    <row r="321" spans="2:2">
      <c r="B321" s="2958">
        <v>173</v>
      </c>
    </row>
    <row r="322" spans="2:2">
      <c r="B322" s="2958">
        <v>174</v>
      </c>
    </row>
    <row r="323" spans="2:2">
      <c r="B323" s="2958">
        <v>175</v>
      </c>
    </row>
    <row r="324" spans="2:2">
      <c r="B324" s="2958">
        <v>176</v>
      </c>
    </row>
    <row r="325" spans="2:2">
      <c r="B325" s="2958">
        <v>177</v>
      </c>
    </row>
    <row r="326" spans="2:2">
      <c r="B326" s="2958">
        <v>178</v>
      </c>
    </row>
    <row r="327" spans="2:2">
      <c r="B327" s="2958">
        <v>179</v>
      </c>
    </row>
    <row r="328" spans="2:2">
      <c r="B328" s="2958">
        <v>180</v>
      </c>
    </row>
    <row r="329" spans="2:2">
      <c r="B329" s="2958">
        <v>181</v>
      </c>
    </row>
    <row r="330" spans="2:2">
      <c r="B330" s="2958">
        <v>182</v>
      </c>
    </row>
    <row r="331" spans="2:2">
      <c r="B331" s="2958">
        <v>183</v>
      </c>
    </row>
    <row r="332" spans="2:2">
      <c r="B332" s="2958">
        <v>184</v>
      </c>
    </row>
    <row r="333" spans="2:2">
      <c r="B333" s="2958">
        <v>185</v>
      </c>
    </row>
    <row r="334" spans="2:2">
      <c r="B334" s="2958">
        <v>186</v>
      </c>
    </row>
    <row r="335" spans="2:2">
      <c r="B335" s="2958">
        <v>187</v>
      </c>
    </row>
    <row r="336" spans="2:2">
      <c r="B336" s="2958">
        <v>188</v>
      </c>
    </row>
    <row r="337" spans="2:2">
      <c r="B337" s="2958">
        <v>189</v>
      </c>
    </row>
    <row r="338" spans="2:2">
      <c r="B338" s="2958">
        <v>190</v>
      </c>
    </row>
    <row r="339" spans="2:2">
      <c r="B339" s="2958">
        <v>191</v>
      </c>
    </row>
    <row r="340" spans="2:2">
      <c r="B340" s="2958">
        <v>192</v>
      </c>
    </row>
    <row r="341" spans="2:2">
      <c r="B341" s="2958">
        <v>193</v>
      </c>
    </row>
    <row r="342" spans="2:2">
      <c r="B342" s="2958">
        <v>194</v>
      </c>
    </row>
    <row r="343" spans="2:2">
      <c r="B343" s="2958">
        <v>195</v>
      </c>
    </row>
    <row r="344" spans="2:2">
      <c r="B344" s="2958">
        <v>196</v>
      </c>
    </row>
    <row r="345" spans="2:2">
      <c r="B345" s="2958">
        <v>197</v>
      </c>
    </row>
    <row r="346" spans="2:2">
      <c r="B346" s="2958">
        <v>198</v>
      </c>
    </row>
    <row r="347" spans="2:2">
      <c r="B347" s="2958">
        <v>199</v>
      </c>
    </row>
    <row r="348" spans="2:2">
      <c r="B348" s="2958">
        <v>200</v>
      </c>
    </row>
    <row r="349" spans="2:2">
      <c r="B349" s="2958">
        <v>201</v>
      </c>
    </row>
    <row r="350" spans="2:2">
      <c r="B350" s="2958">
        <v>202</v>
      </c>
    </row>
    <row r="351" spans="2:2">
      <c r="B351" s="2958">
        <v>203</v>
      </c>
    </row>
    <row r="352" spans="2:2">
      <c r="B352" s="2958">
        <v>204</v>
      </c>
    </row>
    <row r="353" spans="2:2">
      <c r="B353" s="2958">
        <v>205</v>
      </c>
    </row>
    <row r="354" spans="2:2">
      <c r="B354" s="2958">
        <v>206</v>
      </c>
    </row>
    <row r="355" spans="2:2">
      <c r="B355" s="2958">
        <v>207</v>
      </c>
    </row>
    <row r="356" spans="2:2">
      <c r="B356" s="2958">
        <v>208</v>
      </c>
    </row>
    <row r="357" spans="2:2">
      <c r="B357" s="2958">
        <v>209</v>
      </c>
    </row>
    <row r="358" spans="2:2">
      <c r="B358" s="2958">
        <v>210</v>
      </c>
    </row>
    <row r="359" spans="2:2">
      <c r="B359" s="2958">
        <v>211</v>
      </c>
    </row>
    <row r="360" spans="2:2">
      <c r="B360" s="2958">
        <v>212</v>
      </c>
    </row>
    <row r="361" spans="2:2">
      <c r="B361" s="2958">
        <v>213</v>
      </c>
    </row>
    <row r="362" spans="2:2">
      <c r="B362" s="2958">
        <v>214</v>
      </c>
    </row>
    <row r="363" spans="2:2">
      <c r="B363" s="2958">
        <v>215</v>
      </c>
    </row>
    <row r="364" spans="2:2">
      <c r="B364" s="2958">
        <v>216</v>
      </c>
    </row>
    <row r="365" spans="2:2">
      <c r="B365" s="2958">
        <v>217</v>
      </c>
    </row>
    <row r="366" spans="2:2">
      <c r="B366" s="2958">
        <v>218</v>
      </c>
    </row>
    <row r="367" spans="2:2">
      <c r="B367" s="2958">
        <v>219</v>
      </c>
    </row>
    <row r="368" spans="2:2">
      <c r="B368" s="2958">
        <v>220</v>
      </c>
    </row>
    <row r="369" spans="2:2">
      <c r="B369" s="2958">
        <v>221</v>
      </c>
    </row>
    <row r="370" spans="2:2">
      <c r="B370" s="2958">
        <v>222</v>
      </c>
    </row>
    <row r="371" spans="2:2">
      <c r="B371" s="2958">
        <v>223</v>
      </c>
    </row>
    <row r="372" spans="2:2">
      <c r="B372" s="2958">
        <v>224</v>
      </c>
    </row>
    <row r="373" spans="2:2">
      <c r="B373" s="2958">
        <v>225</v>
      </c>
    </row>
    <row r="374" spans="2:2">
      <c r="B374" s="2958">
        <v>226</v>
      </c>
    </row>
    <row r="375" spans="2:2">
      <c r="B375" s="2958">
        <v>227</v>
      </c>
    </row>
    <row r="376" spans="2:2">
      <c r="B376" s="2958">
        <v>228</v>
      </c>
    </row>
    <row r="377" spans="2:2">
      <c r="B377" s="2958">
        <v>229</v>
      </c>
    </row>
    <row r="378" spans="2:2">
      <c r="B378" s="2958">
        <v>230</v>
      </c>
    </row>
    <row r="379" spans="2:2">
      <c r="B379" s="2958">
        <v>231</v>
      </c>
    </row>
    <row r="380" spans="2:2">
      <c r="B380" s="2958">
        <v>232</v>
      </c>
    </row>
    <row r="381" spans="2:2">
      <c r="B381" s="2958">
        <v>233</v>
      </c>
    </row>
    <row r="382" spans="2:2">
      <c r="B382" s="2958">
        <v>234</v>
      </c>
    </row>
    <row r="383" spans="2:2">
      <c r="B383" s="2958">
        <v>235</v>
      </c>
    </row>
    <row r="384" spans="2:2">
      <c r="B384" s="2958">
        <v>236</v>
      </c>
    </row>
    <row r="385" spans="2:2">
      <c r="B385" s="2958">
        <v>237</v>
      </c>
    </row>
    <row r="386" spans="2:2">
      <c r="B386" s="2958">
        <v>238</v>
      </c>
    </row>
    <row r="387" spans="2:2">
      <c r="B387" s="2958">
        <v>239</v>
      </c>
    </row>
    <row r="388" spans="2:2">
      <c r="B388" s="2958">
        <v>240</v>
      </c>
    </row>
    <row r="389" spans="2:2">
      <c r="B389" s="2958">
        <v>241</v>
      </c>
    </row>
    <row r="390" spans="2:2">
      <c r="B390" s="2958">
        <v>242</v>
      </c>
    </row>
    <row r="391" spans="2:2">
      <c r="B391" s="2958">
        <v>243</v>
      </c>
    </row>
    <row r="392" spans="2:2">
      <c r="B392" s="2958">
        <v>244</v>
      </c>
    </row>
    <row r="393" spans="2:2">
      <c r="B393" s="2958">
        <v>245</v>
      </c>
    </row>
    <row r="394" spans="2:2">
      <c r="B394" s="2958">
        <v>246</v>
      </c>
    </row>
    <row r="395" spans="2:2">
      <c r="B395" s="2958">
        <v>247</v>
      </c>
    </row>
    <row r="396" spans="2:2">
      <c r="B396" s="2958">
        <v>248</v>
      </c>
    </row>
    <row r="397" spans="2:2">
      <c r="B397" s="2958">
        <v>249</v>
      </c>
    </row>
    <row r="398" spans="2:2">
      <c r="B398" s="2958">
        <v>250</v>
      </c>
    </row>
    <row r="399" spans="2:2">
      <c r="B399" s="2958">
        <v>251</v>
      </c>
    </row>
    <row r="400" spans="2:2">
      <c r="B400" s="2958">
        <v>252</v>
      </c>
    </row>
    <row r="401" spans="2:2">
      <c r="B401" s="2958">
        <v>253</v>
      </c>
    </row>
    <row r="402" spans="2:2">
      <c r="B402" s="2958">
        <v>254</v>
      </c>
    </row>
    <row r="403" spans="2:2">
      <c r="B403" s="2958">
        <v>255</v>
      </c>
    </row>
    <row r="404" spans="2:2">
      <c r="B404" s="2958">
        <v>256</v>
      </c>
    </row>
    <row r="405" spans="2:2">
      <c r="B405" s="2958">
        <v>257</v>
      </c>
    </row>
    <row r="406" spans="2:2">
      <c r="B406" s="2958">
        <v>258</v>
      </c>
    </row>
    <row r="407" spans="2:2">
      <c r="B407" s="2958">
        <v>259</v>
      </c>
    </row>
    <row r="408" spans="2:2">
      <c r="B408" s="2958">
        <v>260</v>
      </c>
    </row>
    <row r="409" spans="2:2">
      <c r="B409" s="2958">
        <v>261</v>
      </c>
    </row>
    <row r="410" spans="2:2">
      <c r="B410" s="2958">
        <v>262</v>
      </c>
    </row>
    <row r="411" spans="2:2">
      <c r="B411" s="2958">
        <v>263</v>
      </c>
    </row>
    <row r="412" spans="2:2">
      <c r="B412" s="2958">
        <v>264</v>
      </c>
    </row>
    <row r="413" spans="2:2">
      <c r="B413" s="2958">
        <v>265</v>
      </c>
    </row>
    <row r="414" spans="2:2">
      <c r="B414" s="2958">
        <v>266</v>
      </c>
    </row>
    <row r="415" spans="2:2">
      <c r="B415" s="2958">
        <v>267</v>
      </c>
    </row>
    <row r="416" spans="2:2">
      <c r="B416" s="2958">
        <v>268</v>
      </c>
    </row>
    <row r="417" spans="2:2">
      <c r="B417" s="2958">
        <v>269</v>
      </c>
    </row>
    <row r="418" spans="2:2">
      <c r="B418" s="2958">
        <v>270</v>
      </c>
    </row>
    <row r="419" spans="2:2">
      <c r="B419" s="2958">
        <v>271</v>
      </c>
    </row>
    <row r="420" spans="2:2">
      <c r="B420" s="2958">
        <v>272</v>
      </c>
    </row>
    <row r="421" spans="2:2">
      <c r="B421" s="2958">
        <v>273</v>
      </c>
    </row>
    <row r="422" spans="2:2">
      <c r="B422" s="2958">
        <v>274</v>
      </c>
    </row>
    <row r="423" spans="2:2">
      <c r="B423" s="2958">
        <v>275</v>
      </c>
    </row>
    <row r="424" spans="2:2">
      <c r="B424" s="2958">
        <v>276</v>
      </c>
    </row>
    <row r="425" spans="2:2">
      <c r="B425" s="2958">
        <v>277</v>
      </c>
    </row>
    <row r="426" spans="2:2">
      <c r="B426" s="2958">
        <v>278</v>
      </c>
    </row>
    <row r="427" spans="2:2">
      <c r="B427" s="2958">
        <v>279</v>
      </c>
    </row>
    <row r="428" spans="2:2">
      <c r="B428" s="2958">
        <v>280</v>
      </c>
    </row>
    <row r="429" spans="2:2">
      <c r="B429" s="2958">
        <v>281</v>
      </c>
    </row>
    <row r="430" spans="2:2">
      <c r="B430" s="2958">
        <v>282</v>
      </c>
    </row>
    <row r="431" spans="2:2">
      <c r="B431" s="2958">
        <v>283</v>
      </c>
    </row>
    <row r="432" spans="2:2">
      <c r="B432" s="2958">
        <v>284</v>
      </c>
    </row>
    <row r="433" spans="2:2">
      <c r="B433" s="2958">
        <v>285</v>
      </c>
    </row>
    <row r="434" spans="2:2">
      <c r="B434" s="2958">
        <v>286</v>
      </c>
    </row>
    <row r="435" spans="2:2">
      <c r="B435" s="2958">
        <v>287</v>
      </c>
    </row>
    <row r="436" spans="2:2">
      <c r="B436" s="2958">
        <v>288</v>
      </c>
    </row>
    <row r="437" spans="2:2">
      <c r="B437" s="2958">
        <v>289</v>
      </c>
    </row>
    <row r="438" spans="2:2">
      <c r="B438" s="2958">
        <v>290</v>
      </c>
    </row>
    <row r="439" spans="2:2">
      <c r="B439" s="2958">
        <v>291</v>
      </c>
    </row>
    <row r="440" spans="2:2">
      <c r="B440" s="2958">
        <v>292</v>
      </c>
    </row>
    <row r="441" spans="2:2">
      <c r="B441" s="2958">
        <v>293</v>
      </c>
    </row>
    <row r="442" spans="2:2">
      <c r="B442" s="2958">
        <v>294</v>
      </c>
    </row>
    <row r="443" spans="2:2">
      <c r="B443" s="2958">
        <v>295</v>
      </c>
    </row>
    <row r="444" spans="2:2">
      <c r="B444" s="2958">
        <v>296</v>
      </c>
    </row>
    <row r="445" spans="2:2">
      <c r="B445" s="2958">
        <v>297</v>
      </c>
    </row>
    <row r="446" spans="2:2">
      <c r="B446" s="2958">
        <v>298</v>
      </c>
    </row>
    <row r="447" spans="2:2">
      <c r="B447" s="2958">
        <v>299</v>
      </c>
    </row>
    <row r="448" spans="2:2">
      <c r="B448" s="2958">
        <v>300</v>
      </c>
    </row>
    <row r="449" spans="2:2">
      <c r="B449" s="2958">
        <v>301</v>
      </c>
    </row>
    <row r="450" spans="2:2">
      <c r="B450" s="2958">
        <v>302</v>
      </c>
    </row>
    <row r="451" spans="2:2">
      <c r="B451" s="2958">
        <v>303</v>
      </c>
    </row>
    <row r="452" spans="2:2">
      <c r="B452" s="2958">
        <v>304</v>
      </c>
    </row>
    <row r="453" spans="2:2">
      <c r="B453" s="2958">
        <v>305</v>
      </c>
    </row>
    <row r="454" spans="2:2">
      <c r="B454" s="2958">
        <v>306</v>
      </c>
    </row>
    <row r="455" spans="2:2">
      <c r="B455" s="2958">
        <v>307</v>
      </c>
    </row>
    <row r="456" spans="2:2">
      <c r="B456" s="2958">
        <v>308</v>
      </c>
    </row>
    <row r="457" spans="2:2">
      <c r="B457" s="2958">
        <v>309</v>
      </c>
    </row>
    <row r="458" spans="2:2">
      <c r="B458" s="2958">
        <v>310</v>
      </c>
    </row>
    <row r="459" spans="2:2">
      <c r="B459" s="2958">
        <v>311</v>
      </c>
    </row>
    <row r="460" spans="2:2">
      <c r="B460" s="2958">
        <v>312</v>
      </c>
    </row>
    <row r="461" spans="2:2">
      <c r="B461" s="2958">
        <v>313</v>
      </c>
    </row>
    <row r="462" spans="2:2">
      <c r="B462" s="2958">
        <v>314</v>
      </c>
    </row>
    <row r="463" spans="2:2">
      <c r="B463" s="2958">
        <v>315</v>
      </c>
    </row>
    <row r="464" spans="2:2">
      <c r="B464" s="2958">
        <v>316</v>
      </c>
    </row>
    <row r="465" spans="2:2">
      <c r="B465" s="2958">
        <v>317</v>
      </c>
    </row>
    <row r="466" spans="2:2">
      <c r="B466" s="2958">
        <v>318</v>
      </c>
    </row>
    <row r="467" spans="2:2">
      <c r="B467" s="2958">
        <v>319</v>
      </c>
    </row>
    <row r="468" spans="2:2">
      <c r="B468" s="2958">
        <v>320</v>
      </c>
    </row>
    <row r="469" spans="2:2">
      <c r="B469" s="2958">
        <v>321</v>
      </c>
    </row>
    <row r="470" spans="2:2">
      <c r="B470" s="2958">
        <v>322</v>
      </c>
    </row>
    <row r="471" spans="2:2">
      <c r="B471" s="2958">
        <v>323</v>
      </c>
    </row>
    <row r="472" spans="2:2">
      <c r="B472" s="2958">
        <v>324</v>
      </c>
    </row>
    <row r="473" spans="2:2">
      <c r="B473" s="2958">
        <v>325</v>
      </c>
    </row>
    <row r="474" spans="2:2">
      <c r="B474" s="2958">
        <v>326</v>
      </c>
    </row>
    <row r="475" spans="2:2">
      <c r="B475" s="2958">
        <v>327</v>
      </c>
    </row>
    <row r="476" spans="2:2">
      <c r="B476" s="2958">
        <v>328</v>
      </c>
    </row>
    <row r="477" spans="2:2">
      <c r="B477" s="2958">
        <v>329</v>
      </c>
    </row>
    <row r="478" spans="2:2">
      <c r="B478" s="2958">
        <v>330</v>
      </c>
    </row>
    <row r="479" spans="2:2">
      <c r="B479" s="2958">
        <v>331</v>
      </c>
    </row>
    <row r="480" spans="2:2">
      <c r="B480" s="2958">
        <v>332</v>
      </c>
    </row>
    <row r="481" spans="2:2">
      <c r="B481" s="2958">
        <v>333</v>
      </c>
    </row>
    <row r="482" spans="2:2">
      <c r="B482" s="2958">
        <v>334</v>
      </c>
    </row>
    <row r="483" spans="2:2">
      <c r="B483" s="2958">
        <v>335</v>
      </c>
    </row>
    <row r="484" spans="2:2">
      <c r="B484" s="2958">
        <v>336</v>
      </c>
    </row>
    <row r="485" spans="2:2">
      <c r="B485" s="2958">
        <v>337</v>
      </c>
    </row>
    <row r="486" spans="2:2">
      <c r="B486" s="2958">
        <v>338</v>
      </c>
    </row>
    <row r="487" spans="2:2">
      <c r="B487" s="2958">
        <v>339</v>
      </c>
    </row>
    <row r="488" spans="2:2">
      <c r="B488" s="2958">
        <v>340</v>
      </c>
    </row>
    <row r="489" spans="2:2">
      <c r="B489" s="2958">
        <v>341</v>
      </c>
    </row>
    <row r="490" spans="2:2">
      <c r="B490" s="2958">
        <v>342</v>
      </c>
    </row>
    <row r="491" spans="2:2">
      <c r="B491" s="2958">
        <v>343</v>
      </c>
    </row>
    <row r="492" spans="2:2">
      <c r="B492" s="2958">
        <v>344</v>
      </c>
    </row>
    <row r="493" spans="2:2">
      <c r="B493" s="2958">
        <v>345</v>
      </c>
    </row>
    <row r="494" spans="2:2">
      <c r="B494" s="2958">
        <v>346</v>
      </c>
    </row>
    <row r="495" spans="2:2">
      <c r="B495" s="2958">
        <v>347</v>
      </c>
    </row>
    <row r="496" spans="2:2">
      <c r="B496" s="2958">
        <v>348</v>
      </c>
    </row>
    <row r="497" spans="2:2">
      <c r="B497" s="2958">
        <v>349</v>
      </c>
    </row>
    <row r="498" spans="2:2">
      <c r="B498" s="2958">
        <v>350</v>
      </c>
    </row>
    <row r="499" spans="2:2">
      <c r="B499" s="2958">
        <v>351</v>
      </c>
    </row>
    <row r="500" spans="2:2">
      <c r="B500" s="2958">
        <v>352</v>
      </c>
    </row>
    <row r="501" spans="2:2">
      <c r="B501" s="2958">
        <v>353</v>
      </c>
    </row>
    <row r="502" spans="2:2">
      <c r="B502" s="2958">
        <v>354</v>
      </c>
    </row>
    <row r="503" spans="2:2">
      <c r="B503" s="2958">
        <v>355</v>
      </c>
    </row>
    <row r="504" spans="2:2">
      <c r="B504" s="2958">
        <v>356</v>
      </c>
    </row>
    <row r="505" spans="2:2">
      <c r="B505" s="2958">
        <v>357</v>
      </c>
    </row>
    <row r="506" spans="2:2">
      <c r="B506" s="2958">
        <v>358</v>
      </c>
    </row>
    <row r="507" spans="2:2">
      <c r="B507" s="2958">
        <v>359</v>
      </c>
    </row>
    <row r="508" spans="2:2">
      <c r="B508" s="2958">
        <v>360</v>
      </c>
    </row>
    <row r="509" spans="2:2">
      <c r="B509" s="2958">
        <v>361</v>
      </c>
    </row>
    <row r="510" spans="2:2">
      <c r="B510" s="2958">
        <v>362</v>
      </c>
    </row>
    <row r="511" spans="2:2">
      <c r="B511" s="2958">
        <v>363</v>
      </c>
    </row>
    <row r="512" spans="2:2">
      <c r="B512" s="2958">
        <v>364</v>
      </c>
    </row>
    <row r="513" spans="2:2">
      <c r="B513" s="2958">
        <v>365</v>
      </c>
    </row>
    <row r="514" spans="2:2">
      <c r="B514" s="2958">
        <v>366</v>
      </c>
    </row>
    <row r="515" spans="2:2">
      <c r="B515" s="2958">
        <v>367</v>
      </c>
    </row>
    <row r="516" spans="2:2">
      <c r="B516" s="2958">
        <v>368</v>
      </c>
    </row>
    <row r="517" spans="2:2">
      <c r="B517" s="2958">
        <v>369</v>
      </c>
    </row>
    <row r="518" spans="2:2">
      <c r="B518" s="2958">
        <v>370</v>
      </c>
    </row>
    <row r="519" spans="2:2">
      <c r="B519" s="2958">
        <v>371</v>
      </c>
    </row>
    <row r="520" spans="2:2">
      <c r="B520" s="2958">
        <v>372</v>
      </c>
    </row>
    <row r="521" spans="2:2">
      <c r="B521" s="2958">
        <v>373</v>
      </c>
    </row>
    <row r="522" spans="2:2">
      <c r="B522" s="2958">
        <v>374</v>
      </c>
    </row>
    <row r="523" spans="2:2">
      <c r="B523" s="2958">
        <v>375</v>
      </c>
    </row>
    <row r="524" spans="2:2">
      <c r="B524" s="2958">
        <v>376</v>
      </c>
    </row>
    <row r="525" spans="2:2">
      <c r="B525" s="2958">
        <v>377</v>
      </c>
    </row>
    <row r="526" spans="2:2">
      <c r="B526" s="2958">
        <v>378</v>
      </c>
    </row>
    <row r="527" spans="2:2">
      <c r="B527" s="2958">
        <v>379</v>
      </c>
    </row>
    <row r="528" spans="2:2">
      <c r="B528" s="2958">
        <v>380</v>
      </c>
    </row>
    <row r="529" spans="2:2">
      <c r="B529" s="2958">
        <v>381</v>
      </c>
    </row>
    <row r="530" spans="2:2">
      <c r="B530" s="2958">
        <v>382</v>
      </c>
    </row>
    <row r="531" spans="2:2">
      <c r="B531" s="2958">
        <v>383</v>
      </c>
    </row>
    <row r="532" spans="2:2">
      <c r="B532" s="2958">
        <v>384</v>
      </c>
    </row>
    <row r="533" spans="2:2">
      <c r="B533" s="2958">
        <v>385</v>
      </c>
    </row>
    <row r="534" spans="2:2">
      <c r="B534" s="2958">
        <v>386</v>
      </c>
    </row>
    <row r="535" spans="2:2">
      <c r="B535" s="2958">
        <v>387</v>
      </c>
    </row>
  </sheetData>
  <autoFilter ref="B3:U136"/>
  <mergeCells count="4">
    <mergeCell ref="C2:F2"/>
    <mergeCell ref="H2:K2"/>
    <mergeCell ref="M2:P2"/>
    <mergeCell ref="R2:U2"/>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8"/>
  <sheetViews>
    <sheetView topLeftCell="A3" workbookViewId="0">
      <selection activeCell="U32" sqref="U32"/>
    </sheetView>
  </sheetViews>
  <sheetFormatPr defaultRowHeight="13.5"/>
  <cols>
    <col min="19" max="19" width="10.125" customWidth="1"/>
  </cols>
  <sheetData>
    <row r="2" spans="2:19" ht="20.25">
      <c r="B2" s="3347" t="s">
        <v>3152</v>
      </c>
      <c r="C2" s="3347"/>
      <c r="D2" s="3347"/>
      <c r="E2" s="3347"/>
      <c r="F2" s="3347"/>
      <c r="G2" s="3347"/>
      <c r="H2" s="3347"/>
      <c r="I2" s="3347"/>
      <c r="J2" s="3347"/>
      <c r="K2" s="3347"/>
      <c r="L2" s="3347"/>
      <c r="M2" s="3347"/>
    </row>
    <row r="3" spans="2:19" ht="24">
      <c r="B3" s="2962" t="s">
        <v>3153</v>
      </c>
      <c r="C3" s="2962" t="s">
        <v>3154</v>
      </c>
      <c r="D3" s="2962" t="s">
        <v>3155</v>
      </c>
      <c r="E3" s="2963" t="s">
        <v>3156</v>
      </c>
      <c r="F3" s="2964" t="s">
        <v>3157</v>
      </c>
      <c r="G3" s="2965" t="s">
        <v>3158</v>
      </c>
      <c r="H3" s="2966" t="s">
        <v>3159</v>
      </c>
      <c r="I3" s="2967" t="s">
        <v>3160</v>
      </c>
      <c r="J3" s="2968" t="s">
        <v>3161</v>
      </c>
      <c r="K3" s="2969" t="s">
        <v>3162</v>
      </c>
      <c r="L3" s="2969" t="s">
        <v>3163</v>
      </c>
      <c r="M3" s="2970" t="s">
        <v>3164</v>
      </c>
    </row>
    <row r="4" spans="2:19">
      <c r="B4" s="2971"/>
      <c r="C4" s="2971"/>
      <c r="D4" s="2971"/>
      <c r="E4" s="2971"/>
      <c r="F4" s="2972">
        <v>17</v>
      </c>
      <c r="G4" s="2973" t="s">
        <v>3165</v>
      </c>
      <c r="H4" s="2971"/>
      <c r="I4" s="2971"/>
      <c r="J4" s="2971">
        <v>100.56</v>
      </c>
      <c r="K4" s="2971"/>
      <c r="L4" s="2971"/>
      <c r="M4" s="2971"/>
      <c r="R4" s="2974"/>
      <c r="S4" s="2975" t="s">
        <v>3166</v>
      </c>
    </row>
    <row r="5" spans="2:19">
      <c r="B5" s="2976" t="s">
        <v>3167</v>
      </c>
      <c r="C5" s="2977">
        <v>1</v>
      </c>
      <c r="D5" s="2977" t="s">
        <v>3034</v>
      </c>
      <c r="E5" s="2978">
        <v>43300</v>
      </c>
      <c r="F5" s="2979">
        <v>17</v>
      </c>
      <c r="G5" s="2980" t="s">
        <v>3168</v>
      </c>
      <c r="H5" s="2980" t="s">
        <v>3169</v>
      </c>
      <c r="I5" s="2980" t="s">
        <v>3170</v>
      </c>
      <c r="J5" s="2981">
        <v>123.43</v>
      </c>
      <c r="K5" s="2980">
        <v>356713</v>
      </c>
      <c r="L5" s="2980">
        <v>356713</v>
      </c>
      <c r="M5" s="2982">
        <f>K5-L5</f>
        <v>0</v>
      </c>
      <c r="R5" s="2975" t="s">
        <v>3171</v>
      </c>
      <c r="S5" s="2974">
        <f>SUM(J4:J30)</f>
        <v>3035.2999999999993</v>
      </c>
    </row>
    <row r="6" spans="2:19">
      <c r="B6" s="2971"/>
      <c r="C6" s="2971"/>
      <c r="D6" s="2971"/>
      <c r="E6" s="2971"/>
      <c r="F6" s="2972">
        <v>17</v>
      </c>
      <c r="G6" s="2973" t="s">
        <v>3172</v>
      </c>
      <c r="H6" s="2971"/>
      <c r="I6" s="2971"/>
      <c r="J6" s="2971">
        <v>100.56</v>
      </c>
      <c r="K6" s="2971"/>
      <c r="L6" s="2971"/>
      <c r="M6" s="2971"/>
      <c r="R6" s="2975" t="s">
        <v>3173</v>
      </c>
      <c r="S6" s="2974">
        <f>SUM(J31:J104)</f>
        <v>8069.2299999999959</v>
      </c>
    </row>
    <row r="7" spans="2:19">
      <c r="B7" s="2971"/>
      <c r="C7" s="2971"/>
      <c r="D7" s="2971"/>
      <c r="E7" s="2971"/>
      <c r="F7" s="2972">
        <v>17</v>
      </c>
      <c r="G7" s="2973" t="s">
        <v>3174</v>
      </c>
      <c r="H7" s="2983"/>
      <c r="I7" s="2984"/>
      <c r="J7" s="2984">
        <v>100.56</v>
      </c>
      <c r="K7" s="2984"/>
      <c r="L7" s="2984"/>
      <c r="M7" s="2984"/>
      <c r="R7" s="2975" t="s">
        <v>3031</v>
      </c>
      <c r="S7" s="2985">
        <f>SUM(J105:J130)</f>
        <v>2897.5999999999985</v>
      </c>
    </row>
    <row r="8" spans="2:19">
      <c r="B8" s="2984"/>
      <c r="C8" s="2984"/>
      <c r="D8" s="2984"/>
      <c r="E8" s="2984"/>
      <c r="F8" s="2986">
        <v>17</v>
      </c>
      <c r="G8" s="2987" t="s">
        <v>3175</v>
      </c>
      <c r="H8" s="2984"/>
      <c r="I8" s="2984"/>
      <c r="J8" s="2984">
        <v>100.56</v>
      </c>
      <c r="K8" s="2984"/>
      <c r="L8" s="2984"/>
      <c r="M8" s="2984"/>
      <c r="R8" s="2975" t="s">
        <v>3176</v>
      </c>
      <c r="S8" s="2985">
        <f>SUM(J131:J176)</f>
        <v>5657.6399999999994</v>
      </c>
    </row>
    <row r="9" spans="2:19">
      <c r="B9" s="2984"/>
      <c r="C9" s="2984"/>
      <c r="D9" s="2984"/>
      <c r="E9" s="2984"/>
      <c r="F9" s="2986">
        <v>17</v>
      </c>
      <c r="G9" s="2987" t="s">
        <v>3177</v>
      </c>
      <c r="H9" s="2984"/>
      <c r="I9" s="2984"/>
      <c r="J9" s="2984">
        <v>100.56</v>
      </c>
      <c r="K9" s="2984"/>
      <c r="L9" s="2984"/>
      <c r="M9" s="2984"/>
      <c r="R9" s="2974"/>
      <c r="S9" s="2985">
        <f>S5+S6+S7+S8</f>
        <v>19659.769999999993</v>
      </c>
    </row>
    <row r="10" spans="2:19">
      <c r="B10" s="2984"/>
      <c r="C10" s="2984"/>
      <c r="D10" s="2984"/>
      <c r="E10" s="2984"/>
      <c r="F10" s="2986">
        <v>17</v>
      </c>
      <c r="G10" s="2987" t="s">
        <v>3178</v>
      </c>
      <c r="H10" s="2984"/>
      <c r="I10" s="2984"/>
      <c r="J10" s="2984">
        <v>100.56</v>
      </c>
      <c r="K10" s="2984"/>
      <c r="L10" s="2984"/>
      <c r="M10" s="2984"/>
    </row>
    <row r="11" spans="2:19">
      <c r="B11" s="2984"/>
      <c r="C11" s="2984"/>
      <c r="D11" s="2984"/>
      <c r="E11" s="2984"/>
      <c r="F11" s="2986">
        <v>17</v>
      </c>
      <c r="G11" s="2987" t="s">
        <v>3179</v>
      </c>
      <c r="H11" s="2984"/>
      <c r="I11" s="2984"/>
      <c r="J11" s="2984">
        <v>100.56</v>
      </c>
      <c r="K11" s="2984"/>
      <c r="L11" s="2984"/>
      <c r="M11" s="2984"/>
    </row>
    <row r="12" spans="2:19">
      <c r="B12" s="2988" t="s">
        <v>3180</v>
      </c>
      <c r="C12" s="2989">
        <v>2</v>
      </c>
      <c r="D12" s="2989" t="s">
        <v>3034</v>
      </c>
      <c r="E12" s="2990">
        <v>43301</v>
      </c>
      <c r="F12" s="2991">
        <v>17</v>
      </c>
      <c r="G12" s="2992" t="s">
        <v>3181</v>
      </c>
      <c r="H12" s="2992" t="s">
        <v>3182</v>
      </c>
      <c r="I12" s="2992" t="s">
        <v>3170</v>
      </c>
      <c r="J12" s="2993">
        <v>123.43</v>
      </c>
      <c r="K12" s="2992">
        <v>356713</v>
      </c>
      <c r="L12" s="2992">
        <v>356713</v>
      </c>
      <c r="M12" s="2994">
        <f>K12-L12</f>
        <v>0</v>
      </c>
    </row>
    <row r="13" spans="2:19">
      <c r="B13" s="2984"/>
      <c r="C13" s="2984"/>
      <c r="D13" s="2984"/>
      <c r="E13" s="2984"/>
      <c r="F13" s="2986">
        <v>17</v>
      </c>
      <c r="G13" s="2987" t="s">
        <v>3183</v>
      </c>
      <c r="H13" s="2984"/>
      <c r="I13" s="2984"/>
      <c r="J13" s="2984">
        <v>100.56</v>
      </c>
      <c r="K13" s="2984"/>
      <c r="L13" s="2984"/>
      <c r="M13" s="2984"/>
    </row>
    <row r="14" spans="2:19">
      <c r="B14" s="2984"/>
      <c r="C14" s="2984"/>
      <c r="D14" s="2984"/>
      <c r="E14" s="2984"/>
      <c r="F14" s="2986">
        <v>17</v>
      </c>
      <c r="G14" s="2987" t="s">
        <v>3184</v>
      </c>
      <c r="H14" s="2984"/>
      <c r="I14" s="2984"/>
      <c r="J14" s="2984">
        <v>100.56</v>
      </c>
      <c r="K14" s="2984"/>
      <c r="L14" s="2984"/>
      <c r="M14" s="2984"/>
    </row>
    <row r="15" spans="2:19">
      <c r="B15" s="2988" t="s">
        <v>3185</v>
      </c>
      <c r="C15" s="2989">
        <v>3</v>
      </c>
      <c r="D15" s="2989" t="s">
        <v>3034</v>
      </c>
      <c r="E15" s="2990">
        <v>43300</v>
      </c>
      <c r="F15" s="2986">
        <v>17</v>
      </c>
      <c r="G15" s="2992" t="s">
        <v>3186</v>
      </c>
      <c r="H15" s="2992" t="s">
        <v>3187</v>
      </c>
      <c r="I15" s="2992" t="s">
        <v>3170</v>
      </c>
      <c r="J15" s="2993">
        <v>123.43</v>
      </c>
      <c r="K15" s="2992">
        <v>356713</v>
      </c>
      <c r="L15" s="2992">
        <v>356713</v>
      </c>
      <c r="M15" s="2994">
        <f>K15-L15</f>
        <v>0</v>
      </c>
    </row>
    <row r="16" spans="2:19">
      <c r="B16" s="2988" t="s">
        <v>3185</v>
      </c>
      <c r="C16" s="2989">
        <v>4</v>
      </c>
      <c r="D16" s="2989" t="s">
        <v>3034</v>
      </c>
      <c r="E16" s="2990">
        <v>43306</v>
      </c>
      <c r="F16" s="2986">
        <v>17</v>
      </c>
      <c r="G16" s="2992" t="s">
        <v>3188</v>
      </c>
      <c r="H16" s="2995" t="s">
        <v>3189</v>
      </c>
      <c r="I16" s="2992" t="s">
        <v>3190</v>
      </c>
      <c r="J16" s="2993">
        <v>123.43</v>
      </c>
      <c r="K16" s="2992">
        <v>356713</v>
      </c>
      <c r="L16" s="2992">
        <v>356713</v>
      </c>
      <c r="M16" s="2994">
        <f>K16-L16</f>
        <v>0</v>
      </c>
    </row>
    <row r="17" spans="2:13">
      <c r="B17" s="2988" t="s">
        <v>3185</v>
      </c>
      <c r="C17" s="2989">
        <v>5</v>
      </c>
      <c r="D17" s="2989" t="s">
        <v>3034</v>
      </c>
      <c r="E17" s="2990">
        <v>43301</v>
      </c>
      <c r="F17" s="2986">
        <v>17</v>
      </c>
      <c r="G17" s="2992" t="s">
        <v>3191</v>
      </c>
      <c r="H17" s="2996" t="s">
        <v>3192</v>
      </c>
      <c r="I17" s="2992" t="s">
        <v>3170</v>
      </c>
      <c r="J17" s="2993">
        <v>123.43</v>
      </c>
      <c r="K17" s="2992">
        <v>356713</v>
      </c>
      <c r="L17" s="2992">
        <v>356713</v>
      </c>
      <c r="M17" s="2994">
        <f>K17-L17</f>
        <v>0</v>
      </c>
    </row>
    <row r="18" spans="2:13">
      <c r="B18" s="2984"/>
      <c r="C18" s="2984"/>
      <c r="D18" s="2984"/>
      <c r="E18" s="2984"/>
      <c r="F18" s="2986">
        <v>17</v>
      </c>
      <c r="G18" s="2987" t="s">
        <v>3193</v>
      </c>
      <c r="H18" s="2984"/>
      <c r="I18" s="2984"/>
      <c r="J18" s="2984">
        <v>100.56</v>
      </c>
      <c r="K18" s="2984"/>
      <c r="L18" s="2984"/>
      <c r="M18" s="2984"/>
    </row>
    <row r="19" spans="2:13">
      <c r="B19" s="2988" t="s">
        <v>3185</v>
      </c>
      <c r="C19" s="2989">
        <v>6</v>
      </c>
      <c r="D19" s="2989" t="s">
        <v>3034</v>
      </c>
      <c r="E19" s="2990">
        <v>43300</v>
      </c>
      <c r="F19" s="2986">
        <v>17</v>
      </c>
      <c r="G19" s="2992" t="s">
        <v>3194</v>
      </c>
      <c r="H19" s="2992" t="s">
        <v>3195</v>
      </c>
      <c r="I19" s="2992" t="s">
        <v>3170</v>
      </c>
      <c r="J19" s="2993">
        <v>123.43</v>
      </c>
      <c r="K19" s="2992">
        <v>356713</v>
      </c>
      <c r="L19" s="2992">
        <v>356713</v>
      </c>
      <c r="M19" s="2994">
        <f t="shared" ref="M19:M25" si="0">K19-L19</f>
        <v>0</v>
      </c>
    </row>
    <row r="20" spans="2:13">
      <c r="B20" s="2988" t="s">
        <v>3196</v>
      </c>
      <c r="C20" s="2989">
        <v>7</v>
      </c>
      <c r="D20" s="2989" t="s">
        <v>3034</v>
      </c>
      <c r="E20" s="2990">
        <v>43300</v>
      </c>
      <c r="F20" s="2986">
        <v>17</v>
      </c>
      <c r="G20" s="2992" t="s">
        <v>3197</v>
      </c>
      <c r="H20" s="2992" t="s">
        <v>3198</v>
      </c>
      <c r="I20" s="2992" t="s">
        <v>3170</v>
      </c>
      <c r="J20" s="2993">
        <v>123.43</v>
      </c>
      <c r="K20" s="2992">
        <v>356713</v>
      </c>
      <c r="L20" s="2992">
        <v>356713</v>
      </c>
      <c r="M20" s="2994">
        <f t="shared" si="0"/>
        <v>0</v>
      </c>
    </row>
    <row r="21" spans="2:13">
      <c r="B21" s="2988" t="s">
        <v>3196</v>
      </c>
      <c r="C21" s="2989">
        <v>8</v>
      </c>
      <c r="D21" s="2989" t="s">
        <v>3034</v>
      </c>
      <c r="E21" s="2990">
        <v>43300</v>
      </c>
      <c r="F21" s="2986">
        <v>17</v>
      </c>
      <c r="G21" s="2992" t="s">
        <v>3199</v>
      </c>
      <c r="H21" s="2992" t="s">
        <v>3200</v>
      </c>
      <c r="I21" s="2992" t="s">
        <v>3170</v>
      </c>
      <c r="J21" s="2993">
        <v>123.43</v>
      </c>
      <c r="K21" s="2992">
        <v>356713</v>
      </c>
      <c r="L21" s="2992">
        <v>356713</v>
      </c>
      <c r="M21" s="2994">
        <f t="shared" si="0"/>
        <v>0</v>
      </c>
    </row>
    <row r="22" spans="2:13">
      <c r="B22" s="2988" t="s">
        <v>3196</v>
      </c>
      <c r="C22" s="2989">
        <v>9</v>
      </c>
      <c r="D22" s="2989" t="s">
        <v>3034</v>
      </c>
      <c r="E22" s="2990">
        <v>43300</v>
      </c>
      <c r="F22" s="2986">
        <v>17</v>
      </c>
      <c r="G22" s="2992" t="s">
        <v>3201</v>
      </c>
      <c r="H22" s="2992" t="s">
        <v>3202</v>
      </c>
      <c r="I22" s="2992" t="s">
        <v>3170</v>
      </c>
      <c r="J22" s="2993">
        <v>123.43</v>
      </c>
      <c r="K22" s="2992">
        <v>356713</v>
      </c>
      <c r="L22" s="2992">
        <v>356713</v>
      </c>
      <c r="M22" s="2994">
        <f t="shared" si="0"/>
        <v>0</v>
      </c>
    </row>
    <row r="23" spans="2:13">
      <c r="B23" s="2988" t="s">
        <v>3196</v>
      </c>
      <c r="C23" s="2989">
        <v>10</v>
      </c>
      <c r="D23" s="2989" t="s">
        <v>3034</v>
      </c>
      <c r="E23" s="2990">
        <v>43304</v>
      </c>
      <c r="F23" s="2986">
        <v>17</v>
      </c>
      <c r="G23" s="2992" t="s">
        <v>3203</v>
      </c>
      <c r="H23" s="2992" t="s">
        <v>3204</v>
      </c>
      <c r="I23" s="2992" t="s">
        <v>3205</v>
      </c>
      <c r="J23" s="2993">
        <v>123.43</v>
      </c>
      <c r="K23" s="2992">
        <v>356713</v>
      </c>
      <c r="L23" s="2992">
        <v>356713</v>
      </c>
      <c r="M23" s="2994">
        <f t="shared" si="0"/>
        <v>0</v>
      </c>
    </row>
    <row r="24" spans="2:13">
      <c r="B24" s="2988" t="s">
        <v>3196</v>
      </c>
      <c r="C24" s="2989">
        <v>11</v>
      </c>
      <c r="D24" s="2989" t="s">
        <v>3034</v>
      </c>
      <c r="E24" s="2990">
        <v>43300</v>
      </c>
      <c r="F24" s="2986">
        <v>17</v>
      </c>
      <c r="G24" s="2992" t="s">
        <v>3206</v>
      </c>
      <c r="H24" s="2992" t="s">
        <v>3207</v>
      </c>
      <c r="I24" s="2992" t="s">
        <v>3170</v>
      </c>
      <c r="J24" s="2993">
        <v>123.43</v>
      </c>
      <c r="K24" s="2992">
        <v>356713</v>
      </c>
      <c r="L24" s="2992">
        <v>356713</v>
      </c>
      <c r="M24" s="2994">
        <f t="shared" si="0"/>
        <v>0</v>
      </c>
    </row>
    <row r="25" spans="2:13">
      <c r="B25" s="2988" t="s">
        <v>3208</v>
      </c>
      <c r="C25" s="2989">
        <v>12</v>
      </c>
      <c r="D25" s="2989" t="s">
        <v>3034</v>
      </c>
      <c r="E25" s="2990">
        <v>43301</v>
      </c>
      <c r="F25" s="2986">
        <v>17</v>
      </c>
      <c r="G25" s="2992" t="s">
        <v>3209</v>
      </c>
      <c r="H25" s="2992" t="s">
        <v>3210</v>
      </c>
      <c r="I25" s="2992" t="s">
        <v>3170</v>
      </c>
      <c r="J25" s="2993">
        <v>123.43</v>
      </c>
      <c r="K25" s="2992">
        <v>356713</v>
      </c>
      <c r="L25" s="2992">
        <v>356713</v>
      </c>
      <c r="M25" s="2994">
        <f t="shared" si="0"/>
        <v>0</v>
      </c>
    </row>
    <row r="26" spans="2:13">
      <c r="B26" s="2984"/>
      <c r="C26" s="2984"/>
      <c r="D26" s="2984"/>
      <c r="E26" s="2984"/>
      <c r="F26" s="2986">
        <v>17</v>
      </c>
      <c r="G26" s="2987" t="s">
        <v>3211</v>
      </c>
      <c r="H26" s="2984"/>
      <c r="I26" s="2984"/>
      <c r="J26" s="2984">
        <v>100.56</v>
      </c>
      <c r="K26" s="2984"/>
      <c r="L26" s="2984"/>
      <c r="M26" s="2984"/>
    </row>
    <row r="27" spans="2:13">
      <c r="B27" s="2988" t="s">
        <v>3208</v>
      </c>
      <c r="C27" s="2989">
        <v>13</v>
      </c>
      <c r="D27" s="2989" t="s">
        <v>3034</v>
      </c>
      <c r="E27" s="2990">
        <v>43301</v>
      </c>
      <c r="F27" s="2997">
        <v>17</v>
      </c>
      <c r="G27" s="2992" t="s">
        <v>3212</v>
      </c>
      <c r="H27" s="2992" t="s">
        <v>3213</v>
      </c>
      <c r="I27" s="2992" t="s">
        <v>3170</v>
      </c>
      <c r="J27" s="2993">
        <v>123.43</v>
      </c>
      <c r="K27" s="2992">
        <v>356713</v>
      </c>
      <c r="L27" s="2992">
        <v>356713</v>
      </c>
      <c r="M27" s="2994">
        <f>K27-L27</f>
        <v>0</v>
      </c>
    </row>
    <row r="28" spans="2:13">
      <c r="B28" s="2988" t="s">
        <v>3208</v>
      </c>
      <c r="C28" s="2989">
        <v>14</v>
      </c>
      <c r="D28" s="2989" t="s">
        <v>3034</v>
      </c>
      <c r="E28" s="2990">
        <v>43308</v>
      </c>
      <c r="F28" s="2997">
        <v>17</v>
      </c>
      <c r="G28" s="2992" t="s">
        <v>3214</v>
      </c>
      <c r="H28" s="2995" t="s">
        <v>3215</v>
      </c>
      <c r="I28" s="2992" t="s">
        <v>3216</v>
      </c>
      <c r="J28" s="2993">
        <v>123.43</v>
      </c>
      <c r="K28" s="2992">
        <v>356713</v>
      </c>
      <c r="L28" s="2992">
        <v>356713</v>
      </c>
      <c r="M28" s="2994">
        <f>K28-L28</f>
        <v>0</v>
      </c>
    </row>
    <row r="29" spans="2:13">
      <c r="B29" s="2984"/>
      <c r="C29" s="2984"/>
      <c r="D29" s="2984"/>
      <c r="E29" s="2984"/>
      <c r="F29" s="2986">
        <v>17</v>
      </c>
      <c r="G29" s="2987" t="s">
        <v>3217</v>
      </c>
      <c r="H29" s="2984"/>
      <c r="I29" s="2984"/>
      <c r="J29" s="2984">
        <v>100.56</v>
      </c>
      <c r="K29" s="2984"/>
      <c r="L29" s="2984"/>
      <c r="M29" s="2984"/>
    </row>
    <row r="30" spans="2:13">
      <c r="B30" s="2984"/>
      <c r="C30" s="2984"/>
      <c r="D30" s="2984"/>
      <c r="E30" s="2984"/>
      <c r="F30" s="2986">
        <v>17</v>
      </c>
      <c r="G30" s="2987" t="s">
        <v>3218</v>
      </c>
      <c r="H30" s="2984"/>
      <c r="I30" s="2984"/>
      <c r="J30" s="2984">
        <v>100.56</v>
      </c>
      <c r="K30" s="2984"/>
      <c r="L30" s="2984"/>
      <c r="M30" s="2984"/>
    </row>
    <row r="31" spans="2:13">
      <c r="B31" s="2984"/>
      <c r="C31" s="2984"/>
      <c r="D31" s="2984"/>
      <c r="E31" s="2984"/>
      <c r="F31" s="2986">
        <v>18</v>
      </c>
      <c r="G31" s="2987" t="s">
        <v>3219</v>
      </c>
      <c r="H31" s="2984"/>
      <c r="I31" s="2984"/>
      <c r="J31" s="2984">
        <v>99.69</v>
      </c>
      <c r="K31" s="2984"/>
      <c r="L31" s="2984"/>
      <c r="M31" s="2984"/>
    </row>
    <row r="32" spans="2:13">
      <c r="B32" s="2984"/>
      <c r="C32" s="2984"/>
      <c r="D32" s="2984"/>
      <c r="E32" s="2984"/>
      <c r="F32" s="2986">
        <v>18</v>
      </c>
      <c r="G32" s="2987" t="s">
        <v>3220</v>
      </c>
      <c r="H32" s="2984"/>
      <c r="I32" s="2984"/>
      <c r="J32" s="2984">
        <v>99.69</v>
      </c>
      <c r="K32" s="2984"/>
      <c r="L32" s="2984"/>
      <c r="M32" s="2984"/>
    </row>
    <row r="33" spans="2:13">
      <c r="B33" s="2984"/>
      <c r="C33" s="2984"/>
      <c r="D33" s="2984"/>
      <c r="E33" s="2984"/>
      <c r="F33" s="2986">
        <v>18</v>
      </c>
      <c r="G33" s="2987" t="s">
        <v>3221</v>
      </c>
      <c r="H33" s="2984"/>
      <c r="I33" s="2984"/>
      <c r="J33" s="2984">
        <v>118.86</v>
      </c>
      <c r="K33" s="2984"/>
      <c r="L33" s="2984"/>
      <c r="M33" s="2984"/>
    </row>
    <row r="34" spans="2:13">
      <c r="B34" s="2988" t="s">
        <v>3222</v>
      </c>
      <c r="C34" s="2989">
        <v>15</v>
      </c>
      <c r="D34" s="2989" t="s">
        <v>3034</v>
      </c>
      <c r="E34" s="2990">
        <v>43305</v>
      </c>
      <c r="F34" s="2986">
        <v>18</v>
      </c>
      <c r="G34" s="2992" t="s">
        <v>3223</v>
      </c>
      <c r="H34" s="2992" t="s">
        <v>3224</v>
      </c>
      <c r="I34" s="2992" t="s">
        <v>3225</v>
      </c>
      <c r="J34" s="2993">
        <v>118.86</v>
      </c>
      <c r="K34" s="2992">
        <v>343505</v>
      </c>
      <c r="L34" s="2992">
        <v>343505</v>
      </c>
      <c r="M34" s="2994">
        <f>K34-L34</f>
        <v>0</v>
      </c>
    </row>
    <row r="35" spans="2:13">
      <c r="B35" s="2984"/>
      <c r="C35" s="2984"/>
      <c r="D35" s="2984"/>
      <c r="E35" s="2984"/>
      <c r="F35" s="2986">
        <v>18</v>
      </c>
      <c r="G35" s="2987" t="s">
        <v>3226</v>
      </c>
      <c r="H35" s="2984"/>
      <c r="I35" s="2984"/>
      <c r="J35" s="2984">
        <v>99.69</v>
      </c>
      <c r="K35" s="2984"/>
      <c r="L35" s="2984"/>
      <c r="M35" s="2984"/>
    </row>
    <row r="36" spans="2:13">
      <c r="B36" s="2984"/>
      <c r="C36" s="2984"/>
      <c r="D36" s="2984"/>
      <c r="E36" s="2984"/>
      <c r="F36" s="2986">
        <v>18</v>
      </c>
      <c r="G36" s="2987" t="s">
        <v>3227</v>
      </c>
      <c r="H36" s="2984"/>
      <c r="I36" s="2984"/>
      <c r="J36" s="2984">
        <v>99.69</v>
      </c>
      <c r="K36" s="2984"/>
      <c r="L36" s="2984"/>
      <c r="M36" s="2984"/>
    </row>
    <row r="37" spans="2:13">
      <c r="B37" s="2984"/>
      <c r="C37" s="2984"/>
      <c r="D37" s="2984"/>
      <c r="E37" s="2984"/>
      <c r="F37" s="2986">
        <v>18</v>
      </c>
      <c r="G37" s="2987" t="s">
        <v>3228</v>
      </c>
      <c r="H37" s="2984"/>
      <c r="I37" s="2984"/>
      <c r="J37" s="2984">
        <v>122.35</v>
      </c>
      <c r="K37" s="2984"/>
      <c r="L37" s="2984"/>
      <c r="M37" s="2984"/>
    </row>
    <row r="38" spans="2:13">
      <c r="F38" s="2998">
        <v>18</v>
      </c>
      <c r="G38" s="2999" t="s">
        <v>3229</v>
      </c>
      <c r="J38" s="2984">
        <v>99.69</v>
      </c>
    </row>
    <row r="39" spans="2:13">
      <c r="F39" s="2998">
        <v>18</v>
      </c>
      <c r="G39" s="2999" t="s">
        <v>3230</v>
      </c>
      <c r="J39" s="2984">
        <v>99.69</v>
      </c>
    </row>
    <row r="40" spans="2:13">
      <c r="F40" s="2998">
        <v>18</v>
      </c>
      <c r="G40" s="2999" t="s">
        <v>3231</v>
      </c>
      <c r="J40" s="2984">
        <v>122.35</v>
      </c>
    </row>
    <row r="41" spans="2:13">
      <c r="B41" s="3000" t="s">
        <v>3222</v>
      </c>
      <c r="C41" s="3001">
        <v>16</v>
      </c>
      <c r="D41" s="3001" t="s">
        <v>3034</v>
      </c>
      <c r="E41" s="3002">
        <v>43301</v>
      </c>
      <c r="F41" s="2998">
        <v>18</v>
      </c>
      <c r="G41" s="3003" t="s">
        <v>3232</v>
      </c>
      <c r="H41" s="3003" t="s">
        <v>3233</v>
      </c>
      <c r="I41" s="3003" t="s">
        <v>3170</v>
      </c>
      <c r="J41" s="3004">
        <v>122.35</v>
      </c>
      <c r="K41" s="3003">
        <v>353592</v>
      </c>
      <c r="L41" s="3003">
        <v>353592</v>
      </c>
      <c r="M41" s="3005">
        <f>K41-L41</f>
        <v>0</v>
      </c>
    </row>
    <row r="42" spans="2:13">
      <c r="F42" s="2998">
        <v>18</v>
      </c>
      <c r="G42" s="2999" t="s">
        <v>3234</v>
      </c>
      <c r="J42" s="2984">
        <v>99.69</v>
      </c>
    </row>
    <row r="43" spans="2:13">
      <c r="F43" s="2998">
        <v>18</v>
      </c>
      <c r="G43" s="2999" t="s">
        <v>3235</v>
      </c>
      <c r="J43" s="2984">
        <v>99.69</v>
      </c>
    </row>
    <row r="44" spans="2:13">
      <c r="F44" s="2998">
        <v>18</v>
      </c>
      <c r="G44" s="2999" t="s">
        <v>3236</v>
      </c>
      <c r="J44" s="2984">
        <v>122.35</v>
      </c>
    </row>
    <row r="45" spans="2:13">
      <c r="B45" s="3000" t="s">
        <v>3222</v>
      </c>
      <c r="C45" s="3001">
        <v>17</v>
      </c>
      <c r="D45" s="3001" t="s">
        <v>3034</v>
      </c>
      <c r="E45" s="3002">
        <v>43301</v>
      </c>
      <c r="F45" s="2998">
        <v>18</v>
      </c>
      <c r="G45" s="3003" t="s">
        <v>3237</v>
      </c>
      <c r="H45" s="3003" t="s">
        <v>3238</v>
      </c>
      <c r="I45" s="3003" t="s">
        <v>3170</v>
      </c>
      <c r="J45" s="3004">
        <v>122.35</v>
      </c>
      <c r="K45" s="3003">
        <v>353592</v>
      </c>
      <c r="L45" s="3003">
        <v>353592</v>
      </c>
      <c r="M45" s="3005">
        <f>K45-L45</f>
        <v>0</v>
      </c>
    </row>
    <row r="46" spans="2:13">
      <c r="F46" s="2998">
        <v>18</v>
      </c>
      <c r="G46" s="2999" t="s">
        <v>3239</v>
      </c>
      <c r="J46" s="2984">
        <v>99.69</v>
      </c>
    </row>
    <row r="47" spans="2:13">
      <c r="F47" s="2998">
        <v>18</v>
      </c>
      <c r="G47" s="2999" t="s">
        <v>3240</v>
      </c>
      <c r="J47" s="2984">
        <v>99.69</v>
      </c>
    </row>
    <row r="48" spans="2:13">
      <c r="F48" s="2998">
        <v>18</v>
      </c>
      <c r="G48" s="2999" t="s">
        <v>3241</v>
      </c>
      <c r="J48" s="3004">
        <v>122.35</v>
      </c>
    </row>
    <row r="49" spans="2:13">
      <c r="F49" s="2998">
        <v>18</v>
      </c>
      <c r="G49" s="2999" t="s">
        <v>3242</v>
      </c>
      <c r="J49" s="2984">
        <v>99.69</v>
      </c>
    </row>
    <row r="50" spans="2:13">
      <c r="F50" s="2998">
        <v>18</v>
      </c>
      <c r="G50" s="2999" t="s">
        <v>3243</v>
      </c>
      <c r="J50" s="3004">
        <v>122.35</v>
      </c>
    </row>
    <row r="51" spans="2:13">
      <c r="F51" s="2998">
        <v>18</v>
      </c>
      <c r="G51" s="2999" t="s">
        <v>3244</v>
      </c>
      <c r="J51" s="2984">
        <v>99.69</v>
      </c>
    </row>
    <row r="52" spans="2:13">
      <c r="F52" s="2998">
        <v>18</v>
      </c>
      <c r="G52" s="2999" t="s">
        <v>3245</v>
      </c>
      <c r="J52" s="2984">
        <v>99.69</v>
      </c>
    </row>
    <row r="53" spans="2:13">
      <c r="F53" s="2998">
        <v>18</v>
      </c>
      <c r="G53" s="2999" t="s">
        <v>3246</v>
      </c>
      <c r="J53" s="3004">
        <v>122.35</v>
      </c>
    </row>
    <row r="54" spans="2:13">
      <c r="F54" s="2998">
        <v>18</v>
      </c>
      <c r="G54" s="2999" t="s">
        <v>3247</v>
      </c>
      <c r="J54" s="2984">
        <v>99.69</v>
      </c>
    </row>
    <row r="55" spans="2:13">
      <c r="F55" s="2998">
        <v>18</v>
      </c>
      <c r="G55" s="2999" t="s">
        <v>3248</v>
      </c>
      <c r="J55" s="2984">
        <v>99.69</v>
      </c>
    </row>
    <row r="56" spans="2:13">
      <c r="F56" s="2998">
        <v>18</v>
      </c>
      <c r="G56" s="2999" t="s">
        <v>3249</v>
      </c>
      <c r="J56" s="3004">
        <v>122.35</v>
      </c>
    </row>
    <row r="57" spans="2:13">
      <c r="B57" s="3000" t="s">
        <v>3196</v>
      </c>
      <c r="C57" s="3001">
        <v>18</v>
      </c>
      <c r="D57" s="3001" t="s">
        <v>3034</v>
      </c>
      <c r="E57" s="3002">
        <v>43300</v>
      </c>
      <c r="F57" s="2998">
        <v>18</v>
      </c>
      <c r="G57" s="3003" t="s">
        <v>3250</v>
      </c>
      <c r="H57" s="3003" t="s">
        <v>3251</v>
      </c>
      <c r="I57" s="3003" t="s">
        <v>3170</v>
      </c>
      <c r="J57" s="3004">
        <v>122.35</v>
      </c>
      <c r="K57" s="3003">
        <v>353592</v>
      </c>
      <c r="L57" s="3003">
        <v>353592</v>
      </c>
      <c r="M57" s="3005">
        <f>K57-L57</f>
        <v>0</v>
      </c>
    </row>
    <row r="58" spans="2:13">
      <c r="F58" s="2998">
        <v>18</v>
      </c>
      <c r="G58" s="2999" t="s">
        <v>3252</v>
      </c>
      <c r="J58" s="2984">
        <v>99.69</v>
      </c>
    </row>
    <row r="59" spans="2:13">
      <c r="F59" s="2998">
        <v>18</v>
      </c>
      <c r="G59" s="2999" t="s">
        <v>3253</v>
      </c>
      <c r="J59" s="2984">
        <v>99.69</v>
      </c>
    </row>
    <row r="60" spans="2:13">
      <c r="F60" s="2998">
        <v>18</v>
      </c>
      <c r="G60" s="2999" t="s">
        <v>3254</v>
      </c>
      <c r="J60" s="3004">
        <v>122.35</v>
      </c>
    </row>
    <row r="61" spans="2:13">
      <c r="B61" s="3000" t="s">
        <v>3196</v>
      </c>
      <c r="C61" s="3001">
        <v>19</v>
      </c>
      <c r="D61" s="3001" t="s">
        <v>3034</v>
      </c>
      <c r="E61" s="3002">
        <v>43301</v>
      </c>
      <c r="F61" s="2998">
        <v>18</v>
      </c>
      <c r="G61" s="3003" t="s">
        <v>3255</v>
      </c>
      <c r="H61" s="3003" t="s">
        <v>3256</v>
      </c>
      <c r="I61" s="3003" t="s">
        <v>3170</v>
      </c>
      <c r="J61" s="3004">
        <v>122.35</v>
      </c>
      <c r="K61" s="3003">
        <v>353592</v>
      </c>
      <c r="L61" s="3003">
        <v>353592</v>
      </c>
      <c r="M61" s="3005">
        <f>K61-L61</f>
        <v>0</v>
      </c>
    </row>
    <row r="62" spans="2:13">
      <c r="F62" s="2998">
        <v>18</v>
      </c>
      <c r="G62" s="2999" t="s">
        <v>3257</v>
      </c>
      <c r="J62" s="2984">
        <v>99.69</v>
      </c>
    </row>
    <row r="63" spans="2:13">
      <c r="F63" s="2998">
        <v>18</v>
      </c>
      <c r="G63" s="2999" t="s">
        <v>3258</v>
      </c>
      <c r="J63" s="3004">
        <v>122.35</v>
      </c>
    </row>
    <row r="64" spans="2:13">
      <c r="F64" s="2998">
        <v>18</v>
      </c>
      <c r="G64" s="2999" t="s">
        <v>3259</v>
      </c>
      <c r="J64" s="2984">
        <v>99.69</v>
      </c>
    </row>
    <row r="65" spans="2:14">
      <c r="F65" s="2998">
        <v>18</v>
      </c>
      <c r="G65" s="2999" t="s">
        <v>3260</v>
      </c>
      <c r="J65" s="3004">
        <v>119.04</v>
      </c>
    </row>
    <row r="66" spans="2:14">
      <c r="F66" s="2998">
        <v>18</v>
      </c>
      <c r="G66" s="2999" t="s">
        <v>3261</v>
      </c>
      <c r="J66" s="2984">
        <v>99.69</v>
      </c>
    </row>
    <row r="67" spans="2:14">
      <c r="F67" s="2998">
        <v>18</v>
      </c>
      <c r="G67" s="2999" t="s">
        <v>3262</v>
      </c>
      <c r="J67" s="2984">
        <v>99.69</v>
      </c>
    </row>
    <row r="68" spans="2:14">
      <c r="F68" s="2998">
        <v>18</v>
      </c>
      <c r="G68" s="2999" t="s">
        <v>3263</v>
      </c>
      <c r="J68" s="3004">
        <v>122.35</v>
      </c>
    </row>
    <row r="69" spans="2:14">
      <c r="B69" s="3000" t="s">
        <v>3222</v>
      </c>
      <c r="C69" s="3001">
        <v>20</v>
      </c>
      <c r="D69" s="3001" t="s">
        <v>3034</v>
      </c>
      <c r="E69" s="3002">
        <v>43300</v>
      </c>
      <c r="F69" s="2998">
        <v>18</v>
      </c>
      <c r="G69" s="3003" t="s">
        <v>3264</v>
      </c>
      <c r="H69" s="3003" t="s">
        <v>3265</v>
      </c>
      <c r="I69" s="3003" t="s">
        <v>3170</v>
      </c>
      <c r="J69" s="3004">
        <v>122.35</v>
      </c>
      <c r="K69" s="3003">
        <v>353592</v>
      </c>
      <c r="L69" s="3003">
        <v>353592</v>
      </c>
      <c r="M69" s="3005">
        <f>K69-L69</f>
        <v>0</v>
      </c>
    </row>
    <row r="70" spans="2:14">
      <c r="F70" s="2998">
        <v>18</v>
      </c>
      <c r="G70" s="2999" t="s">
        <v>3266</v>
      </c>
      <c r="J70" s="2984">
        <v>99.69</v>
      </c>
    </row>
    <row r="71" spans="2:14">
      <c r="F71" s="2998">
        <v>18</v>
      </c>
      <c r="G71" s="2999" t="s">
        <v>3267</v>
      </c>
      <c r="J71" s="2984">
        <v>99.69</v>
      </c>
    </row>
    <row r="72" spans="2:14">
      <c r="F72" s="2998">
        <v>18</v>
      </c>
      <c r="G72" s="2999" t="s">
        <v>3268</v>
      </c>
      <c r="J72" s="3004">
        <v>122.35</v>
      </c>
    </row>
    <row r="73" spans="2:14">
      <c r="B73" s="3000" t="s">
        <v>3222</v>
      </c>
      <c r="C73" s="3001">
        <v>21</v>
      </c>
      <c r="D73" s="3001" t="s">
        <v>3034</v>
      </c>
      <c r="E73" s="3002">
        <v>43301</v>
      </c>
      <c r="F73" s="2998">
        <v>18</v>
      </c>
      <c r="G73" s="3003" t="s">
        <v>3269</v>
      </c>
      <c r="H73" s="3003" t="s">
        <v>3270</v>
      </c>
      <c r="I73" s="3003" t="s">
        <v>3170</v>
      </c>
      <c r="J73" s="3004">
        <v>122.35</v>
      </c>
      <c r="K73" s="3003">
        <v>353592</v>
      </c>
      <c r="L73" s="3003">
        <v>353592</v>
      </c>
      <c r="M73" s="3005">
        <f>K73-L73</f>
        <v>0</v>
      </c>
    </row>
    <row r="74" spans="2:14">
      <c r="F74" s="2998">
        <v>18</v>
      </c>
      <c r="G74" s="2999" t="s">
        <v>3271</v>
      </c>
      <c r="J74" s="2984">
        <v>99.69</v>
      </c>
    </row>
    <row r="75" spans="2:14">
      <c r="F75" s="2998">
        <v>18</v>
      </c>
      <c r="G75" s="2999" t="s">
        <v>3272</v>
      </c>
      <c r="J75" s="3004">
        <v>122.35</v>
      </c>
    </row>
    <row r="76" spans="2:14">
      <c r="F76" s="2998">
        <v>18</v>
      </c>
      <c r="G76" s="2999" t="s">
        <v>3273</v>
      </c>
      <c r="J76" s="3004">
        <v>122.35</v>
      </c>
    </row>
    <row r="77" spans="2:14">
      <c r="F77" s="2998">
        <v>18</v>
      </c>
      <c r="G77" s="2999" t="s">
        <v>3274</v>
      </c>
      <c r="J77" s="2984">
        <v>99.69</v>
      </c>
    </row>
    <row r="78" spans="2:14">
      <c r="F78" s="2998">
        <v>18</v>
      </c>
      <c r="G78" s="2999" t="s">
        <v>3275</v>
      </c>
      <c r="J78" s="3004">
        <v>122.35</v>
      </c>
    </row>
    <row r="79" spans="2:14">
      <c r="F79" s="2998">
        <v>18</v>
      </c>
      <c r="G79" s="2999" t="s">
        <v>3276</v>
      </c>
      <c r="J79" s="2984">
        <v>99.69</v>
      </c>
    </row>
    <row r="80" spans="2:14">
      <c r="B80" s="3000" t="s">
        <v>3222</v>
      </c>
      <c r="C80" s="3001">
        <v>22</v>
      </c>
      <c r="D80" s="3001" t="s">
        <v>3034</v>
      </c>
      <c r="E80" s="3002">
        <v>43311</v>
      </c>
      <c r="F80" s="2998">
        <v>18</v>
      </c>
      <c r="G80" s="3003" t="s">
        <v>3277</v>
      </c>
      <c r="H80" s="3003" t="s">
        <v>3278</v>
      </c>
      <c r="I80" s="3003" t="s">
        <v>3225</v>
      </c>
      <c r="J80" s="3004">
        <v>122.35</v>
      </c>
      <c r="K80" s="3003">
        <v>944596</v>
      </c>
      <c r="L80" s="3003">
        <v>944596</v>
      </c>
      <c r="M80" s="3005">
        <f>K80-L80</f>
        <v>0</v>
      </c>
      <c r="N80" s="3006"/>
    </row>
    <row r="81" spans="2:13">
      <c r="F81" s="2998">
        <v>18</v>
      </c>
      <c r="G81" s="2999" t="s">
        <v>3279</v>
      </c>
      <c r="J81" s="2984">
        <v>99.69</v>
      </c>
    </row>
    <row r="82" spans="2:13">
      <c r="F82" s="2998">
        <v>18</v>
      </c>
      <c r="G82" s="2999" t="s">
        <v>3280</v>
      </c>
      <c r="J82" s="2984">
        <v>99.69</v>
      </c>
    </row>
    <row r="83" spans="2:13">
      <c r="F83" s="2998">
        <v>18</v>
      </c>
      <c r="G83" s="2999" t="s">
        <v>3281</v>
      </c>
      <c r="J83" s="3004">
        <v>122.35</v>
      </c>
    </row>
    <row r="84" spans="2:13">
      <c r="F84" s="2998">
        <v>18</v>
      </c>
      <c r="G84" s="2999" t="s">
        <v>3282</v>
      </c>
      <c r="J84" s="2984">
        <v>99.69</v>
      </c>
    </row>
    <row r="85" spans="2:13">
      <c r="F85" s="2998">
        <v>18</v>
      </c>
      <c r="G85" s="2999" t="s">
        <v>3283</v>
      </c>
      <c r="J85" s="3004">
        <v>122.35</v>
      </c>
    </row>
    <row r="86" spans="2:13">
      <c r="F86" s="2998">
        <v>18</v>
      </c>
      <c r="G86" s="2999" t="s">
        <v>3284</v>
      </c>
      <c r="J86" s="2984">
        <v>99.69</v>
      </c>
    </row>
    <row r="87" spans="2:13">
      <c r="F87" s="2998">
        <v>18</v>
      </c>
      <c r="G87" s="2999" t="s">
        <v>3285</v>
      </c>
      <c r="J87" s="2984">
        <v>99.69</v>
      </c>
    </row>
    <row r="88" spans="2:13">
      <c r="F88" s="2998">
        <v>18</v>
      </c>
      <c r="G88" s="2999" t="s">
        <v>3286</v>
      </c>
      <c r="J88" s="2984">
        <v>99.69</v>
      </c>
    </row>
    <row r="89" spans="2:13">
      <c r="F89" s="2998">
        <v>18</v>
      </c>
      <c r="G89" s="2999" t="s">
        <v>3287</v>
      </c>
      <c r="J89" s="2984">
        <v>99.69</v>
      </c>
    </row>
    <row r="90" spans="2:13">
      <c r="B90" s="3000" t="s">
        <v>3196</v>
      </c>
      <c r="C90" s="3001">
        <v>23</v>
      </c>
      <c r="D90" s="3001" t="s">
        <v>3034</v>
      </c>
      <c r="E90" s="3002">
        <v>43300</v>
      </c>
      <c r="F90" s="2998">
        <v>18</v>
      </c>
      <c r="G90" s="3003" t="s">
        <v>3288</v>
      </c>
      <c r="H90" s="3003" t="s">
        <v>3289</v>
      </c>
      <c r="I90" s="3003" t="s">
        <v>3170</v>
      </c>
      <c r="J90" s="3004">
        <v>122.35</v>
      </c>
      <c r="K90" s="3003">
        <v>353592</v>
      </c>
      <c r="L90" s="3003">
        <v>353592</v>
      </c>
      <c r="M90" s="3005">
        <f>K90-L90</f>
        <v>0</v>
      </c>
    </row>
    <row r="91" spans="2:13">
      <c r="B91" s="3000" t="s">
        <v>3196</v>
      </c>
      <c r="C91" s="3001">
        <v>24</v>
      </c>
      <c r="D91" s="3001" t="s">
        <v>3034</v>
      </c>
      <c r="E91" s="3002">
        <v>43300</v>
      </c>
      <c r="F91" s="2998">
        <v>18</v>
      </c>
      <c r="G91" s="3003" t="s">
        <v>3290</v>
      </c>
      <c r="H91" s="3003" t="s">
        <v>3291</v>
      </c>
      <c r="I91" s="3003" t="s">
        <v>3292</v>
      </c>
      <c r="J91" s="3004">
        <v>122.35</v>
      </c>
      <c r="K91" s="3003">
        <v>353592</v>
      </c>
      <c r="L91" s="3003">
        <v>213592</v>
      </c>
      <c r="M91" s="3005">
        <f>K91-L91</f>
        <v>140000</v>
      </c>
    </row>
    <row r="92" spans="2:13">
      <c r="F92" s="2998">
        <v>18</v>
      </c>
      <c r="G92" s="2999" t="s">
        <v>3293</v>
      </c>
      <c r="J92" s="2984">
        <v>99.69</v>
      </c>
    </row>
    <row r="93" spans="2:13">
      <c r="F93" s="2998">
        <v>18</v>
      </c>
      <c r="G93" s="2999" t="s">
        <v>3294</v>
      </c>
      <c r="J93" s="2984">
        <v>99.69</v>
      </c>
    </row>
    <row r="94" spans="2:13">
      <c r="F94" s="2998">
        <v>18</v>
      </c>
      <c r="G94" s="2999" t="s">
        <v>3295</v>
      </c>
      <c r="J94" s="3004">
        <v>122.35</v>
      </c>
    </row>
    <row r="95" spans="2:13">
      <c r="F95" s="2998">
        <v>18</v>
      </c>
      <c r="G95" s="2999" t="s">
        <v>3296</v>
      </c>
      <c r="J95" s="2984">
        <v>99.69</v>
      </c>
    </row>
    <row r="96" spans="2:13">
      <c r="F96" s="2998">
        <v>18</v>
      </c>
      <c r="G96" s="2999" t="s">
        <v>3297</v>
      </c>
      <c r="J96" s="2984">
        <v>99.69</v>
      </c>
    </row>
    <row r="97" spans="6:10">
      <c r="F97" s="2998">
        <v>18</v>
      </c>
      <c r="G97" s="2999" t="s">
        <v>3298</v>
      </c>
      <c r="J97" s="3004">
        <v>122.35</v>
      </c>
    </row>
    <row r="98" spans="6:10">
      <c r="F98" s="2998">
        <v>18</v>
      </c>
      <c r="G98" s="2999" t="s">
        <v>3299</v>
      </c>
      <c r="J98" s="2984">
        <v>99.69</v>
      </c>
    </row>
    <row r="99" spans="6:10">
      <c r="F99" s="2998">
        <v>18</v>
      </c>
      <c r="G99" s="2999" t="s">
        <v>3300</v>
      </c>
      <c r="J99" s="2984">
        <v>99.69</v>
      </c>
    </row>
    <row r="100" spans="6:10">
      <c r="F100" s="2998">
        <v>18</v>
      </c>
      <c r="G100" s="2999" t="s">
        <v>3301</v>
      </c>
      <c r="J100" s="3004">
        <v>122.35</v>
      </c>
    </row>
    <row r="101" spans="6:10">
      <c r="F101" s="2998">
        <v>18</v>
      </c>
      <c r="G101" s="2999" t="s">
        <v>3302</v>
      </c>
      <c r="J101" s="2984">
        <v>99.69</v>
      </c>
    </row>
    <row r="102" spans="6:10">
      <c r="F102" s="2998">
        <v>18</v>
      </c>
      <c r="G102" s="2999" t="s">
        <v>3303</v>
      </c>
      <c r="J102" s="2984">
        <v>99.69</v>
      </c>
    </row>
    <row r="103" spans="6:10">
      <c r="F103" s="2998">
        <v>18</v>
      </c>
      <c r="G103" s="2999" t="s">
        <v>3304</v>
      </c>
      <c r="J103" s="2984">
        <v>99.69</v>
      </c>
    </row>
    <row r="104" spans="6:10">
      <c r="F104" s="2998">
        <v>18</v>
      </c>
      <c r="G104" s="2999" t="s">
        <v>3305</v>
      </c>
      <c r="J104" s="2984">
        <v>99.69</v>
      </c>
    </row>
    <row r="105" spans="6:10">
      <c r="F105" s="2998">
        <v>19</v>
      </c>
      <c r="G105" s="2999" t="s">
        <v>3306</v>
      </c>
      <c r="J105" s="3004">
        <v>109.24</v>
      </c>
    </row>
    <row r="106" spans="6:10">
      <c r="F106" s="2998">
        <v>19</v>
      </c>
      <c r="G106" s="2999" t="s">
        <v>3307</v>
      </c>
      <c r="J106" s="3004">
        <v>109.24</v>
      </c>
    </row>
    <row r="107" spans="6:10">
      <c r="F107" s="2998">
        <v>19</v>
      </c>
      <c r="G107" s="2999" t="s">
        <v>3308</v>
      </c>
      <c r="J107" s="3004">
        <v>109.24</v>
      </c>
    </row>
    <row r="108" spans="6:10">
      <c r="F108" s="2998">
        <v>19</v>
      </c>
      <c r="G108" s="2999" t="s">
        <v>3309</v>
      </c>
      <c r="J108" s="3004">
        <v>109.24</v>
      </c>
    </row>
    <row r="109" spans="6:10">
      <c r="F109" s="2998">
        <v>19</v>
      </c>
      <c r="G109" s="2999" t="s">
        <v>3310</v>
      </c>
      <c r="J109" s="3004">
        <v>109.24</v>
      </c>
    </row>
    <row r="110" spans="6:10">
      <c r="F110" s="2998">
        <v>19</v>
      </c>
      <c r="G110" s="2999" t="s">
        <v>3311</v>
      </c>
      <c r="J110" s="3004">
        <v>109.24</v>
      </c>
    </row>
    <row r="111" spans="6:10">
      <c r="F111" s="2998">
        <v>19</v>
      </c>
      <c r="G111" s="2999" t="s">
        <v>3312</v>
      </c>
      <c r="J111" s="3004">
        <v>109.24</v>
      </c>
    </row>
    <row r="112" spans="6:10">
      <c r="F112" s="2998">
        <v>19</v>
      </c>
      <c r="G112" s="2999" t="s">
        <v>3313</v>
      </c>
      <c r="J112" s="3004">
        <v>109.24</v>
      </c>
    </row>
    <row r="113" spans="2:13">
      <c r="F113" s="2998">
        <v>19</v>
      </c>
      <c r="G113" s="2999" t="s">
        <v>3314</v>
      </c>
      <c r="J113" s="3004">
        <v>109.24</v>
      </c>
    </row>
    <row r="114" spans="2:13">
      <c r="F114" s="2998">
        <v>19</v>
      </c>
      <c r="G114" s="2999" t="s">
        <v>3315</v>
      </c>
      <c r="J114" s="3004">
        <v>109.24</v>
      </c>
    </row>
    <row r="115" spans="2:13">
      <c r="F115" s="2998">
        <v>19</v>
      </c>
      <c r="G115" s="2999" t="s">
        <v>3316</v>
      </c>
      <c r="J115" s="3004">
        <v>109.24</v>
      </c>
    </row>
    <row r="116" spans="2:13">
      <c r="F116" s="2998">
        <v>19</v>
      </c>
      <c r="G116" s="2999" t="s">
        <v>3317</v>
      </c>
      <c r="J116" s="3004">
        <v>109.24</v>
      </c>
    </row>
    <row r="117" spans="2:13">
      <c r="F117" s="2998">
        <v>19</v>
      </c>
      <c r="G117" s="2999" t="s">
        <v>3318</v>
      </c>
      <c r="J117" s="3004">
        <v>109.24</v>
      </c>
    </row>
    <row r="118" spans="2:13">
      <c r="F118" s="2998">
        <v>19</v>
      </c>
      <c r="G118" s="2999" t="s">
        <v>3319</v>
      </c>
      <c r="J118" s="3004">
        <v>109.24</v>
      </c>
    </row>
    <row r="119" spans="2:13">
      <c r="F119" s="2998">
        <v>19</v>
      </c>
      <c r="G119" s="2999" t="s">
        <v>3320</v>
      </c>
      <c r="J119" s="3004">
        <v>109.24</v>
      </c>
    </row>
    <row r="120" spans="2:13">
      <c r="F120" s="2998">
        <v>19</v>
      </c>
      <c r="G120" s="2999" t="s">
        <v>3321</v>
      </c>
      <c r="J120" s="3004">
        <v>109.24</v>
      </c>
    </row>
    <row r="121" spans="2:13">
      <c r="B121" s="3000" t="s">
        <v>3196</v>
      </c>
      <c r="C121" s="3001">
        <v>25</v>
      </c>
      <c r="D121" s="3001" t="s">
        <v>3034</v>
      </c>
      <c r="E121" s="3007">
        <v>43305</v>
      </c>
      <c r="F121" s="2998">
        <v>19</v>
      </c>
      <c r="G121" s="3008" t="s">
        <v>3322</v>
      </c>
      <c r="H121" s="3008" t="s">
        <v>3323</v>
      </c>
      <c r="I121" s="3008" t="s">
        <v>3205</v>
      </c>
      <c r="J121" s="3008">
        <v>137.91999999999999</v>
      </c>
      <c r="K121" s="3008">
        <v>398589</v>
      </c>
      <c r="L121" s="3008">
        <v>398589</v>
      </c>
      <c r="M121" s="3005">
        <f>K121-L121</f>
        <v>0</v>
      </c>
    </row>
    <row r="122" spans="2:13">
      <c r="F122" s="2998">
        <v>19</v>
      </c>
      <c r="G122" s="2999" t="s">
        <v>3324</v>
      </c>
      <c r="J122" s="3004">
        <v>109.24</v>
      </c>
    </row>
    <row r="123" spans="2:13">
      <c r="F123" s="2998">
        <v>19</v>
      </c>
      <c r="G123" s="2999" t="s">
        <v>3325</v>
      </c>
      <c r="J123" s="3004">
        <v>109.24</v>
      </c>
    </row>
    <row r="124" spans="2:13">
      <c r="B124" s="3000" t="s">
        <v>3196</v>
      </c>
      <c r="C124" s="3001">
        <v>26</v>
      </c>
      <c r="D124" s="3001" t="s">
        <v>3034</v>
      </c>
      <c r="E124" s="3007">
        <v>43300</v>
      </c>
      <c r="F124" s="2998">
        <v>19</v>
      </c>
      <c r="G124" s="3008" t="s">
        <v>3326</v>
      </c>
      <c r="H124" s="3008" t="s">
        <v>3327</v>
      </c>
      <c r="I124" s="3008" t="s">
        <v>3170</v>
      </c>
      <c r="J124" s="3008">
        <v>137.91999999999999</v>
      </c>
      <c r="K124" s="3008">
        <v>398589</v>
      </c>
      <c r="L124" s="3008">
        <v>398589</v>
      </c>
      <c r="M124" s="3005">
        <f>K124-L124</f>
        <v>0</v>
      </c>
    </row>
    <row r="125" spans="2:13">
      <c r="F125" s="2998">
        <v>19</v>
      </c>
      <c r="G125" s="2999" t="s">
        <v>3328</v>
      </c>
      <c r="J125" s="3004">
        <v>109.24</v>
      </c>
    </row>
    <row r="126" spans="2:13">
      <c r="F126" s="2998">
        <v>19</v>
      </c>
      <c r="G126" s="2999" t="s">
        <v>3329</v>
      </c>
      <c r="J126" s="3004">
        <v>109.24</v>
      </c>
    </row>
    <row r="127" spans="2:13">
      <c r="F127" s="2998">
        <v>19</v>
      </c>
      <c r="G127" s="2999" t="s">
        <v>3330</v>
      </c>
      <c r="J127" s="3004">
        <v>109.24</v>
      </c>
    </row>
    <row r="128" spans="2:13">
      <c r="F128" s="2998">
        <v>19</v>
      </c>
      <c r="G128" s="2999" t="s">
        <v>3331</v>
      </c>
      <c r="J128" s="3004">
        <v>109.24</v>
      </c>
    </row>
    <row r="129" spans="6:10">
      <c r="F129" s="2998">
        <v>19</v>
      </c>
      <c r="G129" s="2999" t="s">
        <v>3332</v>
      </c>
      <c r="J129" s="3004">
        <v>109.24</v>
      </c>
    </row>
    <row r="130" spans="6:10">
      <c r="F130" s="2998">
        <v>19</v>
      </c>
      <c r="G130" s="2999" t="s">
        <v>3333</v>
      </c>
      <c r="J130" s="3004">
        <v>109.24</v>
      </c>
    </row>
    <row r="131" spans="6:10">
      <c r="F131" s="2998">
        <v>20</v>
      </c>
      <c r="G131" s="2999" t="s">
        <v>3334</v>
      </c>
      <c r="J131" s="3004">
        <v>109.32</v>
      </c>
    </row>
    <row r="132" spans="6:10">
      <c r="F132" s="2998">
        <v>20</v>
      </c>
      <c r="G132" s="2999" t="s">
        <v>3335</v>
      </c>
      <c r="J132" s="3004">
        <v>109.32</v>
      </c>
    </row>
    <row r="133" spans="6:10">
      <c r="F133" s="2998">
        <v>20</v>
      </c>
      <c r="G133" s="2999" t="s">
        <v>3336</v>
      </c>
      <c r="J133" s="3004">
        <v>109.32</v>
      </c>
    </row>
    <row r="134" spans="6:10">
      <c r="F134" s="2998">
        <v>20</v>
      </c>
      <c r="G134" s="2999" t="s">
        <v>3337</v>
      </c>
      <c r="J134" s="3004">
        <v>109.32</v>
      </c>
    </row>
    <row r="135" spans="6:10">
      <c r="F135" s="2998">
        <v>20</v>
      </c>
      <c r="G135" s="2999" t="s">
        <v>3338</v>
      </c>
      <c r="J135" s="3004">
        <v>109.32</v>
      </c>
    </row>
    <row r="136" spans="6:10">
      <c r="F136" s="2998">
        <v>20</v>
      </c>
      <c r="G136" s="2999" t="s">
        <v>3339</v>
      </c>
      <c r="J136" s="3004">
        <v>109.32</v>
      </c>
    </row>
    <row r="137" spans="6:10">
      <c r="F137" s="2998">
        <v>20</v>
      </c>
      <c r="G137" s="2999" t="s">
        <v>3340</v>
      </c>
      <c r="J137" s="3009">
        <v>144.26</v>
      </c>
    </row>
    <row r="138" spans="6:10">
      <c r="F138" s="2998">
        <v>20</v>
      </c>
      <c r="G138" s="2999" t="s">
        <v>3341</v>
      </c>
      <c r="J138" s="3004">
        <v>109.32</v>
      </c>
    </row>
    <row r="139" spans="6:10">
      <c r="F139" s="2998">
        <v>20</v>
      </c>
      <c r="G139" s="2999" t="s">
        <v>3342</v>
      </c>
      <c r="J139" s="3009">
        <v>144.26</v>
      </c>
    </row>
    <row r="140" spans="6:10">
      <c r="F140" s="2998">
        <v>20</v>
      </c>
      <c r="G140" s="2999" t="s">
        <v>3343</v>
      </c>
      <c r="J140" s="3004">
        <v>109.32</v>
      </c>
    </row>
    <row r="141" spans="6:10">
      <c r="F141" s="2998">
        <v>20</v>
      </c>
      <c r="G141" s="2999" t="s">
        <v>3344</v>
      </c>
      <c r="J141" s="3004">
        <v>109.32</v>
      </c>
    </row>
    <row r="142" spans="6:10">
      <c r="F142" s="2998">
        <v>20</v>
      </c>
      <c r="G142" s="2999" t="s">
        <v>3345</v>
      </c>
      <c r="J142" s="3009">
        <v>144.26</v>
      </c>
    </row>
    <row r="143" spans="6:10">
      <c r="F143" s="2998">
        <v>20</v>
      </c>
      <c r="G143" s="2999" t="s">
        <v>3346</v>
      </c>
      <c r="J143" s="3009">
        <v>144.26</v>
      </c>
    </row>
    <row r="144" spans="6:10">
      <c r="F144" s="2998">
        <v>20</v>
      </c>
      <c r="G144" s="2999" t="s">
        <v>3347</v>
      </c>
      <c r="J144" s="3004">
        <v>109.32</v>
      </c>
    </row>
    <row r="145" spans="2:13">
      <c r="F145" s="2998">
        <v>20</v>
      </c>
      <c r="G145" s="2999" t="s">
        <v>3348</v>
      </c>
      <c r="J145" s="3004">
        <v>109.32</v>
      </c>
    </row>
    <row r="146" spans="2:13">
      <c r="F146" s="2998">
        <v>20</v>
      </c>
      <c r="G146" s="2999" t="s">
        <v>3349</v>
      </c>
      <c r="J146" s="3009">
        <v>144.26</v>
      </c>
    </row>
    <row r="147" spans="2:13">
      <c r="F147" s="2998">
        <v>20</v>
      </c>
      <c r="G147" s="2999" t="s">
        <v>3350</v>
      </c>
      <c r="J147" s="3009">
        <v>144.26</v>
      </c>
    </row>
    <row r="148" spans="2:13">
      <c r="F148" s="2998">
        <v>20</v>
      </c>
      <c r="G148" s="2999" t="s">
        <v>3351</v>
      </c>
      <c r="J148" s="3004">
        <v>109.32</v>
      </c>
    </row>
    <row r="149" spans="2:13">
      <c r="F149" s="2998">
        <v>20</v>
      </c>
      <c r="G149" s="2999" t="s">
        <v>3352</v>
      </c>
      <c r="J149" s="3004">
        <v>109.32</v>
      </c>
    </row>
    <row r="150" spans="2:13">
      <c r="F150" s="2998">
        <v>20</v>
      </c>
      <c r="G150" s="2999" t="s">
        <v>3353</v>
      </c>
      <c r="J150" s="3009">
        <v>144.26</v>
      </c>
    </row>
    <row r="151" spans="2:13">
      <c r="F151" s="2998">
        <v>20</v>
      </c>
      <c r="G151" s="2999" t="s">
        <v>3354</v>
      </c>
      <c r="J151" s="3004">
        <v>109.32</v>
      </c>
    </row>
    <row r="152" spans="2:13">
      <c r="F152" s="2998">
        <v>20</v>
      </c>
      <c r="G152" s="2999" t="s">
        <v>3355</v>
      </c>
      <c r="J152" s="3009">
        <v>144.26</v>
      </c>
    </row>
    <row r="153" spans="2:13">
      <c r="F153" s="2998">
        <v>20</v>
      </c>
      <c r="G153" s="2999" t="s">
        <v>3356</v>
      </c>
      <c r="J153" s="3004">
        <v>109.32</v>
      </c>
    </row>
    <row r="154" spans="2:13">
      <c r="F154" s="2998">
        <v>20</v>
      </c>
      <c r="G154" s="2999" t="s">
        <v>3357</v>
      </c>
      <c r="J154" s="3004">
        <v>109.32</v>
      </c>
    </row>
    <row r="155" spans="2:13">
      <c r="F155" s="2998">
        <v>20</v>
      </c>
      <c r="G155" s="2999" t="s">
        <v>3358</v>
      </c>
      <c r="J155" s="3009">
        <v>144.26</v>
      </c>
    </row>
    <row r="156" spans="2:13">
      <c r="B156" s="3000" t="s">
        <v>3222</v>
      </c>
      <c r="C156" s="3001">
        <v>27</v>
      </c>
      <c r="D156" s="3001" t="s">
        <v>3034</v>
      </c>
      <c r="E156" s="3002">
        <v>43292</v>
      </c>
      <c r="F156" s="2998">
        <v>20</v>
      </c>
      <c r="G156" s="3003" t="s">
        <v>3359</v>
      </c>
      <c r="H156" s="3010" t="s">
        <v>3360</v>
      </c>
      <c r="I156" s="3003" t="s">
        <v>3170</v>
      </c>
      <c r="J156" s="3003">
        <v>144.26</v>
      </c>
      <c r="K156" s="3003">
        <v>416911</v>
      </c>
      <c r="L156" s="3003">
        <v>416911</v>
      </c>
      <c r="M156" s="3005">
        <f>K156-L156</f>
        <v>0</v>
      </c>
    </row>
    <row r="157" spans="2:13">
      <c r="F157" s="2998">
        <v>20</v>
      </c>
      <c r="G157" s="2999" t="s">
        <v>3361</v>
      </c>
      <c r="J157" s="3004">
        <v>109.32</v>
      </c>
    </row>
    <row r="158" spans="2:13">
      <c r="F158" s="2998">
        <v>20</v>
      </c>
      <c r="G158" s="2999" t="s">
        <v>3362</v>
      </c>
      <c r="J158" s="3004">
        <v>109.32</v>
      </c>
    </row>
    <row r="159" spans="2:13">
      <c r="F159" s="2998">
        <v>20</v>
      </c>
      <c r="G159" s="2999" t="s">
        <v>3363</v>
      </c>
      <c r="J159" s="3009">
        <v>144.26</v>
      </c>
    </row>
    <row r="160" spans="2:13">
      <c r="B160" s="3000" t="s">
        <v>3222</v>
      </c>
      <c r="C160" s="3001">
        <v>28</v>
      </c>
      <c r="D160" s="3001" t="s">
        <v>3034</v>
      </c>
      <c r="E160" s="3002">
        <v>43301</v>
      </c>
      <c r="F160" s="2998">
        <v>20</v>
      </c>
      <c r="G160" s="3003" t="s">
        <v>3364</v>
      </c>
      <c r="H160" s="3003" t="s">
        <v>3365</v>
      </c>
      <c r="I160" s="3003" t="s">
        <v>3170</v>
      </c>
      <c r="J160" s="3003">
        <v>144.26</v>
      </c>
      <c r="K160" s="3003">
        <v>416911</v>
      </c>
      <c r="L160" s="3003">
        <v>416911</v>
      </c>
      <c r="M160" s="3005">
        <f>K160-L160</f>
        <v>0</v>
      </c>
    </row>
    <row r="161" spans="2:13">
      <c r="F161" s="2998">
        <v>20</v>
      </c>
      <c r="G161" s="2999" t="s">
        <v>3366</v>
      </c>
      <c r="J161" s="3004">
        <v>109.32</v>
      </c>
    </row>
    <row r="162" spans="2:13">
      <c r="F162" s="2998">
        <v>20</v>
      </c>
      <c r="G162" s="2999" t="s">
        <v>3367</v>
      </c>
      <c r="J162" s="3009">
        <v>144.26</v>
      </c>
    </row>
    <row r="163" spans="2:13">
      <c r="B163" s="3000" t="s">
        <v>3222</v>
      </c>
      <c r="C163" s="3001">
        <v>29</v>
      </c>
      <c r="D163" s="3001" t="s">
        <v>3034</v>
      </c>
      <c r="E163" s="3002">
        <v>43300</v>
      </c>
      <c r="F163" s="2998">
        <v>20</v>
      </c>
      <c r="G163" s="3003" t="s">
        <v>3368</v>
      </c>
      <c r="H163" s="3003" t="s">
        <v>3369</v>
      </c>
      <c r="I163" s="3003" t="s">
        <v>3170</v>
      </c>
      <c r="J163" s="3003">
        <v>144.26</v>
      </c>
      <c r="K163" s="3003">
        <v>416911</v>
      </c>
      <c r="L163" s="3003">
        <v>416911</v>
      </c>
      <c r="M163" s="3005">
        <f>K163-L163</f>
        <v>0</v>
      </c>
    </row>
    <row r="164" spans="2:13">
      <c r="F164" s="2998">
        <v>20</v>
      </c>
      <c r="G164" s="2999" t="s">
        <v>3370</v>
      </c>
      <c r="J164" s="3004">
        <v>109.32</v>
      </c>
    </row>
    <row r="165" spans="2:13">
      <c r="F165" s="2998">
        <v>20</v>
      </c>
      <c r="G165" s="2999" t="s">
        <v>3371</v>
      </c>
      <c r="J165" s="3004">
        <v>109.32</v>
      </c>
    </row>
    <row r="166" spans="2:13">
      <c r="F166" s="2998">
        <v>20</v>
      </c>
      <c r="G166" s="2999" t="s">
        <v>3372</v>
      </c>
      <c r="J166" s="3004">
        <v>109.32</v>
      </c>
    </row>
    <row r="167" spans="2:13">
      <c r="B167" s="3000" t="s">
        <v>3222</v>
      </c>
      <c r="C167" s="3001">
        <v>30</v>
      </c>
      <c r="D167" s="3001" t="s">
        <v>3034</v>
      </c>
      <c r="E167" s="3002">
        <v>43300</v>
      </c>
      <c r="F167" s="2998">
        <v>20</v>
      </c>
      <c r="G167" s="3003" t="s">
        <v>3373</v>
      </c>
      <c r="H167" s="3003" t="s">
        <v>3374</v>
      </c>
      <c r="I167" s="3003" t="s">
        <v>3170</v>
      </c>
      <c r="J167" s="3003">
        <v>144.26</v>
      </c>
      <c r="K167" s="3003">
        <v>416911</v>
      </c>
      <c r="L167" s="3003">
        <v>416911</v>
      </c>
      <c r="M167" s="3005">
        <f>K167-L167</f>
        <v>0</v>
      </c>
    </row>
    <row r="168" spans="2:13">
      <c r="B168" s="3000" t="s">
        <v>3222</v>
      </c>
      <c r="C168" s="3001">
        <v>31</v>
      </c>
      <c r="D168" s="3001" t="s">
        <v>3034</v>
      </c>
      <c r="E168" s="3002">
        <v>43300</v>
      </c>
      <c r="F168" s="2998">
        <v>20</v>
      </c>
      <c r="G168" s="3003" t="s">
        <v>3375</v>
      </c>
      <c r="H168" s="3003" t="s">
        <v>3376</v>
      </c>
      <c r="I168" s="3003" t="s">
        <v>3170</v>
      </c>
      <c r="J168" s="3003">
        <v>144.26</v>
      </c>
      <c r="K168" s="3003">
        <v>416911</v>
      </c>
      <c r="L168" s="3003">
        <v>416911</v>
      </c>
      <c r="M168" s="3005">
        <f>K168-L168</f>
        <v>0</v>
      </c>
    </row>
    <row r="169" spans="2:13">
      <c r="F169" s="2998">
        <v>20</v>
      </c>
      <c r="G169" s="2999" t="s">
        <v>3377</v>
      </c>
      <c r="J169" s="3004">
        <v>109.32</v>
      </c>
    </row>
    <row r="170" spans="2:13">
      <c r="F170" s="2998">
        <v>20</v>
      </c>
      <c r="G170" s="2999" t="s">
        <v>3378</v>
      </c>
      <c r="J170" s="3004">
        <v>109.32</v>
      </c>
    </row>
    <row r="171" spans="2:13">
      <c r="B171" s="3000" t="s">
        <v>3222</v>
      </c>
      <c r="C171" s="3001">
        <v>32</v>
      </c>
      <c r="D171" s="3001" t="s">
        <v>3034</v>
      </c>
      <c r="E171" s="3002">
        <v>43301</v>
      </c>
      <c r="F171" s="2998">
        <v>20</v>
      </c>
      <c r="G171" s="3003" t="s">
        <v>3379</v>
      </c>
      <c r="H171" s="3003" t="s">
        <v>3380</v>
      </c>
      <c r="I171" s="3003" t="s">
        <v>3170</v>
      </c>
      <c r="J171" s="3003">
        <v>144.26</v>
      </c>
      <c r="K171" s="3003">
        <v>416911</v>
      </c>
      <c r="L171" s="3003">
        <v>416911</v>
      </c>
      <c r="M171" s="3005">
        <f>K171-L171</f>
        <v>0</v>
      </c>
    </row>
    <row r="172" spans="2:13">
      <c r="F172" s="2998">
        <v>20</v>
      </c>
      <c r="G172" s="2999" t="s">
        <v>3381</v>
      </c>
      <c r="J172" s="3004">
        <v>109.32</v>
      </c>
    </row>
    <row r="173" spans="2:13">
      <c r="B173" s="3000" t="s">
        <v>3222</v>
      </c>
      <c r="C173" s="3001">
        <v>33</v>
      </c>
      <c r="D173" s="3001" t="s">
        <v>3034</v>
      </c>
      <c r="E173" s="3002">
        <v>43303</v>
      </c>
      <c r="F173" s="2998">
        <v>20</v>
      </c>
      <c r="G173" s="3003" t="s">
        <v>3382</v>
      </c>
      <c r="H173" s="3003" t="s">
        <v>3383</v>
      </c>
      <c r="I173" s="3003" t="s">
        <v>3170</v>
      </c>
      <c r="J173" s="3003">
        <v>144.26</v>
      </c>
      <c r="K173" s="3003">
        <v>416911</v>
      </c>
      <c r="L173" s="3003">
        <v>416911</v>
      </c>
      <c r="M173" s="3005">
        <f>K173-L173</f>
        <v>0</v>
      </c>
    </row>
    <row r="174" spans="2:13">
      <c r="F174" s="2998">
        <v>20</v>
      </c>
      <c r="G174" s="2999" t="s">
        <v>3384</v>
      </c>
      <c r="J174" s="3004">
        <v>109.32</v>
      </c>
    </row>
    <row r="175" spans="2:13">
      <c r="F175" s="2998">
        <v>20</v>
      </c>
      <c r="G175" s="2999" t="s">
        <v>3385</v>
      </c>
      <c r="J175" s="3004">
        <v>109.32</v>
      </c>
    </row>
    <row r="176" spans="2:13">
      <c r="B176" s="2984"/>
      <c r="C176" s="2984"/>
      <c r="D176" s="2984"/>
      <c r="E176" s="2984"/>
      <c r="F176" s="2986">
        <v>20</v>
      </c>
      <c r="G176" s="2987" t="s">
        <v>3386</v>
      </c>
      <c r="H176" s="2984"/>
      <c r="I176" s="2984"/>
      <c r="J176" s="2993">
        <v>109.32</v>
      </c>
      <c r="K176" s="2984"/>
      <c r="L176" s="2984"/>
      <c r="M176" s="2984"/>
    </row>
    <row r="177" spans="2:13">
      <c r="B177" s="3000" t="s">
        <v>3222</v>
      </c>
      <c r="C177" s="3000"/>
      <c r="D177" s="3000"/>
      <c r="E177" s="3000"/>
      <c r="F177" s="3011"/>
      <c r="G177" s="3000"/>
      <c r="H177" s="3012"/>
      <c r="I177" s="3013"/>
      <c r="J177" s="3014">
        <f>SUM(J4:J176)</f>
        <v>19659.769999999982</v>
      </c>
      <c r="K177" s="3015">
        <f>SUM(K144:K176)</f>
        <v>2918377</v>
      </c>
      <c r="L177" s="3015">
        <f>SUM(L144:L176)</f>
        <v>2918377</v>
      </c>
      <c r="M177" s="3015">
        <f>SUBTOTAL(9,M144:M176)</f>
        <v>0</v>
      </c>
    </row>
    <row r="178" spans="2:13">
      <c r="F178" s="2998"/>
    </row>
  </sheetData>
  <mergeCells count="1">
    <mergeCell ref="B2:M2"/>
  </mergeCells>
  <phoneticPr fontId="142" type="noConversion"/>
  <dataValidations count="1">
    <dataValidation type="list" allowBlank="1" showInputMessage="1" showErrorMessage="1" sqref="I4:I17">
      <formula1>"一次性,银行按揭,省公积金,市公积金"</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1637</v>
      </c>
      <c r="B2" s="3041" t="s">
        <v>1638</v>
      </c>
      <c r="C2" s="3041" t="s">
        <v>1639</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44412.450000000026</v>
      </c>
      <c r="C4" s="1047">
        <f>项目基本情况!C18</f>
        <v>6969.29</v>
      </c>
      <c r="D4" s="1047">
        <f ca="1">结果表!D118</f>
        <v>23488</v>
      </c>
      <c r="E4" s="1047">
        <f ca="1">结果表!E118</f>
        <v>5288</v>
      </c>
      <c r="F4" s="1047">
        <f ca="1">结果表!F118</f>
        <v>8468</v>
      </c>
      <c r="G4" s="1047">
        <f ca="1">结果表!G118</f>
        <v>1907</v>
      </c>
      <c r="H4" s="1047">
        <f ca="1">结果表!H118</f>
        <v>31956</v>
      </c>
      <c r="I4" s="1047">
        <f ca="1">结果表!I118</f>
        <v>7195</v>
      </c>
    </row>
    <row r="5" spans="1:9" ht="30" customHeight="1">
      <c r="A5" s="3035" t="s">
        <v>1636</v>
      </c>
      <c r="B5" s="3035"/>
      <c r="C5" s="3035"/>
      <c r="D5" s="3036" t="str">
        <f ca="1">结果表!D119</f>
        <v>贰亿叁仟肆佰捌拾捌万元整</v>
      </c>
      <c r="E5" s="3036"/>
      <c r="F5" s="3036" t="str">
        <f ca="1">结果表!F119</f>
        <v>捌仟肆佰陆拾捌万元整</v>
      </c>
      <c r="G5" s="3036"/>
      <c r="H5" s="3036" t="str">
        <f ca="1">结果表!H119</f>
        <v>叁亿壹仟玖佰伍拾陆万元整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1636</v>
      </c>
      <c r="B7" s="3035"/>
      <c r="C7" s="3035"/>
      <c r="D7" s="3037" t="str">
        <f>结果表!D121</f>
        <v>零元整</v>
      </c>
      <c r="E7" s="3038"/>
      <c r="F7" s="3038"/>
      <c r="G7" s="3038"/>
      <c r="H7" s="3038"/>
      <c r="I7" s="3039"/>
    </row>
    <row r="8" spans="1:9" ht="15.75">
      <c r="A8" s="3034" t="str">
        <f>结果表!A122</f>
        <v>房地产抵押价值</v>
      </c>
      <c r="B8" s="3034"/>
      <c r="C8" s="3034"/>
      <c r="D8" s="3034">
        <f ca="1">结果表!D122</f>
        <v>31956</v>
      </c>
      <c r="E8" s="3034"/>
      <c r="F8" s="3034"/>
      <c r="G8" s="3034"/>
      <c r="H8" s="3034"/>
      <c r="I8" s="3034"/>
    </row>
    <row r="9" spans="1:9" ht="15">
      <c r="A9" s="3035" t="s">
        <v>1636</v>
      </c>
      <c r="B9" s="3035"/>
      <c r="C9" s="3035"/>
      <c r="D9" s="3036" t="str">
        <f ca="1">结果表!D123</f>
        <v>叁亿壹仟玖佰伍拾陆万元整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1636</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1636</v>
      </c>
      <c r="B13" s="3031"/>
      <c r="C13" s="3031"/>
      <c r="D13" s="3032" t="e">
        <f>结果表!D127</f>
        <v>#VALUE!</v>
      </c>
      <c r="E13" s="3032"/>
      <c r="F13" s="3032"/>
      <c r="G13" s="3032"/>
      <c r="H13" s="3032"/>
      <c r="I13" s="3032"/>
    </row>
    <row r="14" spans="1:9" ht="15" thickTop="1">
      <c r="A14" s="3033" t="s">
        <v>1641</v>
      </c>
      <c r="B14" s="3033"/>
      <c r="C14" s="3033"/>
      <c r="D14" s="3033"/>
      <c r="E14" s="3033"/>
      <c r="F14" s="3033"/>
      <c r="G14" s="3033"/>
      <c r="H14" s="3033"/>
      <c r="I14" s="303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8" t="s">
        <v>1658</v>
      </c>
      <c r="B1" s="3048"/>
      <c r="C1" s="3048"/>
      <c r="D1" s="3048"/>
    </row>
    <row r="2" spans="1:4" ht="18">
      <c r="A2" s="3049" t="s">
        <v>1642</v>
      </c>
      <c r="B2" s="3049"/>
      <c r="C2" s="3049"/>
      <c r="D2" s="3049"/>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3049" t="s">
        <v>1648</v>
      </c>
      <c r="B6" s="3049"/>
      <c r="C6" s="3049"/>
      <c r="D6" s="3049"/>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3050" t="s">
        <v>1651</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2"/>
      <c r="C15" s="3042"/>
      <c r="D15" s="3042"/>
    </row>
    <row r="16" spans="1:4" ht="30" customHeight="1">
      <c r="A16" s="3044" t="s">
        <v>1652</v>
      </c>
      <c r="B16" s="3044"/>
      <c r="C16" s="3044"/>
      <c r="D16" s="3044"/>
    </row>
    <row r="17" spans="1:4" ht="144" customHeight="1">
      <c r="A17" s="3044" t="s">
        <v>1653</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1654</v>
      </c>
      <c r="B22" s="3046"/>
      <c r="C22" s="3046"/>
      <c r="D22" s="304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56" t="s">
        <v>1665</v>
      </c>
      <c r="B15" s="3051" t="s">
        <v>136</v>
      </c>
      <c r="C15" s="3052"/>
    </row>
    <row r="16" spans="1:7" ht="13.5">
      <c r="A16" s="3057"/>
      <c r="B16" s="3051" t="s">
        <v>69</v>
      </c>
      <c r="C16" s="3052"/>
    </row>
    <row r="17" spans="1:3" ht="13.5">
      <c r="A17" s="3057"/>
      <c r="B17" s="3054" t="s">
        <v>1666</v>
      </c>
      <c r="C17" s="2002" t="s">
        <v>1665</v>
      </c>
    </row>
    <row r="18" spans="1:3" ht="13.5">
      <c r="A18" s="3057"/>
      <c r="B18" s="3054"/>
      <c r="C18" s="2002" t="s">
        <v>1667</v>
      </c>
    </row>
    <row r="19" spans="1:3" ht="13.5">
      <c r="A19" s="3057"/>
      <c r="B19" s="3054"/>
      <c r="C19" s="2002" t="s">
        <v>1668</v>
      </c>
    </row>
    <row r="20" spans="1:3" ht="13.5">
      <c r="A20" s="3058"/>
      <c r="B20" s="3053" t="s">
        <v>1669</v>
      </c>
      <c r="C20" s="3052"/>
    </row>
    <row r="21" spans="1:3" ht="13.5">
      <c r="A21" s="2003" t="s">
        <v>1670</v>
      </c>
      <c r="B21" s="2004"/>
      <c r="C21" s="2005"/>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2002" t="s">
        <v>1676</v>
      </c>
    </row>
    <row r="26" spans="1:3" ht="13.5">
      <c r="A26" s="3055"/>
      <c r="B26" s="3054"/>
      <c r="C26" s="2002" t="s">
        <v>1677</v>
      </c>
    </row>
    <row r="27" spans="1:3" ht="13.5">
      <c r="A27" s="3055"/>
      <c r="B27" s="3054"/>
      <c r="C27" s="2002" t="s">
        <v>1678</v>
      </c>
    </row>
    <row r="28" spans="1:3" ht="13.5">
      <c r="A28" s="3055"/>
      <c r="B28" s="3054"/>
      <c r="C28" s="2002" t="s">
        <v>1679</v>
      </c>
    </row>
    <row r="29" spans="1:3" ht="13.5">
      <c r="A29" s="3055"/>
      <c r="B29" s="3054"/>
      <c r="C29" s="2002" t="s">
        <v>1680</v>
      </c>
    </row>
    <row r="30" spans="1:3" ht="13.5">
      <c r="A30" s="3055"/>
      <c r="B30" s="3054"/>
      <c r="C30" s="2002" t="s">
        <v>1681</v>
      </c>
    </row>
    <row r="31" spans="1:3" ht="13.5">
      <c r="A31" s="3055"/>
      <c r="B31" s="3054"/>
      <c r="C31" s="2002" t="s">
        <v>1682</v>
      </c>
    </row>
    <row r="32" spans="1:3" ht="13.5">
      <c r="A32" s="3055"/>
      <c r="B32" s="3054"/>
      <c r="C32" s="2002" t="s">
        <v>1683</v>
      </c>
    </row>
    <row r="33" spans="1:3" ht="13.5">
      <c r="A33" s="3055"/>
      <c r="B33" s="305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43329</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59" t="s">
        <v>845</v>
      </c>
      <c r="B25" s="3059"/>
      <c r="C25" s="3059"/>
      <c r="D25" s="3059"/>
      <c r="E25" s="3059"/>
      <c r="F25" s="3059"/>
      <c r="G25" s="3059"/>
    </row>
    <row r="26" spans="1:7" s="1028" customFormat="1" ht="24" customHeight="1">
      <c r="A26" s="3060" t="s">
        <v>846</v>
      </c>
      <c r="B26" s="3060"/>
      <c r="C26" s="3061"/>
      <c r="D26" s="3062" t="s">
        <v>847</v>
      </c>
      <c r="E26" s="3060"/>
      <c r="F26" s="3060"/>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测绘面积</vt:lpstr>
      <vt:lpstr>不抵押面积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2018-08-17T09:01:40Z</dcterms:modified>
</cp:coreProperties>
</file>