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清单" sheetId="77" r:id="rId45"/>
    <sheet name="土地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6" l="1"/>
  <c r="A6" i="1"/>
  <c r="G1" i="15"/>
  <c r="F6" i="15"/>
  <c r="F8" i="15"/>
  <c r="I13" i="3"/>
  <c r="I14" i="3"/>
  <c r="I5" i="3"/>
  <c r="J5" i="3"/>
  <c r="F19" i="6"/>
  <c r="E19" i="6"/>
  <c r="K6" i="1"/>
  <c r="F7" i="15"/>
  <c r="F9" i="15"/>
  <c r="C6" i="15"/>
  <c r="D3" i="4"/>
  <c r="C1" i="73"/>
  <c r="L1" i="73"/>
  <c r="F4" i="73"/>
  <c r="I1" i="73"/>
  <c r="B39" i="1"/>
  <c r="F11" i="15"/>
  <c r="C10" i="15"/>
  <c r="C5" i="15"/>
  <c r="B43" i="1"/>
  <c r="B41" i="1"/>
  <c r="F32" i="15"/>
  <c r="B2" i="1"/>
  <c r="C42" i="1"/>
  <c r="C32" i="15"/>
  <c r="F33" i="15"/>
  <c r="C33" i="15"/>
  <c r="H6" i="78"/>
  <c r="I6" i="78"/>
  <c r="H12" i="78"/>
  <c r="G12" i="78"/>
  <c r="F12" i="78"/>
  <c r="I12" i="78"/>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E15" i="4"/>
  <c r="F6" i="1"/>
  <c r="L48" i="15"/>
  <c r="M47" i="15"/>
  <c r="B24" i="1"/>
  <c r="J50" i="15"/>
  <c r="J51" i="15"/>
  <c r="J53" i="15"/>
  <c r="F1" i="15"/>
  <c r="AE6" i="1"/>
  <c r="F41" i="15"/>
  <c r="C40" i="15"/>
  <c r="M6" i="15"/>
  <c r="M8" i="15"/>
  <c r="M7" i="15"/>
  <c r="M9" i="15"/>
  <c r="J6" i="15"/>
  <c r="M11" i="15"/>
  <c r="J10" i="15"/>
  <c r="J5" i="15"/>
  <c r="J26" i="15"/>
  <c r="J29" i="15"/>
  <c r="J60" i="15"/>
  <c r="L46" i="15"/>
  <c r="B2" i="15"/>
  <c r="C8" i="12"/>
  <c r="B3" i="15"/>
  <c r="C6" i="12"/>
  <c r="A7" i="1"/>
  <c r="K7" i="1"/>
  <c r="A8" i="1"/>
  <c r="K8" i="1"/>
  <c r="A9" i="1"/>
  <c r="K9" i="1"/>
  <c r="A10" i="1"/>
  <c r="K10" i="1"/>
  <c r="A11" i="1"/>
  <c r="K11" i="1"/>
  <c r="A12" i="1"/>
  <c r="K12" i="1"/>
  <c r="A13" i="1"/>
  <c r="K13" i="1"/>
  <c r="K14" i="1"/>
  <c r="BM5" i="3"/>
  <c r="BO5" i="3"/>
  <c r="F29" i="6"/>
  <c r="BN5" i="3"/>
  <c r="BP5" i="3"/>
  <c r="G29" i="6"/>
  <c r="E29" i="6"/>
  <c r="K15" i="1"/>
  <c r="K16" i="1"/>
  <c r="B29" i="1"/>
  <c r="I14" i="78"/>
  <c r="C38" i="39"/>
  <c r="B126" i="21"/>
  <c r="F44" i="21"/>
  <c r="AA44" i="21"/>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E81" i="21"/>
  <c r="F19" i="21"/>
  <c r="AA19" i="21"/>
  <c r="D83" i="21"/>
  <c r="F21" i="21"/>
  <c r="AA21" i="21"/>
  <c r="D85" i="21"/>
  <c r="F23" i="21"/>
  <c r="AA23" i="21"/>
  <c r="D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8" i="21"/>
  <c r="F45" i="21"/>
  <c r="AA45" i="21"/>
  <c r="B130"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D3" i="21"/>
  <c r="B2" i="21"/>
  <c r="B3" i="21"/>
  <c r="B84" i="39"/>
  <c r="F13" i="39"/>
  <c r="AA13" i="39"/>
  <c r="B86" i="39"/>
  <c r="F14" i="39"/>
  <c r="AA14" i="39"/>
  <c r="D95" i="39"/>
  <c r="F21" i="39"/>
  <c r="AA21" i="39"/>
  <c r="H13" i="39"/>
  <c r="AB13" i="39"/>
  <c r="H14" i="39"/>
  <c r="AB14" i="39"/>
  <c r="H21" i="39"/>
  <c r="AB21" i="39"/>
  <c r="J13" i="39"/>
  <c r="AC13" i="39"/>
  <c r="J14" i="39"/>
  <c r="AC14" i="39"/>
  <c r="J21" i="39"/>
  <c r="AC21" i="39"/>
  <c r="AD5" i="3"/>
  <c r="AH5" i="3"/>
  <c r="AL5" i="3"/>
  <c r="AP5" i="3"/>
  <c r="I4" i="6"/>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W33" i="21"/>
  <c r="S33" i="21"/>
  <c r="W32" i="21"/>
  <c r="U9" i="21"/>
  <c r="S32" i="21"/>
  <c r="W9" i="21"/>
  <c r="U32" i="21"/>
  <c r="S10" i="21"/>
  <c r="C36" i="69"/>
  <c r="F31" i="15"/>
  <c r="C16" i="67"/>
  <c r="M17" i="15"/>
  <c r="F59" i="67"/>
  <c r="F59" i="15"/>
  <c r="F31" i="67"/>
  <c r="M17" i="67"/>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E2" i="68"/>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AO6" i="1"/>
  <c r="E2" i="69"/>
  <c r="AO7" i="1"/>
  <c r="B8" i="70"/>
  <c r="B7" i="70"/>
  <c r="B6" i="70"/>
  <c r="C46" i="15"/>
  <c r="B2" i="69"/>
  <c r="B3" i="69"/>
  <c r="B3" i="67"/>
  <c r="D2" i="37"/>
  <c r="D2" i="36"/>
  <c r="D2" i="21"/>
  <c r="F20" i="31"/>
  <c r="D2" i="34"/>
  <c r="D2" i="33"/>
  <c r="D2" i="35"/>
  <c r="B20" i="31"/>
  <c r="B2" i="36"/>
  <c r="B3" i="36"/>
  <c r="B2" i="35"/>
  <c r="B3" i="35"/>
  <c r="B2" i="37"/>
  <c r="B3" i="37"/>
  <c r="B2" i="34"/>
  <c r="B3" i="34"/>
  <c r="B2" i="70"/>
  <c r="B3" i="70"/>
  <c r="D19" i="9"/>
  <c r="D20" i="9"/>
  <c r="D102" i="9"/>
  <c r="D21" i="9"/>
  <c r="D103" i="9"/>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<sst xmlns="http://schemas.openxmlformats.org/spreadsheetml/2006/main" count="7619" uniqueCount="3162">
  <si>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</si>
  <si>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</si>
  <si>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</si>
  <si>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</si>
  <si>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</si>
  <si>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</si>
  <si>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</si>
  <si>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</si>
  <si>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</si>
  <si>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</si>
  <si>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</si>
  <si>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</si>
  <si>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</si>
  <si>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</si>
  <si>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</si>
  <si>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</si>
  <si>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</si>
  <si>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</si>
  <si>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</si>
  <si>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</si>
  <si>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</si>
  <si>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</si>
  <si>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</si>
  <si>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</si>
  <si>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</si>
  <si>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</si>
  <si>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</si>
  <si>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</si>
  <si>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</si>
  <si>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</si>
  <si>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</si>
  <si>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</si>
  <si>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</si>
  <si>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</si>
  <si>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</si>
  <si>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</si>
  <si>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</si>
  <si>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</si>
  <si>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</si>
  <si>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</si>
  <si>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</si>
  <si>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</si>
  <si>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</si>
  <si>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</si>
  <si>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</si>
  <si>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</si>
  <si>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</si>
  <si>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</si>
  <si>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</si>
  <si>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</si>
  <si>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</si>
  <si>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</si>
  <si>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</si>
  <si>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</si>
  <si>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</si>
  <si>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</si>
  <si>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</si>
  <si>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</si>
  <si>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</si>
  <si>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</si>
  <si>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</si>
  <si>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</si>
  <si>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</si>
  <si>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</si>
  <si>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</si>
  <si>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</si>
  <si>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</si>
  <si>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</si>
  <si>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</si>
  <si>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</si>
  <si>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</si>
  <si>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</si>
  <si>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</si>
  <si>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</si>
  <si>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</si>
  <si>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</si>
  <si>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</si>
  <si>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</si>
  <si>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</si>
  <si>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</si>
  <si>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</si>
  <si>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</si>
  <si>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</si>
  <si>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</si>
  <si>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</si>
  <si>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</si>
  <si>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</si>
  <si>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</si>
  <si>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</si>
  <si>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</si>
  <si>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</si>
  <si>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</si>
  <si>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</si>
  <si>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</si>
  <si>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</si>
  <si>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</si>
  <si>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</si>
  <si>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</si>
  <si>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</si>
  <si>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</si>
  <si>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</si>
  <si>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</si>
  <si>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</si>
  <si>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</si>
  <si>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</si>
  <si>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</si>
  <si>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</si>
  <si>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</si>
  <si>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</si>
  <si>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</si>
  <si>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</si>
  <si>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</si>
  <si>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</si>
  <si>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</si>
  <si>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</si>
  <si>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</si>
  <si>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</si>
  <si>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</si>
  <si>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</si>
  <si>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</si>
  <si>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</si>
  <si>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</si>
  <si>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</si>
  <si>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</si>
  <si>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</si>
  <si>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</si>
  <si>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</si>
  <si>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</si>
  <si>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</si>
  <si>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</si>
  <si>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</si>
  <si>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</si>
  <si>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</si>
  <si>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</si>
  <si>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</si>
  <si>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</si>
  <si>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</si>
  <si>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</si>
  <si>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</si>
  <si>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</si>
  <si>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</si>
  <si>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</si>
  <si>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</si>
  <si>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</si>
  <si>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</si>
  <si>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</si>
  <si>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</si>
  <si>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</si>
  <si>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</si>
  <si>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</si>
  <si>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</si>
  <si>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</si>
  <si>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</si>
  <si>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</si>
  <si>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</si>
  <si>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</si>
  <si>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</si>
  <si>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</si>
  <si>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</si>
  <si>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</si>
  <si>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</si>
  <si>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</si>
  <si>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</si>
  <si>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</si>
  <si>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</si>
  <si>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</si>
  <si>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</si>
  <si>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</si>
  <si>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</si>
  <si>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</si>
  <si>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</si>
  <si>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</si>
  <si>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</si>
  <si>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</si>
  <si>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</si>
  <si>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</si>
  <si>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</si>
  <si>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</si>
  <si>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</si>
  <si>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</si>
  <si>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</si>
  <si>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</si>
  <si>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</si>
  <si>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</si>
  <si>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</si>
  <si>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</si>
  <si>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</si>
  <si>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</si>
  <si>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</si>
  <si>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</si>
  <si>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</si>
  <si>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</si>
  <si>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</si>
  <si>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</si>
  <si>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</si>
  <si>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</si>
  <si>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</si>
  <si>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</si>
  <si>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</si>
  <si>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</si>
  <si>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</si>
  <si>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</si>
  <si>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</si>
  <si>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</si>
  <si>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</si>
  <si>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</si>
  <si>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</si>
  <si>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</si>
  <si>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</si>
  <si>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</si>
  <si>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</si>
  <si>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</si>
  <si>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</si>
  <si>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</si>
  <si>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</si>
  <si>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</si>
  <si>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</si>
  <si>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</si>
  <si>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</si>
  <si>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</si>
  <si>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</si>
  <si>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</si>
  <si>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</si>
  <si>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</si>
  <si>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</si>
  <si>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</si>
  <si>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</si>
  <si>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</si>
  <si>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</si>
  <si>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</si>
  <si>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</si>
  <si>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</si>
  <si>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</si>
  <si>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</si>
  <si>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</si>
  <si>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</si>
  <si>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</si>
  <si>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</si>
  <si>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</si>
  <si>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</si>
  <si>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</si>
  <si>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</si>
  <si>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</si>
  <si>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</si>
  <si>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</si>
  <si>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</si>
  <si>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</si>
  <si>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</si>
  <si>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</si>
  <si>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</si>
  <si>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</si>
  <si>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</si>
  <si>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</si>
  <si>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</si>
  <si>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</si>
  <si>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</si>
  <si>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</si>
  <si>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</si>
  <si>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</si>
  <si>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</si>
  <si>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</si>
  <si>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</si>
  <si>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</si>
  <si>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</si>
  <si>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</si>
  <si>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</si>
  <si>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</si>
  <si>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</si>
  <si>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</si>
  <si>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</si>
  <si>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</si>
  <si>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</si>
  <si>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</si>
  <si>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</si>
  <si>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</si>
  <si>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</si>
  <si>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</si>
  <si>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</si>
  <si>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</si>
  <si>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</si>
  <si>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</si>
  <si>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</si>
  <si>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</si>
  <si>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</si>
  <si>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</si>
  <si>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</si>
  <si>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</si>
  <si>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</si>
  <si>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</si>
  <si>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</si>
  <si>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</si>
  <si>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</si>
  <si>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</si>
  <si>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</si>
  <si>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</si>
  <si>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</si>
  <si>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</si>
  <si>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</si>
  <si>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</si>
  <si>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</si>
  <si>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</si>
  <si>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</si>
  <si>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</si>
  <si>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</si>
  <si>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</si>
  <si>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</si>
  <si>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</si>
  <si>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</si>
  <si>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</si>
  <si>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</si>
  <si>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</si>
  <si>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</si>
  <si>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</si>
  <si>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</si>
  <si>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</si>
  <si>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</si>
  <si>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</si>
  <si>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</si>
  <si>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</si>
  <si>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</si>
  <si>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</si>
  <si>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</si>
  <si>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</si>
  <si>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</si>
  <si>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</si>
  <si>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</si>
  <si>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</si>
  <si>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</si>
  <si>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</si>
  <si>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</si>
  <si>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</si>
  <si>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</si>
  <si>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</si>
  <si>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</si>
  <si>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</si>
  <si>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</si>
  <si>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</si>
  <si>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</si>
  <si>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</si>
  <si>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</si>
  <si>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</si>
  <si>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</si>
  <si>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</si>
  <si>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</si>
  <si>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</si>
  <si>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</si>
  <si>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</si>
  <si>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</si>
  <si>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</si>
  <si>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</si>
  <si>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</si>
  <si>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</si>
  <si>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</si>
  <si>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</si>
  <si>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</si>
  <si>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</si>
  <si>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</si>
  <si>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</si>
  <si>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</si>
  <si>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</si>
  <si>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</si>
  <si>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</si>
  <si>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</si>
  <si>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</si>
  <si>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</si>
  <si>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</si>
  <si>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</si>
  <si>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</si>
  <si>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</si>
  <si>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</si>
  <si>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</si>
  <si>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</si>
  <si>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</si>
  <si>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</si>
  <si>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</si>
  <si>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</si>
  <si>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</si>
  <si>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</si>
  <si>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</si>
  <si>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</si>
  <si>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</si>
  <si>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</si>
  <si>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</si>
  <si>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</si>
  <si>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</si>
  <si>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</si>
  <si>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</si>
  <si>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</si>
  <si>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</si>
  <si>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</si>
  <si>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</si>
  <si>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</si>
  <si>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</si>
  <si>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</si>
  <si>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</si>
  <si>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</si>
  <si>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</si>
  <si>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</si>
  <si>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</si>
  <si>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</si>
  <si>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</si>
  <si>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</si>
  <si>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</si>
  <si>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</si>
  <si>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</si>
  <si>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</si>
  <si>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</si>
  <si>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</si>
  <si>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</si>
  <si>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</si>
  <si>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</si>
  <si>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</si>
  <si>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</si>
  <si>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</si>
  <si>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</si>
  <si>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</si>
  <si>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</si>
  <si>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</si>
  <si>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</si>
  <si>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</si>
  <si>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</si>
  <si>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</si>
  <si>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</si>
  <si>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</si>
  <si>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</si>
  <si>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</si>
  <si>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</si>
  <si>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</si>
  <si>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</si>
  <si>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</si>
  <si>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</si>
  <si>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</si>
  <si>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</si>
  <si>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</si>
  <si>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</si>
  <si>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</si>
  <si>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</si>
  <si>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</si>
  <si>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</si>
  <si>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</si>
  <si>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</si>
  <si>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</si>
  <si>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</si>
  <si>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</si>
  <si>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</si>
  <si>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</si>
  <si>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</si>
  <si>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</si>
  <si>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</si>
  <si>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</si>
  <si>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</si>
  <si>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</si>
  <si>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</si>
  <si>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</si>
  <si>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</si>
  <si>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</si>
  <si>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</si>
  <si>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</si>
  <si>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</si>
  <si>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</si>
  <si>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</si>
  <si>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</si>
  <si>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</si>
  <si>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</si>
  <si>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</si>
  <si>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</si>
  <si>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</si>
  <si>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</si>
  <si>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</si>
  <si>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</si>
  <si>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</si>
  <si>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</si>
  <si>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</si>
  <si>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</si>
  <si>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</si>
  <si>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</si>
  <si>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</si>
  <si>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</si>
  <si>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</si>
  <si>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</si>
  <si>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</si>
  <si>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</si>
  <si>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</si>
  <si>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</si>
  <si>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</si>
  <si>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</si>
  <si>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</si>
  <si>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</si>
  <si>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</si>
  <si>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</si>
  <si>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</si>
  <si>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</si>
  <si>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</si>
  <si>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</si>
  <si>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</si>
  <si>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</si>
  <si>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</si>
  <si>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</si>
  <si>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</si>
  <si>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</si>
  <si>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</si>
  <si>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</si>
  <si>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</si>
  <si>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</si>
  <si>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</si>
  <si>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</si>
  <si>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</si>
  <si>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</si>
  <si>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</si>
  <si>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</si>
  <si>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</si>
  <si>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</si>
  <si>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</si>
  <si>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</si>
  <si>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</si>
  <si>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</si>
  <si>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</si>
  <si>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</si>
  <si>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</si>
  <si>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</si>
  <si>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</si>
  <si>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</si>
  <si>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</si>
  <si>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</si>
  <si>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</si>
  <si>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</si>
  <si>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</si>
  <si>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</si>
  <si>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</si>
  <si>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</si>
  <si>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</si>
  <si>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</si>
  <si>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</si>
  <si>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</si>
  <si>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</si>
  <si>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</si>
  <si>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</si>
  <si>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</si>
  <si>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</si>
  <si>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</si>
  <si>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</si>
  <si>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</si>
  <si>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</si>
  <si>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</si>
  <si>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</si>
  <si>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</si>
  <si>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</si>
  <si>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</si>
  <si>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</si>
  <si>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</si>
  <si>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</si>
  <si>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</si>
  <si>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</si>
  <si>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</si>
  <si>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</si>
  <si>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</si>
  <si>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</si>
  <si>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</si>
  <si>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</si>
  <si>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</si>
  <si>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</si>
  <si>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</si>
  <si>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</si>
  <si>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</si>
  <si>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</si>
  <si>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</si>
  <si>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</si>
  <si>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</si>
  <si>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</si>
  <si>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</si>
  <si>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</si>
  <si>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</si>
  <si>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</si>
  <si>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</si>
  <si>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</si>
  <si>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</si>
  <si>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</si>
  <si>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</si>
  <si>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</si>
  <si>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</si>
  <si>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</si>
  <si>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</si>
  <si>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</si>
  <si>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</si>
  <si>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</si>
  <si>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</si>
  <si>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</si>
  <si>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</si>
  <si>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</si>
  <si>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</si>
  <si>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</si>
  <si>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</si>
  <si>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</si>
  <si>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</si>
  <si>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</si>
  <si>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</si>
  <si>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</si>
  <si>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</si>
  <si>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</si>
  <si>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</si>
  <si>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</si>
  <si>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</si>
  <si>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</si>
  <si>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</si>
  <si>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</si>
  <si>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</si>
  <si>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</si>
  <si>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</si>
  <si>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</si>
  <si>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</si>
  <si>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</si>
  <si>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</si>
  <si>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</si>
  <si>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</si>
  <si>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</si>
  <si>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</si>
  <si>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</si>
  <si>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</si>
  <si>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</si>
  <si>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</si>
  <si>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</si>
  <si>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</si>
  <si>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</si>
  <si>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</si>
  <si>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</si>
  <si>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</si>
  <si>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</si>
  <si>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</si>
  <si>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</si>
  <si>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</si>
  <si>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</si>
  <si>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</si>
  <si>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</si>
  <si>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</si>
  <si>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</si>
  <si>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</si>
  <si>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</si>
  <si>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</si>
  <si>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</si>
  <si>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</si>
  <si>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</si>
  <si>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</si>
  <si>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</si>
  <si>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</si>
  <si>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</si>
  <si>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</si>
  <si>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</si>
  <si>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</si>
  <si>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</si>
  <si>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</si>
  <si>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</si>
  <si>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</si>
  <si>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</si>
  <si>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</si>
  <si>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</si>
  <si>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</si>
  <si>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</si>
  <si>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</si>
  <si>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</si>
  <si>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</si>
  <si>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</si>
  <si>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</si>
  <si>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</si>
  <si>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</si>
  <si>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</si>
  <si>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</si>
  <si>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</si>
  <si>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</si>
  <si>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</si>
  <si>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</si>
  <si>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</si>
  <si>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</si>
  <si>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</si>
  <si>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</si>
  <si>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</si>
  <si>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</si>
  <si>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</si>
  <si>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</si>
  <si>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</si>
  <si>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</si>
  <si>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</si>
  <si>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</si>
  <si>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</si>
  <si>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</si>
  <si>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</si>
  <si>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</si>
  <si>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</si>
  <si>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</si>
  <si>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</si>
  <si>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</si>
  <si>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</si>
  <si>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</si>
  <si>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</si>
  <si>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</si>
  <si>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</si>
  <si>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</si>
  <si>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</si>
  <si>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</si>
  <si>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</si>
  <si>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</si>
  <si>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</si>
  <si>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</si>
  <si>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</si>
  <si>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</si>
  <si>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</si>
  <si>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</si>
  <si>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</si>
  <si>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</si>
  <si>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</si>
  <si>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</si>
  <si>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</si>
  <si>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</si>
  <si>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</si>
  <si>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</si>
  <si>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</si>
  <si>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</si>
  <si>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</si>
  <si>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</si>
  <si>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</si>
  <si>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</si>
  <si>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</si>
  <si>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</si>
  <si>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</si>
  <si>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</si>
  <si>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</si>
  <si>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</si>
  <si>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</si>
  <si>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</si>
  <si>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</si>
  <si>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</si>
  <si>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</si>
  <si>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</si>
  <si>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</si>
  <si>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</si>
  <si>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</si>
  <si>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</si>
  <si>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</si>
  <si>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</si>
  <si>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</si>
  <si>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</si>
  <si>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</si>
  <si>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</si>
  <si>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</si>
  <si>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</si>
  <si>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</si>
  <si>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</si>
  <si>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</si>
  <si>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</si>
  <si>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</si>
  <si>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</si>
  <si>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</si>
  <si>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</si>
  <si>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</si>
  <si>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</si>
  <si>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</si>
  <si>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</si>
  <si>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</si>
  <si>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</si>
  <si>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</si>
  <si>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</si>
  <si>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</si>
  <si>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</si>
  <si>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</si>
  <si>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</si>
  <si>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</si>
  <si>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</si>
  <si>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</si>
  <si>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</si>
  <si>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</si>
  <si>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</si>
  <si>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</si>
  <si>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</si>
  <si>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</si>
  <si>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</si>
  <si>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</si>
  <si>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</si>
  <si>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</si>
  <si>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</si>
  <si>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</si>
  <si>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</si>
  <si>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</si>
  <si>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</si>
  <si>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</si>
  <si>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</si>
  <si>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</si>
  <si>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</si>
  <si>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</si>
  <si>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</si>
  <si>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</si>
  <si>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</si>
  <si>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</si>
  <si>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</si>
  <si>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</si>
  <si>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</si>
  <si>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</si>
  <si>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</si>
  <si>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</si>
  <si>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</si>
  <si>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</si>
  <si>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</si>
  <si>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</si>
  <si>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</si>
  <si>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</si>
  <si>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</si>
  <si>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</si>
  <si>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</si>
  <si>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</si>
  <si>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</si>
  <si>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</si>
  <si>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</si>
  <si>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</si>
  <si>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</si>
  <si>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</si>
  <si>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</si>
  <si>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</si>
  <si>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</si>
  <si>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</si>
  <si>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</si>
  <si>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</si>
  <si>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</si>
  <si>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</si>
  <si>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</si>
  <si>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</si>
  <si>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</si>
  <si>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</si>
  <si>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</si>
  <si>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</si>
  <si>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</si>
  <si>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</si>
  <si>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</si>
  <si>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</si>
  <si>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</si>
  <si>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</si>
  <si>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</si>
  <si>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</si>
  <si>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</si>
  <si>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</si>
  <si>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</si>
  <si>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</si>
  <si>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</si>
  <si>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</si>
  <si>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</si>
  <si>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</si>
  <si>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</si>
  <si>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</si>
  <si>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</si>
  <si>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</si>
  <si>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</si>
  <si>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</si>
  <si>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</si>
  <si>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</si>
  <si>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</si>
  <si>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</si>
  <si>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</si>
  <si>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</si>
  <si>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</si>
  <si>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</si>
  <si>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</si>
  <si>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</si>
  <si>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</si>
  <si>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</si>
  <si>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</si>
  <si>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</si>
  <si>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</si>
  <si>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</si>
  <si>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</si>
  <si>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</si>
  <si>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</si>
  <si>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</si>
  <si>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</si>
  <si>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</si>
  <si>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</si>
  <si>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</si>
  <si>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</si>
  <si>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</si>
  <si>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</si>
  <si>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</si>
  <si>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</si>
  <si>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</si>
  <si>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</si>
  <si>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</si>
  <si>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</si>
  <si>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</si>
  <si>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</si>
  <si>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</si>
  <si>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</si>
  <si>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</si>
  <si>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</si>
  <si>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</si>
  <si>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</si>
  <si>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</si>
  <si>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</si>
  <si>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</si>
  <si>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</si>
  <si>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</si>
  <si>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</si>
  <si>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</si>
  <si>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</si>
  <si>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</si>
  <si>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</si>
  <si>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</si>
  <si>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</si>
  <si>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</si>
  <si>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</si>
  <si>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</si>
  <si>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</si>
  <si>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</si>
  <si>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</si>
  <si>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</si>
  <si>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</si>
  <si>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</si>
  <si>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</si>
  <si>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</si>
  <si>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</si>
  <si>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</si>
  <si>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</si>
  <si>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</si>
  <si>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</si>
  <si>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</si>
  <si>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</si>
  <si>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</si>
  <si>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</si>
  <si>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</si>
  <si>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</si>
  <si>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</si>
  <si>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</si>
  <si>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</si>
  <si>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</si>
  <si>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</si>
  <si>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</si>
  <si>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</si>
  <si>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</si>
  <si>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</si>
  <si>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</si>
  <si>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</si>
  <si>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</si>
  <si>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</si>
  <si>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</si>
  <si>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</si>
  <si>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</si>
  <si>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</si>
  <si>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</si>
  <si>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</si>
  <si>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</si>
  <si>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</si>
  <si>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</si>
  <si>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</si>
  <si>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</si>
  <si>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</si>
  <si>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</si>
  <si>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</si>
  <si>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</si>
  <si>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</si>
  <si>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</si>
  <si>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</si>
  <si>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</si>
  <si>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</si>
  <si>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</si>
  <si>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</si>
  <si>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</si>
  <si>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</si>
  <si>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</si>
  <si>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</si>
  <si>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</si>
  <si>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</si>
  <si>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</si>
  <si>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</si>
  <si>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</si>
  <si>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</si>
  <si>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</si>
  <si>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</si>
  <si>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</si>
  <si>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</si>
  <si>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</si>
  <si>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</si>
  <si>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</si>
  <si>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</si>
  <si>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</si>
  <si>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</si>
  <si>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</si>
  <si>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</si>
  <si>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</si>
  <si>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</si>
  <si>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</si>
  <si>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</si>
  <si>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</si>
  <si>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</si>
  <si>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</si>
  <si>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</si>
  <si>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</si>
  <si>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</si>
  <si>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</si>
  <si>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</si>
  <si>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</si>
  <si>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</si>
  <si>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</si>
  <si>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</si>
  <si>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</si>
  <si>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</si>
  <si>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</si>
  <si>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</si>
  <si>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</si>
  <si>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</si>
  <si>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</si>
  <si>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</si>
  <si>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</si>
  <si>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</si>
  <si>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</si>
  <si>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</si>
  <si>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</si>
  <si>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</si>
  <si>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</si>
  <si>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</si>
  <si>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</si>
  <si>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</si>
  <si>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</si>
  <si>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</si>
  <si>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</si>
  <si>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</si>
  <si>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</si>
  <si>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</si>
  <si>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</si>
  <si>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</si>
  <si>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</si>
  <si>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</si>
  <si>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</si>
  <si>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</si>
  <si>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</si>
  <si>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</si>
  <si>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</si>
  <si>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</si>
  <si>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</si>
  <si>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</si>
  <si>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</si>
  <si>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</si>
  <si>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</si>
  <si>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</si>
  <si>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</si>
  <si>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</si>
  <si>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</si>
  <si>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</si>
  <si>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</si>
  <si>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</si>
  <si>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</si>
  <si>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</si>
  <si>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</si>
  <si>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</si>
  <si>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</si>
  <si>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</si>
  <si>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</si>
  <si>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</si>
  <si>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</si>
  <si>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</si>
  <si>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</si>
  <si>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</si>
  <si>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</si>
  <si>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</si>
  <si>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</si>
  <si>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</si>
  <si>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</si>
  <si>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</si>
  <si>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</si>
  <si>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</si>
  <si>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</si>
  <si>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</si>
  <si>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</si>
  <si>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</si>
  <si>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</si>
  <si>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</si>
  <si>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</si>
  <si>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</si>
  <si>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</si>
  <si>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</si>
  <si>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</si>
  <si>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</si>
  <si>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</si>
  <si>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</si>
  <si>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</si>
  <si>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</si>
  <si>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</si>
  <si>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</si>
  <si>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</si>
  <si>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</si>
  <si>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</si>
  <si>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</si>
  <si>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</si>
  <si>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</si>
  <si>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</si>
  <si>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</si>
  <si>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</si>
  <si>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</si>
  <si>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</si>
  <si>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</si>
  <si>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</si>
  <si>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</si>
  <si>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</si>
  <si>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</si>
  <si>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</si>
  <si>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</si>
  <si>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</si>
  <si>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</si>
  <si>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</si>
  <si>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</si>
  <si>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</si>
  <si>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</si>
  <si>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</si>
  <si>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</si>
  <si>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</si>
  <si>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</si>
  <si>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</si>
  <si>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</si>
  <si>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</si>
  <si>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</si>
  <si>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</si>
  <si>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</si>
  <si>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</si>
  <si>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</si>
  <si>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</si>
  <si>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</si>
  <si>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</si>
  <si>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</si>
  <si>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</si>
  <si>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</si>
  <si>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</si>
  <si>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</si>
  <si>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</si>
  <si>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</si>
  <si>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</si>
  <si>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</si>
  <si>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</si>
  <si>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</si>
  <si>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</si>
  <si>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</si>
  <si>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</si>
  <si>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</si>
  <si>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</si>
  <si>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</si>
  <si>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</si>
  <si>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</si>
  <si>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</si>
  <si>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</si>
  <si>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</si>
  <si>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</si>
  <si>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</si>
  <si>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</si>
  <si>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</si>
  <si>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</si>
  <si>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</si>
  <si>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</si>
  <si>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</si>
  <si>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</si>
  <si>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</si>
  <si>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</si>
  <si>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</si>
  <si>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</si>
  <si>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</si>
  <si>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</si>
  <si>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</si>
  <si>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</si>
  <si>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</si>
  <si>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</si>
  <si>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</si>
  <si>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</si>
  <si>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</si>
  <si>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</si>
  <si>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</si>
  <si>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</si>
  <si>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</si>
  <si>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</si>
  <si>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</si>
  <si>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</si>
  <si>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</si>
  <si>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</si>
  <si>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</si>
  <si>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</si>
  <si>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</si>
  <si>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</si>
  <si>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</si>
  <si>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</si>
  <si>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</si>
  <si>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</si>
  <si>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</si>
  <si>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</si>
  <si>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</si>
  <si>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</si>
  <si>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</si>
  <si>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</si>
  <si>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</si>
  <si>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</si>
  <si>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</si>
  <si>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</si>
  <si>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</si>
  <si>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</si>
  <si>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</si>
  <si>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</si>
  <si>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</si>
  <si>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</si>
  <si>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</si>
  <si>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</si>
  <si>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</si>
  <si>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</si>
  <si>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</si>
  <si>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</si>
  <si>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</si>
  <si>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</si>
  <si>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</si>
  <si>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</si>
  <si>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</si>
  <si>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</si>
  <si>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</si>
  <si>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</si>
  <si>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</si>
  <si>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</si>
  <si>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</si>
  <si>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</si>
  <si>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</si>
  <si>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</si>
  <si>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</si>
  <si>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</si>
  <si>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</si>
  <si>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</si>
  <si>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</si>
  <si>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</si>
  <si>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</si>
  <si>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</si>
  <si>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</si>
  <si>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</si>
  <si>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</si>
  <si>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</si>
  <si>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</si>
  <si>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</si>
  <si>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</si>
  <si>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</si>
  <si>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</si>
  <si>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</si>
  <si>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</si>
  <si>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</si>
  <si>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</si>
  <si>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</si>
  <si>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</si>
  <si>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</si>
  <si>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</si>
  <si>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</si>
  <si>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</si>
  <si>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</si>
  <si>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</si>
  <si>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</si>
  <si>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</si>
  <si>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</si>
  <si>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</si>
  <si>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</si>
  <si>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</si>
  <si>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</si>
  <si>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</si>
  <si>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</si>
  <si>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</si>
  <si>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</si>
  <si>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</si>
  <si>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</si>
  <si>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</si>
  <si>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</si>
  <si>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</si>
  <si>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</si>
  <si>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</si>
  <si>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</si>
  <si>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</si>
  <si>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</si>
  <si>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</si>
  <si>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</si>
  <si>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</si>
  <si>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</si>
  <si>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</si>
  <si>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</si>
  <si>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</si>
  <si>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</si>
  <si>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</si>
  <si>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</si>
  <si>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</si>
  <si>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</si>
  <si>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</si>
  <si>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</si>
  <si>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</si>
  <si>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</si>
  <si>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</si>
  <si>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</si>
  <si>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</si>
  <si>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</si>
  <si>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</si>
  <si>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</si>
  <si>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</si>
  <si>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</si>
  <si>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</si>
  <si>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</si>
  <si>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</si>
  <si>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</si>
  <si>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</si>
  <si>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</si>
  <si>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</si>
  <si>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</si>
  <si>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</si>
  <si>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</si>
  <si>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</si>
  <si>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</si>
  <si>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</si>
  <si>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</si>
  <si>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</si>
  <si>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</si>
  <si>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</si>
  <si>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</si>
  <si>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</si>
  <si>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</si>
  <si>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</si>
  <si>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</si>
  <si>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</si>
  <si>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</si>
  <si>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</si>
  <si>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</si>
  <si>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</si>
  <si>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</si>
  <si>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</si>
  <si>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</si>
  <si>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</si>
  <si>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</si>
  <si>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</si>
  <si>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</si>
  <si>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</si>
  <si>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</si>
  <si>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</si>
  <si>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</si>
  <si>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</si>
  <si>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</si>
  <si>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</si>
  <si>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</si>
  <si>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</si>
  <si>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</si>
  <si>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</si>
  <si>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</si>
  <si>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</si>
  <si>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</si>
  <si>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</si>
  <si>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</si>
  <si>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</si>
  <si>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</si>
  <si>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</si>
  <si>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</si>
  <si>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</si>
  <si>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</si>
  <si>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</si>
  <si>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</si>
  <si>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</si>
  <si>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</si>
  <si>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</si>
  <si>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</si>
  <si>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</si>
  <si>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</si>
  <si>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</si>
  <si>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</si>
  <si>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</si>
  <si>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</si>
  <si>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</si>
  <si>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</si>
  <si>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</si>
  <si>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</si>
  <si>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</si>
  <si>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</si>
  <si>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</si>
  <si>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</si>
  <si>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</si>
  <si>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</si>
  <si>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</si>
  <si>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</si>
  <si>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</si>
  <si>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</si>
  <si>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</si>
  <si>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</si>
  <si>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</si>
  <si>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</si>
  <si>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</si>
  <si>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</si>
  <si>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</si>
  <si>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</si>
  <si>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</si>
  <si>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</si>
  <si>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</si>
  <si>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</si>
  <si>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</si>
  <si>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</si>
  <si>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</si>
  <si>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</si>
  <si>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</si>
  <si>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</si>
  <si>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</si>
  <si>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</si>
  <si>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</si>
  <si>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</si>
  <si>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</si>
  <si>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</si>
  <si>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</si>
  <si>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</si>
  <si>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</si>
  <si>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</si>
  <si>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</si>
  <si>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</si>
  <si>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</si>
  <si>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</si>
  <si>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</si>
  <si>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</si>
  <si>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</si>
  <si>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</si>
  <si>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</si>
  <si>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</si>
  <si>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</si>
  <si>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</si>
  <si>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</si>
  <si>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</si>
  <si>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</si>
  <si>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</si>
  <si>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</si>
  <si>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</si>
  <si>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</si>
  <si>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</si>
  <si>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</si>
  <si>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</si>
  <si>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</si>
  <si>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</si>
  <si>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</si>
  <si>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</si>
  <si>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</si>
  <si>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</si>
  <si>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</si>
  <si>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</si>
  <si>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</si>
  <si>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</si>
  <si>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</si>
  <si>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</si>
  <si>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</si>
  <si>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</si>
  <si>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</si>
  <si>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</si>
  <si>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</si>
  <si>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</si>
  <si>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</si>
  <si>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</si>
  <si>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</si>
  <si>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</si>
  <si>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</si>
  <si>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</si>
  <si>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</si>
  <si>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</si>
  <si>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</si>
  <si>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</si>
  <si>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</si>
  <si>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</si>
  <si>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</si>
  <si>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</si>
  <si>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</si>
  <si>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</si>
  <si>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</si>
  <si>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</si>
  <si>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</si>
  <si>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</si>
  <si>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</si>
  <si>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</si>
  <si>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</si>
  <si>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</si>
  <si>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</si>
  <si>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</si>
  <si>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</si>
  <si>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</si>
  <si>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</si>
  <si>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</si>
  <si>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</si>
  <si>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</si>
  <si>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</si>
  <si>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</si>
  <si>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</si>
  <si>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</si>
  <si>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</si>
  <si>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</si>
  <si>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</si>
  <si>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</si>
  <si>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</si>
  <si>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</si>
  <si>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</si>
  <si>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</si>
  <si>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</si>
  <si>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</si>
  <si>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</si>
  <si>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</si>
  <si>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</si>
  <si>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</si>
  <si>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</si>
  <si>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</si>
  <si>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</si>
  <si>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</si>
  <si>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</si>
  <si>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</si>
  <si>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</si>
  <si>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</si>
  <si>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</si>
  <si>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</si>
  <si>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</si>
  <si>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</si>
  <si>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</si>
  <si>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</si>
  <si>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</si>
  <si>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</si>
  <si>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</si>
  <si>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</si>
  <si>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</si>
  <si>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</si>
  <si>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</si>
  <si>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</si>
  <si>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</si>
  <si>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</si>
  <si>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</si>
  <si>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</si>
  <si>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</si>
  <si>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</si>
  <si>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</si>
  <si>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</si>
  <si>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</si>
  <si>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</si>
  <si>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</si>
  <si>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</si>
  <si>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</si>
  <si>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</si>
  <si>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</si>
  <si>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</si>
  <si>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</si>
  <si>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</si>
  <si>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</si>
  <si>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</si>
  <si>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</si>
  <si>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</si>
  <si>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</si>
  <si>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</si>
  <si>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</si>
  <si>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</si>
  <si>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</si>
  <si>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</si>
  <si>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</si>
  <si>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</si>
  <si>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</si>
  <si>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</si>
  <si>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</si>
  <si>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</si>
  <si>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</si>
  <si>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</si>
  <si>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</si>
  <si>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</si>
  <si>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</si>
  <si>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</si>
  <si>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</si>
  <si>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</si>
  <si>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</si>
  <si>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</si>
  <si>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</si>
  <si>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</si>
  <si>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</si>
  <si>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</si>
  <si>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</si>
  <si>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</si>
  <si>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</si>
  <si>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</si>
  <si>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</si>
  <si>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</si>
  <si>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</si>
  <si>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</si>
  <si>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</si>
  <si>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</si>
  <si>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</si>
  <si>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</si>
  <si>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</si>
  <si>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</si>
  <si>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</si>
  <si>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</si>
  <si>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</si>
  <si>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</si>
  <si>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</si>
  <si>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</si>
  <si>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</si>
  <si>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</si>
  <si>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</si>
  <si>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</si>
  <si>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</si>
  <si>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</si>
  <si>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</si>
  <si>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</si>
  <si>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</si>
  <si>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</si>
  <si>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</si>
  <si>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</si>
  <si>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</si>
  <si>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</si>
  <si>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</si>
  <si>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</si>
  <si>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</si>
  <si>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</si>
  <si>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</si>
  <si>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</si>
  <si>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</si>
  <si>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</si>
  <si>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</si>
  <si>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</si>
  <si>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</si>
  <si>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</si>
  <si>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</si>
  <si>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</si>
  <si>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</si>
  <si>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</si>
  <si>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</si>
  <si>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</si>
  <si>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</si>
  <si>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</si>
  <si>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</si>
  <si>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</si>
  <si>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</si>
  <si>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</si>
  <si>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</si>
  <si>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</si>
  <si>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</si>
  <si>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</si>
  <si>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</si>
  <si>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</si>
  <si>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</si>
  <si>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</si>
  <si>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</si>
  <si>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</si>
  <si>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</si>
  <si>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</si>
  <si>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</si>
  <si>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</si>
  <si>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</si>
  <si>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</si>
  <si>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</si>
  <si>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</si>
  <si>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</si>
  <si>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</si>
  <si>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</si>
  <si>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</si>
  <si>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</si>
  <si>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</si>
  <si>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</si>
  <si>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</si>
  <si>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</si>
  <si>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</si>
  <si>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</si>
  <si>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</si>
  <si>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</si>
  <si>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</si>
  <si>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</si>
  <si>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</si>
  <si>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</si>
  <si>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</si>
  <si>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</si>
  <si>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</si>
  <si>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</si>
  <si>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</si>
  <si>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</si>
  <si>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</si>
  <si>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</si>
  <si>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</si>
  <si>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</si>
  <si>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</si>
  <si>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</si>
  <si>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</si>
  <si>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</si>
  <si>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</si>
  <si>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</si>
  <si>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</si>
  <si>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</si>
  <si>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</si>
  <si>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</si>
  <si>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</si>
  <si>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</si>
  <si>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</si>
  <si>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</si>
  <si>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</si>
  <si>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</si>
  <si>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</si>
  <si>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</si>
  <si>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</si>
  <si>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</si>
  <si>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</si>
  <si>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</si>
  <si>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</si>
  <si>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</si>
  <si>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</si>
  <si>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</si>
  <si>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</si>
  <si>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</si>
  <si>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</si>
  <si>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</si>
  <si>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</si>
  <si>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</si>
  <si>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</si>
  <si>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</si>
  <si>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</si>
  <si>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</si>
  <si>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</si>
  <si>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</si>
  <si>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</si>
  <si>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</si>
  <si>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</si>
  <si>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</si>
  <si>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</si>
  <si>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</si>
  <si>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</si>
  <si>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</si>
  <si>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</si>
  <si>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</si>
  <si>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</si>
  <si>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</si>
  <si>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</si>
  <si>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</si>
  <si>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</si>
  <si>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</si>
  <si>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</si>
  <si>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</si>
  <si>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</si>
  <si>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</si>
  <si>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</si>
  <si>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</si>
  <si>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</si>
  <si>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</si>
  <si>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</si>
  <si>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</si>
  <si>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</si>
  <si>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</si>
  <si>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</si>
  <si>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</si>
  <si>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</si>
  <si>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</si>
  <si>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</si>
  <si>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</si>
  <si>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</si>
  <si>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</si>
  <si>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</si>
  <si>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</si>
  <si>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</si>
  <si>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</si>
  <si>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</si>
  <si>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</si>
  <si>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</si>
  <si>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</si>
  <si>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</si>
  <si>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</si>
  <si>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</si>
  <si>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</si>
  <si>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</si>
  <si>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</si>
  <si>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</si>
  <si>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</si>
  <si>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</si>
  <si>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</si>
  <si>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</si>
  <si>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</si>
  <si>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</si>
  <si>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</si>
  <si>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</si>
  <si>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</si>
  <si>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</si>
  <si>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</si>
  <si>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</si>
  <si>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</si>
  <si>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</si>
  <si>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</si>
  <si>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</si>
  <si>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</si>
  <si>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</si>
  <si>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</si>
  <si>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</si>
  <si>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</si>
  <si>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</si>
  <si>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</si>
  <si>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</si>
  <si>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</si>
  <si>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</si>
  <si>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</si>
  <si>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</si>
  <si>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</si>
  <si>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</si>
  <si>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</si>
  <si>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</si>
  <si>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</si>
  <si>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</si>
  <si>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</si>
  <si>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</si>
  <si>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</si>
  <si>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</si>
  <si>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</si>
  <si>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</si>
  <si>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</si>
  <si>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</si>
  <si>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</si>
  <si>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</si>
  <si>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</si>
  <si>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</si>
  <si>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</si>
  <si>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</si>
  <si>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</si>
  <si>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</si>
  <si>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</si>
  <si>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</si>
  <si>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</si>
  <si>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</si>
  <si>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</si>
  <si>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</si>
  <si>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</si>
  <si>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</si>
  <si>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</si>
  <si>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</si>
  <si>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</si>
  <si>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</si>
  <si>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</si>
  <si>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</si>
  <si>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</si>
  <si>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</si>
  <si>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</si>
  <si>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</si>
  <si>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</si>
  <si>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</si>
  <si>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</si>
  <si>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</si>
  <si>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</si>
  <si>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</si>
  <si>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</si>
  <si>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</si>
  <si>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</si>
  <si>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</si>
  <si>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</si>
  <si>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</si>
  <si>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</si>
  <si>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</si>
  <si>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</si>
  <si>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</si>
  <si>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</si>
  <si>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</si>
  <si>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</si>
  <si>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</si>
  <si>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</si>
  <si>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</si>
  <si>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</si>
  <si>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</si>
  <si>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</si>
  <si>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</si>
  <si>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</si>
  <si>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</si>
  <si>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</si>
  <si>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</si>
  <si>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</si>
  <si>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</si>
  <si>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</si>
  <si>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</si>
  <si>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</si>
  <si>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</si>
  <si>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</si>
  <si>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</si>
  <si>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</si>
  <si>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</si>
  <si>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</si>
  <si>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</si>
  <si>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</si>
  <si>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</si>
  <si>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</si>
  <si>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</si>
  <si>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</si>
  <si>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</si>
  <si>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</si>
  <si>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</si>
  <si>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</si>
  <si>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</si>
  <si>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</si>
  <si>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</si>
  <si>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</si>
  <si>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</si>
  <si>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</si>
  <si>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</si>
  <si>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</si>
  <si>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</si>
  <si>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</si>
  <si>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</si>
  <si>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</si>
  <si>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</si>
  <si>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</si>
  <si>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</si>
  <si>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</si>
  <si>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</si>
  <si>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</si>
  <si>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</si>
  <si>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</si>
  <si>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</si>
  <si>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</si>
  <si>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</si>
  <si>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</si>
  <si>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</si>
  <si>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</si>
  <si>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</si>
  <si>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</si>
  <si>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</si>
  <si>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</si>
  <si>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</si>
  <si>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</si>
  <si>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</si>
  <si>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</si>
  <si>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</si>
  <si>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</si>
  <si>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</si>
  <si>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</si>
  <si>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</si>
  <si>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</si>
  <si>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</si>
  <si>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</si>
  <si>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</si>
  <si>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</si>
  <si>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</si>
  <si>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</si>
  <si>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</si>
  <si>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</si>
  <si>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</si>
  <si>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</si>
  <si>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</si>
  <si>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</si>
  <si>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</si>
  <si>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</si>
  <si>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</si>
  <si>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</si>
  <si>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</si>
  <si>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</si>
  <si>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</si>
  <si>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</si>
  <si>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</si>
  <si>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</si>
  <si>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</si>
  <si>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</si>
  <si>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</si>
  <si>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</si>
  <si>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</si>
  <si>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</si>
  <si>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</si>
  <si>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</si>
  <si>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</si>
  <si>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</si>
  <si>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</si>
  <si>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</si>
  <si>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</si>
  <si>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</si>
  <si>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</si>
  <si>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</si>
  <si>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</si>
  <si>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</si>
  <si>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</si>
  <si>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</si>
  <si>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</si>
  <si>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</si>
  <si>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</si>
  <si>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</si>
  <si>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</si>
  <si>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</si>
  <si>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</si>
  <si>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</si>
  <si>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</si>
  <si>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</si>
  <si>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</si>
  <si>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</si>
  <si>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</si>
  <si>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</si>
  <si>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</si>
  <si>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</si>
  <si>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</si>
  <si>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</si>
  <si>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</si>
  <si>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</si>
  <si>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</si>
  <si>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</si>
  <si>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</si>
  <si>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</si>
  <si>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</si>
  <si>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</si>
  <si>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</si>
  <si>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</si>
  <si>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</si>
  <si>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</si>
  <si>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</si>
  <si>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</si>
  <si>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</si>
  <si>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</si>
  <si>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</si>
  <si>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</si>
  <si>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</si>
  <si>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</si>
  <si>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</si>
  <si>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</si>
  <si>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</si>
  <si>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</si>
  <si>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</si>
  <si>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</si>
  <si>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</si>
  <si>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</si>
  <si>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</si>
  <si>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</si>
  <si>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</si>
  <si>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</si>
  <si>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</si>
  <si>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</si>
  <si>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</si>
  <si>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</si>
  <si>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</si>
  <si>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</si>
  <si>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</si>
  <si>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</si>
  <si>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</si>
  <si>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</si>
  <si>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</si>
  <si>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</si>
  <si>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</si>
  <si>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</si>
  <si>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</si>
  <si>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</si>
  <si>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</si>
  <si>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</si>
  <si>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</si>
  <si>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</si>
  <si>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</si>
  <si>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</si>
  <si>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</si>
  <si>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</si>
  <si>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</si>
  <si>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</si>
  <si>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</si>
  <si>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</si>
  <si>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</si>
  <si>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</si>
  <si>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</si>
  <si>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</si>
  <si>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</si>
  <si>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</si>
  <si>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</si>
  <si>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</si>
  <si>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</si>
  <si>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</si>
  <si>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</si>
  <si>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</si>
  <si>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</si>
  <si>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</si>
  <si>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</si>
  <si>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</si>
  <si>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</si>
  <si>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</si>
  <si>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</si>
  <si>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</si>
  <si>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</si>
  <si>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</si>
  <si>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</si>
  <si>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</si>
  <si>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</si>
  <si>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</si>
  <si>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</si>
  <si>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</si>
  <si>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</si>
  <si>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</si>
  <si>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</si>
  <si>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</si>
  <si>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</si>
  <si>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</si>
  <si>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</si>
  <si>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</si>
  <si>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</si>
  <si>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</si>
  <si>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</si>
  <si>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</si>
  <si>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</si>
  <si>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</si>
  <si>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</si>
  <si>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</si>
  <si>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</si>
  <si>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</si>
  <si>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</si>
  <si>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</si>
  <si>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</si>
  <si>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</si>
  <si>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</si>
  <si>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</si>
  <si>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</si>
  <si>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</si>
  <si>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</si>
  <si>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</si>
  <si>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</si>
  <si>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</si>
  <si>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</si>
  <si>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</si>
  <si>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</si>
  <si>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</si>
  <si>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</si>
  <si>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</si>
  <si>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</si>
  <si>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</si>
  <si>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</si>
  <si>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</si>
  <si>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</si>
  <si>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</si>
  <si>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</si>
  <si>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</si>
  <si>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</si>
  <si>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</si>
  <si>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</si>
  <si>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</si>
  <si>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</si>
  <si>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</si>
  <si>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</si>
  <si>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</si>
  <si>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</si>
  <si>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</si>
  <si>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</si>
  <si>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</si>
  <si>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</si>
  <si>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</si>
  <si>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</si>
  <si>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</si>
  <si>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</si>
  <si>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</si>
  <si>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</si>
  <si>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</si>
  <si>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</si>
  <si>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</si>
  <si>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</si>
  <si>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</si>
  <si>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</si>
  <si>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</si>
  <si>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</si>
  <si>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</si>
  <si>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</si>
  <si>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</si>
  <si>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</si>
  <si>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</si>
  <si>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</si>
  <si>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</si>
  <si>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</si>
  <si>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</si>
  <si>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</si>
  <si>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</si>
  <si>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</si>
  <si>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</si>
  <si>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</si>
  <si>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</si>
  <si>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</si>
  <si>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</si>
  <si>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</si>
  <si>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</si>
  <si>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</si>
  <si>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</si>
  <si>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</si>
  <si>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</si>
  <si>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</si>
  <si>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</si>
  <si>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</si>
  <si>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</si>
  <si>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</si>
  <si>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</si>
  <si>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</si>
  <si>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</si>
  <si>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</si>
  <si>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</si>
  <si>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</si>
  <si>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</si>
  <si>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</si>
  <si>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</si>
  <si>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</si>
  <si>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</si>
  <si>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</si>
  <si>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</si>
  <si>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</si>
  <si>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</si>
  <si>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</si>
  <si>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</si>
  <si>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</si>
  <si>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</si>
  <si>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</si>
  <si>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</si>
  <si>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</si>
  <si>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</si>
  <si>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</si>
  <si>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</si>
  <si>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</si>
  <si>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</si>
  <si>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</si>
  <si>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</si>
  <si>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</si>
  <si>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</si>
  <si>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</si>
  <si>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</si>
  <si>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</si>
  <si>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</si>
  <si>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</si>
  <si>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</si>
  <si>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</si>
  <si>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</si>
  <si>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</si>
  <si>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</si>
  <si>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</si>
  <si>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</si>
  <si>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</si>
  <si>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</si>
  <si>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</si>
  <si>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</si>
  <si>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</si>
  <si>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</si>
  <si>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</si>
  <si>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</si>
  <si>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</si>
  <si>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</si>
  <si>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</si>
  <si>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</si>
  <si>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</si>
  <si>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</si>
  <si>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</si>
  <si>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</si>
  <si>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</si>
  <si>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</si>
  <si>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</si>
  <si>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</si>
  <si>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</si>
  <si>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</si>
  <si>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</si>
  <si>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</si>
  <si>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</si>
  <si>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</si>
  <si>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</si>
  <si>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</si>
  <si>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</si>
  <si>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</si>
  <si>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</si>
  <si>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</si>
  <si>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</si>
  <si>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</si>
  <si>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</si>
  <si>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</si>
  <si>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</si>
  <si>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</si>
  <si>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</si>
  <si>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</si>
  <si>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</si>
  <si>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</si>
  <si>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</si>
  <si>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</si>
  <si>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</si>
  <si>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</si>
  <si>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</si>
  <si>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</si>
  <si>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</si>
  <si>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</si>
  <si>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</si>
  <si>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</si>
  <si>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</si>
  <si>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</si>
  <si>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</si>
  <si>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</si>
  <si>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</si>
  <si>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</si>
  <si>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</si>
  <si>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</si>
  <si>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</si>
  <si>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</si>
  <si>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</si>
  <si>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</si>
  <si>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</si>
  <si>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</si>
  <si>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</si>
  <si>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</si>
  <si>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</si>
  <si>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</si>
  <si>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</si>
  <si>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</si>
  <si>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</si>
  <si>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</si>
  <si>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</si>
  <si>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</si>
  <si>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</si>
  <si>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</si>
  <si>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</si>
  <si>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</si>
  <si>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</si>
  <si>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</si>
  <si>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</si>
  <si>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</si>
  <si>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</si>
  <si>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</si>
  <si>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</si>
  <si>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</si>
  <si>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</si>
  <si>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</si>
  <si>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</si>
  <si>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</si>
  <si>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</si>
  <si>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</si>
  <si>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</si>
  <si>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</si>
  <si>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</si>
  <si>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</si>
  <si>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</si>
  <si>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</si>
  <si>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</si>
  <si>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</si>
  <si>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</si>
  <si>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</si>
  <si>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</si>
  <si>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</si>
  <si>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</si>
  <si>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</si>
  <si>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</si>
  <si>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</si>
  <si>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</si>
  <si>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</si>
  <si>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</si>
  <si>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</si>
  <si>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</si>
  <si>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</si>
  <si>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</si>
  <si>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</si>
  <si>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</si>
  <si>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</si>
  <si>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</si>
  <si>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</si>
  <si>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</si>
  <si>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</si>
  <si>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</si>
  <si>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</si>
  <si>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</si>
  <si>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</si>
  <si>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</si>
  <si>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</si>
  <si>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</si>
  <si>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</si>
  <si>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</si>
  <si>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</si>
  <si>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</si>
  <si>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</si>
  <si>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</si>
  <si>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</si>
  <si>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</si>
  <si>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</si>
  <si>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</si>
  <si>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</si>
  <si>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</si>
  <si>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</si>
  <si>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</si>
  <si>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</si>
  <si>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</si>
  <si>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</si>
  <si>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</si>
  <si>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</si>
  <si>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</si>
  <si>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</si>
  <si>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</si>
  <si>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</si>
  <si>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</si>
  <si>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</si>
  <si>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</si>
  <si>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</si>
  <si>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</si>
  <si>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</si>
  <si>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</si>
  <si>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</si>
  <si>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</si>
  <si>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</si>
  <si>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</si>
  <si>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</si>
  <si>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</si>
  <si>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</si>
  <si>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</si>
  <si>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</si>
  <si>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</si>
  <si>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</si>
  <si>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</si>
  <si>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</si>
  <si>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</si>
  <si>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</si>
  <si>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</si>
  <si>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</si>
  <si>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</si>
  <si>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</si>
  <si>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</si>
  <si>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</si>
  <si>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</si>
  <si>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</si>
  <si>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</si>
  <si>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</si>
  <si>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</si>
  <si>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</si>
  <si>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</si>
  <si>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</si>
  <si>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</si>
  <si>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</si>
  <si>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</si>
  <si>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</si>
  <si>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</si>
  <si>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</si>
  <si>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</si>
  <si>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</si>
  <si>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</si>
  <si>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</si>
  <si>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</si>
  <si>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</si>
  <si>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</si>
  <si>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</si>
  <si>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</si>
  <si>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</si>
  <si>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</si>
  <si>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</si>
  <si>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</si>
  <si>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</si>
  <si>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</si>
  <si>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</si>
  <si>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</si>
  <si>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</si>
  <si>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</si>
  <si>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</si>
  <si>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</si>
  <si>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</si>
  <si>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</si>
  <si>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</si>
  <si>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</si>
  <si>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</si>
  <si>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</si>
  <si>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</si>
  <si>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</si>
  <si>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</si>
  <si>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</si>
  <si>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</si>
  <si>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</si>
  <si>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</si>
  <si>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</si>
  <si>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</si>
  <si>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</si>
  <si>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</si>
  <si>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</si>
  <si>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</si>
  <si>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</si>
  <si>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</si>
  <si>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</si>
  <si>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</si>
  <si>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</si>
  <si>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</si>
  <si>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</si>
  <si>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</si>
  <si>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</si>
  <si>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</si>
  <si>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</si>
  <si>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</si>
  <si>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</si>
  <si>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</si>
  <si>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</si>
  <si>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</si>
  <si>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</si>
  <si>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</si>
  <si>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</si>
  <si>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</si>
  <si>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</si>
  <si>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</si>
  <si>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</si>
  <si>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</si>
  <si>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</si>
  <si>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</si>
  <si>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</si>
  <si>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</si>
  <si>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</si>
  <si>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</si>
  <si>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</si>
  <si>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</si>
  <si>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</si>
  <si>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</si>
  <si>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</si>
  <si>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</si>
  <si>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</si>
  <si>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</si>
  <si>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</si>
  <si>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</si>
  <si>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</si>
  <si>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</si>
  <si>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</si>
  <si>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</si>
  <si>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</si>
  <si>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</si>
  <si>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</si>
  <si>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</si>
  <si>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</si>
  <si>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</si>
  <si>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</si>
  <si>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</si>
  <si>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</si>
  <si>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</si>
  <si>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</si>
  <si>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</si>
  <si>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</si>
  <si>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</si>
  <si>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</si>
  <si>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</si>
  <si>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</si>
  <si>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</si>
  <si>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</si>
  <si>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</si>
  <si>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</si>
  <si>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</si>
  <si>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</si>
  <si>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</si>
  <si>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</si>
  <si>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</si>
  <si>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</si>
  <si>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</si>
  <si>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</si>
  <si>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</si>
  <si>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</si>
  <si>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</si>
  <si>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</si>
  <si>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</si>
  <si>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</si>
  <si>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</si>
  <si>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</si>
  <si>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</si>
  <si>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</si>
  <si>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</si>
  <si>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</si>
  <si>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</si>
  <si>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</si>
  <si>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</si>
  <si>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</si>
  <si>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</si>
  <si>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</si>
  <si>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</si>
  <si>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</si>
  <si>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</si>
  <si>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</si>
  <si>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</si>
  <si>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</si>
  <si>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</si>
  <si>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</si>
  <si>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</si>
  <si>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</si>
  <si>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</si>
  <si>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</si>
  <si>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</si>
  <si>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</si>
  <si>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</si>
  <si>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</si>
  <si>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</si>
  <si>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</si>
  <si>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</si>
  <si>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</si>
  <si>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</si>
  <si>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</si>
  <si>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</si>
  <si>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</si>
  <si>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</si>
  <si>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</si>
  <si>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</si>
  <si>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</si>
  <si>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</si>
  <si>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</si>
  <si>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</si>
  <si>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</si>
  <si>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</si>
  <si>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</si>
  <si>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</si>
  <si>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</si>
  <si>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</si>
  <si>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</si>
  <si>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</si>
  <si>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</si>
  <si>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</si>
  <si>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</si>
  <si>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</si>
  <si>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</si>
  <si>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</si>
  <si>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</si>
  <si>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</si>
  <si>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</si>
  <si>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</si>
  <si>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</si>
  <si>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</si>
  <si>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</si>
  <si>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</si>
  <si>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</si>
  <si>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</si>
  <si>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</si>
  <si>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</si>
  <si>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</si>
  <si>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</si>
  <si>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</si>
  <si>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</si>
  <si>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</si>
  <si>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</si>
  <si>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</si>
  <si>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</si>
  <si>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</si>
  <si>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</si>
  <si>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</si>
  <si>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</si>
  <si>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</si>
  <si>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</si>
  <si>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</si>
  <si>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</si>
  <si>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</si>
  <si>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</si>
  <si>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</si>
  <si>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</si>
  <si>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</si>
  <si>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</si>
  <si>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</si>
  <si>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</si>
  <si>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</si>
  <si>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</si>
  <si>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</si>
  <si>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</si>
  <si>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</si>
  <si>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</si>
  <si>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</si>
  <si>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</si>
  <si>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</si>
  <si>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</si>
  <si>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</si>
  <si>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</si>
  <si>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</si>
  <si>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</si>
  <si>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</si>
  <si>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</si>
  <si>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</si>
  <si>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</si>
  <si>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</si>
  <si>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</si>
  <si>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</si>
  <si>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</si>
  <si>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</si>
  <si>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</si>
  <si>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</si>
  <si>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</si>
  <si>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</si>
  <si>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</si>
  <si>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</si>
  <si>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</si>
  <si>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</si>
  <si>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</si>
  <si>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</si>
  <si>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</si>
  <si>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</si>
  <si>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</si>
  <si>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</si>
  <si>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</si>
  <si>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</si>
  <si>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</si>
  <si>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</si>
  <si>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</si>
  <si>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</si>
  <si>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</si>
  <si>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</si>
  <si>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</si>
  <si>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</si>
  <si>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</si>
  <si>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</si>
  <si>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</si>
  <si>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</si>
  <si>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</si>
  <si>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</si>
  <si>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</si>
  <si>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</si>
  <si>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</si>
  <si>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</si>
  <si>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</si>
  <si>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</si>
  <si>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</si>
  <si>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</si>
  <si>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</si>
  <si>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</si>
  <si>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</si>
  <si>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</si>
  <si>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</si>
  <si>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</si>
  <si>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</si>
  <si>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</si>
  <si>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</si>
  <si>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</si>
  <si>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</si>
  <si>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</si>
  <si>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</si>
  <si>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</si>
  <si>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</si>
  <si>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</si>
  <si>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</si>
  <si>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</si>
  <si>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</si>
  <si>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</si>
  <si>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</si>
  <si>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</si>
  <si>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</si>
  <si>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</si>
  <si>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</si>
  <si>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</si>
  <si>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</si>
  <si>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</si>
  <si>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</si>
  <si>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</si>
  <si>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</si>
  <si>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</si>
  <si>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</si>
  <si>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</si>
  <si>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</si>
  <si>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</si>
  <si>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</si>
  <si>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</si>
  <si>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</si>
  <si>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</si>
  <si>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</si>
  <si>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</si>
  <si>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</si>
  <si>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</si>
  <si>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</si>
  <si>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</si>
  <si>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</si>
  <si>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</si>
  <si>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</si>
  <si>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</si>
  <si>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</si>
  <si>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</si>
  <si>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</si>
  <si>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</si>
  <si>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</si>
  <si>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</si>
  <si>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</si>
  <si>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</si>
  <si>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</si>
  <si>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</si>
  <si>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</si>
  <si>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</si>
  <si>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</si>
  <si>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</si>
  <si>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</si>
  <si>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</si>
  <si>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</si>
  <si>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</si>
  <si>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</si>
  <si>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</si>
  <si>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</si>
  <si>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</si>
  <si>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</si>
  <si>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</si>
  <si>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</si>
  <si>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</si>
  <si>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</si>
  <si>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</si>
  <si>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</si>
  <si>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</si>
  <si>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</si>
  <si>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</si>
  <si>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</si>
  <si>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</si>
  <si>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</si>
  <si>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</si>
  <si>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</si>
  <si>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</si>
  <si>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</si>
  <si>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</si>
  <si>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</si>
  <si>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</si>
  <si>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</si>
  <si>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</si>
  <si>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</si>
  <si>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</si>
  <si>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</si>
  <si>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</si>
  <si>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</si>
  <si>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</si>
  <si>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</si>
  <si>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</si>
  <si>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</si>
  <si>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</si>
  <si>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</si>
  <si>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</si>
  <si>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</si>
  <si>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</si>
  <si>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</si>
  <si>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</si>
  <si>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</si>
  <si>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</si>
  <si>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</si>
  <si>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</si>
  <si>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</si>
  <si>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</si>
  <si>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</si>
  <si>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</si>
  <si>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</si>
  <si>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</si>
  <si>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</si>
  <si>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</si>
  <si>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</si>
  <si>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</si>
  <si>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</si>
  <si>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</si>
  <si>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</si>
  <si>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</si>
  <si>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</si>
  <si>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</si>
  <si>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</si>
  <si>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</si>
  <si>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</si>
  <si>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</si>
  <si>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</si>
  <si>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</si>
  <si>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</si>
  <si>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</si>
  <si>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</si>
  <si>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</si>
  <si>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</si>
  <si>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</si>
  <si>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</si>
  <si>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</si>
  <si>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</si>
  <si>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</si>
  <si>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</si>
  <si>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</si>
  <si>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</si>
  <si>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</si>
  <si>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</si>
  <si>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</si>
  <si>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</si>
  <si>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</si>
  <si>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</si>
  <si>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</si>
  <si>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</si>
  <si>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</si>
  <si>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</si>
  <si>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</si>
  <si>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</si>
  <si>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</si>
  <si>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</si>
  <si>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</si>
  <si>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</si>
  <si>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</si>
  <si>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</si>
  <si>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</si>
  <si>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</si>
  <si>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</si>
  <si>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</si>
  <si>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</si>
  <si>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</si>
  <si>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</si>
  <si>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</si>
  <si>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</si>
  <si>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</si>
  <si>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</si>
  <si>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</si>
  <si>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</si>
  <si>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</si>
  <si>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</si>
  <si>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</si>
  <si>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</si>
  <si>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</si>
  <si>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</si>
  <si>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</si>
  <si>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</si>
  <si>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</si>
  <si>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</si>
  <si>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</si>
  <si>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</si>
  <si>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</si>
  <si>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</si>
  <si>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</si>
  <si>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</si>
  <si>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</si>
  <si>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</si>
  <si>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</si>
  <si>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</si>
  <si>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</si>
  <si>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</si>
  <si>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</si>
  <si>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</si>
  <si>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</si>
  <si>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</si>
  <si>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</si>
  <si>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</si>
  <si>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</si>
  <si>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</si>
  <si>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</si>
  <si>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</si>
  <si>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</si>
  <si>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</si>
  <si>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</si>
  <si>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</si>
  <si>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</si>
  <si>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</si>
  <si>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</si>
  <si>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</si>
  <si>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</si>
  <si>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</si>
  <si>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</si>
  <si>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</si>
  <si>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</si>
  <si>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</si>
  <si>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</si>
  <si>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</si>
  <si>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</si>
  <si>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</si>
  <si>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</si>
  <si>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</si>
  <si>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</si>
  <si>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</si>
  <si>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</si>
  <si>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</si>
  <si>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</si>
  <si>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</si>
  <si>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</si>
  <si>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</si>
  <si>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</si>
  <si>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</si>
  <si>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</si>
  <si>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</si>
  <si>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</si>
  <si>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</si>
  <si>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</si>
  <si>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</si>
  <si>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</si>
  <si>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</si>
  <si>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</si>
  <si>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</si>
  <si>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</si>
  <si>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</si>
  <si>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</si>
  <si>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</si>
  <si>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</si>
  <si>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</si>
  <si>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</si>
  <si>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</si>
  <si>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</si>
  <si>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</si>
  <si>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</si>
  <si>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</si>
  <si>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</si>
  <si>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</si>
  <si>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</si>
  <si>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</si>
  <si>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</si>
  <si>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</si>
  <si>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</si>
  <si>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</si>
  <si>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</si>
  <si>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</si>
  <si>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</si>
  <si>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</si>
  <si>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</si>
  <si>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</si>
  <si>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</si>
  <si>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</si>
  <si>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</si>
  <si>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</si>
  <si>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</si>
  <si>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</si>
  <si>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</si>
  <si>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</si>
  <si>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</si>
  <si>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</si>
  <si>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</si>
  <si>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</si>
  <si>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</si>
  <si>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</si>
  <si>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</si>
  <si>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</si>
  <si>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</si>
  <si>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</si>
  <si>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</si>
  <si>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</si>
  <si>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</si>
  <si>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</si>
  <si>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</si>
  <si>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</si>
  <si>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</si>
  <si>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</si>
  <si>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</si>
  <si>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</si>
  <si>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</si>
  <si>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</si>
  <si>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</si>
  <si>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</si>
  <si>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</si>
  <si>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</si>
  <si>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</si>
  <si>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</si>
  <si>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</si>
  <si>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</si>
  <si>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</si>
  <si>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</si>
  <si>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</si>
  <si>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</si>
  <si>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</si>
  <si>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</si>
  <si>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</si>
  <si>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</si>
  <si>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</si>
  <si>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</si>
  <si>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</si>
  <si>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</si>
  <si>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</si>
  <si>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</si>
  <si>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</si>
  <si>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王鹏</t>
  </si>
  <si>
    <t>崔锴</t>
  </si>
  <si>
    <t>大业信托</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</si>
  <si>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</si>
  <si>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</si>
  <si>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</si>
  <si>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</si>
  <si>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</si>
  <si>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</si>
  <si>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</si>
  <si>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</si>
  <si>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</si>
  <si>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</si>
  <si>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</si>
  <si>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</si>
  <si>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</si>
  <si>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</si>
  <si>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</si>
  <si>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</si>
  <si>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</si>
  <si>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</si>
  <si>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</si>
  <si>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</si>
  <si>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</si>
  <si>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地上</t>
  </si>
  <si>
    <t>住宅</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</si>
  <si>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</si>
  <si>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</si>
  <si>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</si>
  <si>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</si>
  <si>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</si>
  <si>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</si>
  <si>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</si>
  <si>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</si>
  <si>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</si>
  <si>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</si>
  <si>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</si>
  <si>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</si>
  <si>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</si>
  <si>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</si>
  <si>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</si>
  <si>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</si>
  <si>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</si>
  <si>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</si>
  <si>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</si>
  <si>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</si>
  <si>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</si>
  <si>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</si>
  <si>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</si>
  <si>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</si>
  <si>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</si>
  <si>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</si>
  <si>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</si>
  <si>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</si>
  <si>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</si>
  <si>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</si>
  <si>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</si>
  <si>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</si>
  <si>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</si>
  <si>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</si>
  <si>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</si>
  <si>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</si>
  <si>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</si>
  <si>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</si>
  <si>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</si>
  <si>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商业繁华度</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</si>
  <si>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</si>
  <si>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</si>
  <si>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</si>
  <si>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</si>
  <si>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</si>
  <si>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</si>
  <si>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</si>
  <si>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</si>
  <si>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</si>
  <si>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</si>
  <si>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</si>
  <si>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</si>
  <si>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</si>
  <si>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</si>
  <si>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</si>
  <si>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</si>
  <si>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</si>
  <si>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</si>
  <si>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</si>
  <si>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</si>
  <si>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</si>
  <si>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</si>
  <si>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</si>
  <si>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</si>
  <si>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</si>
  <si>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</si>
  <si>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</si>
  <si>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</si>
  <si>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</si>
  <si>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</si>
  <si>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</si>
  <si>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</si>
  <si>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</si>
  <si>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</si>
  <si>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</si>
  <si>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</si>
  <si>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</si>
  <si>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</si>
  <si>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</si>
  <si>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</si>
  <si>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</si>
  <si>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</si>
  <si>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</si>
  <si>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</si>
  <si>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</si>
  <si>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</si>
  <si>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</si>
  <si>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</si>
  <si>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</si>
  <si>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</si>
  <si>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</si>
  <si>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</si>
  <si>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</si>
  <si>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</si>
  <si>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</si>
  <si>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</si>
  <si>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</si>
  <si>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</si>
  <si>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</si>
  <si>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</si>
  <si>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</si>
  <si>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</si>
  <si>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t>商业用房</t>
  </si>
  <si>
    <t>商业用房</t>
    <phoneticPr fontId="16" type="noConversion"/>
  </si>
  <si>
    <t>湖南兴汝城房地产开发有限公司</t>
  </si>
  <si>
    <t>兴汝金城项目存货明细表</t>
  </si>
  <si>
    <t>序号</t>
  </si>
  <si>
    <t>项目</t>
  </si>
  <si>
    <t>业态</t>
  </si>
  <si>
    <t>期次</t>
  </si>
  <si>
    <t>楼栋</t>
  </si>
  <si>
    <t>房号</t>
  </si>
  <si>
    <t>面积</t>
  </si>
  <si>
    <t>兴汝金城</t>
  </si>
  <si>
    <t>二期</t>
  </si>
  <si>
    <t>13#</t>
    <phoneticPr fontId="3" type="noConversion"/>
  </si>
  <si>
    <t>14#</t>
    <phoneticPr fontId="3" type="noConversion"/>
  </si>
  <si>
    <t>估价对象周边居住用地比例较高、居住小区规模和社区发展完善程度较好，周边1公里内有碧水春城等住宅项目，综合评价居住社区成熟度较好</t>
  </si>
  <si>
    <t>城市次干道——新姚南路</t>
  </si>
  <si>
    <t>按租金收入计税</t>
  </si>
  <si>
    <t>收益法</t>
  </si>
  <si>
    <t>收益法</t>
    <phoneticPr fontId="16" type="noConversion"/>
  </si>
  <si>
    <t>在建（套用方法）</t>
  </si>
  <si>
    <t>押一</t>
  </si>
  <si>
    <t>非生产用房</t>
  </si>
  <si>
    <r>
      <t>1</t>
    </r>
    <r>
      <rPr>
        <sz val="11"/>
        <color theme="1"/>
        <rFont val="宋体"/>
        <family val="3"/>
        <charset val="134"/>
        <scheme val="minor"/>
      </rPr>
      <t>3#</t>
    </r>
    <phoneticPr fontId="142" type="noConversion"/>
  </si>
  <si>
    <t>分摊土地面积</t>
    <phoneticPr fontId="142" type="noConversion"/>
  </si>
  <si>
    <t>建筑面积</t>
    <phoneticPr fontId="142" type="noConversion"/>
  </si>
  <si>
    <t>12#、14#</t>
    <phoneticPr fontId="142" type="noConversion"/>
  </si>
  <si>
    <t>抵押面积</t>
    <phoneticPr fontId="142" type="noConversion"/>
  </si>
  <si>
    <t>抵押面积分摊土地面积</t>
    <phoneticPr fontId="142" type="noConversion"/>
  </si>
  <si>
    <t>未包含在土地购买价格中</t>
  </si>
  <si>
    <t>商业</t>
    <phoneticPr fontId="31" type="noConversion"/>
  </si>
  <si>
    <t>住宅、商业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</si>
</sst>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
      <sz val="9"/>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99" fillId="0" borderId="0" xfId="0" applyFont="1" applyFill="1" applyAlignment="1">
      <alignment horizontal="center" vertical="center"/>
    </xf>
    <xf numFmtId="0" fontId="118" fillId="0" borderId="60" xfId="0" applyFont="1" applyFill="1" applyBorder="1" applyAlignment="1">
      <alignment horizontal="left" vertical="center"/>
    </xf>
    <xf numFmtId="0" fontId="11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12"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98" fillId="0" borderId="0" xfId="0" applyFont="1" applyAlignment="1">
      <alignment horizontal="left" vertical="center"/>
    </xf>
    <xf numFmtId="0" fontId="0" fillId="0" borderId="0" xfId="0" applyAlignment="1">
      <alignment horizontal="left" vertical="center"/>
    </xf>
    <xf numFmtId="0" fontId="255" fillId="7" borderId="1" xfId="0" applyFont="1" applyFill="1" applyBorder="1" applyAlignment="1">
      <alignment horizontal="center" vertical="center"/>
    </xf>
    <xf numFmtId="0" fontId="255" fillId="0" borderId="1" xfId="0" applyFont="1" applyFill="1" applyBorder="1" applyAlignment="1">
      <alignment horizontal="center"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Fill="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兴汝城房地产开发有限公司所有。根据《国土证》，估价对象（分摊）出让国有建设用地使用权面积为544.62平方米，建筑面积为2021.11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兴汝城房地产开发有限公司开发建设的居住项目，该项目尚在开发建设中。根据《国土证》，估价对象（分摊）出让国有建设用地使用权面积为544.62平方米，规划建筑面积为2021.11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2124</v>
      </c>
    </row>
    <row r="21" spans="1:2" s="1595" customFormat="1">
      <c r="A21" s="1593" t="s">
        <v>1231</v>
      </c>
      <c r="B21" s="1594">
        <f ca="1">'预评函-2'!D7</f>
        <v>10509</v>
      </c>
    </row>
    <row r="22" spans="1:2" s="1595" customFormat="1">
      <c r="A22" s="1593" t="s">
        <v>1232</v>
      </c>
      <c r="B22" s="1594" t="str">
        <f ca="1">'预评函-2'!D6</f>
        <v>贰仟壹佰贰拾肆万元整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2124</v>
      </c>
    </row>
    <row r="31" spans="1:2" s="1595" customFormat="1">
      <c r="A31" s="1593" t="s">
        <v>1270</v>
      </c>
      <c r="B31" s="1594">
        <f ca="1">'预评函-2'!D15</f>
        <v>10509</v>
      </c>
    </row>
    <row r="32" spans="1:2" s="1595" customFormat="1">
      <c r="A32" s="1593" t="s">
        <v>1237</v>
      </c>
      <c r="B32" s="1594" t="str">
        <f ca="1">'预评函-2'!D14</f>
        <v>贰仟壹佰贰拾肆万元整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2021.11</v>
      </c>
    </row>
    <row r="44" spans="1:2" s="1595" customFormat="1">
      <c r="A44" s="1593" t="s">
        <v>1269</v>
      </c>
      <c r="B44" s="1594" t="str">
        <f>'预评函-3'!C2</f>
        <v>(分摊)土地面积</v>
      </c>
    </row>
    <row r="45" spans="1:2" s="1595" customFormat="1">
      <c r="A45" s="1593" t="s">
        <v>1241</v>
      </c>
      <c r="B45" s="1594">
        <f>'预评函-3'!C4</f>
        <v>544.62</v>
      </c>
    </row>
    <row r="46" spans="1:2" s="1595" customFormat="1">
      <c r="A46" s="1593" t="s">
        <v>1267</v>
      </c>
      <c r="B46" s="1594" t="str">
        <f>'预评函-3'!D2</f>
        <v>出让国有建设用地使用权价值</v>
      </c>
    </row>
    <row r="47" spans="1:2" s="1595" customFormat="1">
      <c r="A47" s="1593" t="s">
        <v>1242</v>
      </c>
      <c r="B47" s="1594">
        <f ca="1">'预评函-3'!D4</f>
        <v>1582</v>
      </c>
    </row>
    <row r="48" spans="1:2" s="1595" customFormat="1">
      <c r="A48" s="1593" t="s">
        <v>1243</v>
      </c>
      <c r="B48" s="1594">
        <f ca="1">'预评函-3'!E4</f>
        <v>7827</v>
      </c>
    </row>
    <row r="49" spans="1:2" s="1595" customFormat="1">
      <c r="A49" s="1593" t="s">
        <v>1244</v>
      </c>
      <c r="B49" s="1594" t="str">
        <f ca="1">'预评函-3'!D5</f>
        <v>壹仟伍佰捌拾贰万元整</v>
      </c>
    </row>
    <row r="50" spans="1:2" s="1595" customFormat="1">
      <c r="A50" s="1593" t="s">
        <v>1268</v>
      </c>
      <c r="B50" s="1594" t="str">
        <f>'预评函-3'!F2</f>
        <v>在建建筑物价值</v>
      </c>
    </row>
    <row r="51" spans="1:2" s="1595" customFormat="1">
      <c r="A51" s="1593" t="s">
        <v>1245</v>
      </c>
      <c r="B51" s="1594">
        <f ca="1">'预评函-3'!F4</f>
        <v>542</v>
      </c>
    </row>
    <row r="52" spans="1:2" s="1595" customFormat="1">
      <c r="A52" s="1593" t="s">
        <v>1246</v>
      </c>
      <c r="B52" s="1594">
        <f ca="1">'预评函-3'!G4</f>
        <v>2682</v>
      </c>
    </row>
    <row r="53" spans="1:2" s="1595" customFormat="1">
      <c r="A53" s="1593" t="s">
        <v>1274</v>
      </c>
      <c r="B53" s="1594" t="str">
        <f ca="1">'预评函-3'!F5</f>
        <v>伍佰肆拾贰万元整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3131</v>
      </c>
      <c r="B3" s="2019" t="s">
        <v>3149</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1"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4" t="s">
        <v>863</v>
      </c>
      <c r="C54" s="2021" t="s">
        <v>1277</v>
      </c>
    </row>
    <row r="55" spans="1:4">
      <c r="A55" s="3011"/>
      <c r="B55" s="2024" t="s">
        <v>864</v>
      </c>
      <c r="C55" s="2021" t="s">
        <v>1278</v>
      </c>
    </row>
    <row r="56" spans="1:4">
      <c r="A56" s="3011"/>
      <c r="B56" s="2024" t="s">
        <v>865</v>
      </c>
      <c r="C56" s="2021" t="s">
        <v>1282</v>
      </c>
    </row>
    <row r="57" spans="1:4">
      <c r="A57" s="3011"/>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6" sqref="G26"/>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12"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3002</v>
      </c>
      <c r="C4" s="1040">
        <f ca="1">SUMIF(注册房地产估价师,B4,估价师及机构信息!B3:B24)</f>
        <v>1120050019</v>
      </c>
      <c r="D4" s="2041" t="s">
        <v>3003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3004</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3004</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3132</v>
      </c>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15" t="s">
        <v>1748</v>
      </c>
      <c r="E8" s="2059" t="s">
        <v>3007</v>
      </c>
      <c r="F8" s="2060"/>
      <c r="G8" s="2028"/>
      <c r="H8" s="2028"/>
      <c r="I8" s="2028"/>
      <c r="J8" s="2044"/>
      <c r="K8" s="2045"/>
      <c r="L8" s="2030"/>
      <c r="M8" s="2030"/>
      <c r="N8" s="2031"/>
      <c r="O8" s="2032"/>
      <c r="P8" s="2031"/>
      <c r="Q8" s="2031"/>
      <c r="R8" s="2031"/>
    </row>
    <row r="9" spans="1:19" ht="18" customHeight="1" thickBot="1">
      <c r="A9" s="2042" t="s">
        <v>1749</v>
      </c>
      <c r="B9" s="2061" t="s">
        <v>3006</v>
      </c>
      <c r="C9" s="2062"/>
      <c r="D9" s="3016"/>
      <c r="E9" s="2061"/>
      <c r="F9" s="2063"/>
      <c r="G9" s="2064"/>
      <c r="H9" s="2064"/>
      <c r="I9" s="2064"/>
      <c r="J9" s="2044"/>
      <c r="K9" s="2056"/>
      <c r="L9" s="2030"/>
      <c r="M9" s="2030"/>
      <c r="N9" s="2031"/>
      <c r="O9" s="2032"/>
      <c r="P9" s="2031"/>
      <c r="Q9" s="2031"/>
      <c r="R9" s="2031"/>
    </row>
    <row r="10" spans="1:19" ht="18" customHeight="1" thickTop="1">
      <c r="A10" s="2065" t="s">
        <v>1750</v>
      </c>
      <c r="B10" s="2066" t="s">
        <v>3008</v>
      </c>
      <c r="C10" s="2067" t="s">
        <v>3010</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3009</v>
      </c>
      <c r="C11" s="2074" t="s">
        <v>3132</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3011</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c r="E13" s="2082">
        <v>54050</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t="str">
        <f>IF(B12="出让",IF(D13="","",ROUNDDOWN(MIN((D13-$D$3)/365,D14),2)),D14)</f>
        <v/>
      </c>
      <c r="E15" s="1052">
        <f>IF(B12="出让",IF(E13="","",ROUNDDOWN(MIN((E13-$D$3)/365,E14),2)),E14)</f>
        <v>29.39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22"/>
      <c r="C16" s="3023"/>
      <c r="D16" s="3024"/>
      <c r="E16" s="2088" t="s">
        <v>1765</v>
      </c>
      <c r="F16" s="3025"/>
      <c r="G16" s="3026"/>
      <c r="H16" s="3026"/>
      <c r="I16" s="3027"/>
      <c r="J16" s="2031"/>
      <c r="K16" s="2085"/>
      <c r="L16" s="2086"/>
      <c r="M16" s="2086"/>
      <c r="N16" s="2087"/>
      <c r="O16" s="2086"/>
      <c r="P16" s="2087"/>
      <c r="Q16" s="2031"/>
      <c r="R16" s="2031"/>
    </row>
    <row r="17" spans="1:22" ht="18" customHeight="1">
      <c r="A17" s="2089" t="s">
        <v>1766</v>
      </c>
      <c r="B17" s="2037" t="s">
        <v>1767</v>
      </c>
      <c r="C17" s="1057">
        <f>'数据-汇总表'!E3</f>
        <v>2021.11</v>
      </c>
      <c r="D17" s="2090" t="s">
        <v>1768</v>
      </c>
      <c r="E17" s="3028" t="s">
        <v>3015</v>
      </c>
      <c r="F17" s="3029"/>
      <c r="G17" s="3029"/>
      <c r="H17" s="3029"/>
      <c r="I17" s="3030"/>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544.62</v>
      </c>
      <c r="D18" s="2093" t="s">
        <v>1768</v>
      </c>
      <c r="E18" s="3031" t="s">
        <v>3016</v>
      </c>
      <c r="F18" s="3032"/>
      <c r="G18" s="3032"/>
      <c r="H18" s="3032"/>
      <c r="I18" s="3033"/>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3013</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18" t="s">
        <v>1775</v>
      </c>
      <c r="C20" s="3019"/>
      <c r="D20" s="3020" t="s">
        <v>1776</v>
      </c>
      <c r="E20" s="3021"/>
      <c r="F20" s="2100" t="s">
        <v>1777</v>
      </c>
      <c r="G20" s="2044"/>
      <c r="H20" s="2044"/>
      <c r="I20" s="2044"/>
      <c r="J20" s="2044"/>
      <c r="K20" s="3017"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3014</v>
      </c>
      <c r="D21" s="2103" t="s">
        <v>1780</v>
      </c>
      <c r="E21" s="2104" t="s">
        <v>70</v>
      </c>
      <c r="F21" s="2105"/>
      <c r="G21" s="2044"/>
      <c r="H21" s="2044"/>
      <c r="I21" s="2044"/>
      <c r="J21" s="2044"/>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5" t="s">
        <v>1789</v>
      </c>
      <c r="B27" s="2065" t="s">
        <v>1790</v>
      </c>
      <c r="C27" s="2122" t="s">
        <v>3024</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5"/>
      <c r="B28" s="2037" t="s">
        <v>1791</v>
      </c>
      <c r="C28" s="2124" t="s">
        <v>3025</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5"/>
      <c r="B29" s="2037" t="s">
        <v>1792</v>
      </c>
      <c r="C29" s="2127" t="s">
        <v>3012</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6"/>
      <c r="B30" s="2037" t="s">
        <v>1793</v>
      </c>
      <c r="C30" s="3037"/>
      <c r="D30" s="303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9" t="s">
        <v>1794</v>
      </c>
      <c r="B31" s="2129" t="s">
        <v>3023</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3017</v>
      </c>
      <c r="C34" s="2136" t="s">
        <v>3018</v>
      </c>
      <c r="D34" s="2136" t="s">
        <v>3019</v>
      </c>
      <c r="E34" s="2136" t="s">
        <v>3020</v>
      </c>
      <c r="F34" s="2136" t="s">
        <v>3021</v>
      </c>
      <c r="G34" s="2136" t="s">
        <v>3022</v>
      </c>
      <c r="H34" s="2136"/>
      <c r="I34" s="2044"/>
      <c r="J34" s="2044"/>
      <c r="K34" s="1797">
        <f>COUNTIF(B34:H34,"——")</f>
        <v>0</v>
      </c>
      <c r="L34" s="2077" t="s">
        <v>1796</v>
      </c>
      <c r="M34" s="2077" t="s">
        <v>1797</v>
      </c>
      <c r="N34" s="2077" t="s">
        <v>1798</v>
      </c>
      <c r="O34" s="2077" t="s">
        <v>1799</v>
      </c>
      <c r="P34" s="2077" t="s">
        <v>1800</v>
      </c>
      <c r="Q34" s="2077" t="s">
        <v>1801</v>
      </c>
      <c r="R34" s="2077" t="s">
        <v>1802</v>
      </c>
      <c r="S34" s="3034" t="s">
        <v>1803</v>
      </c>
      <c r="T34" s="2137" t="str">
        <f>NUMBERSTRING(7-K34,1)&amp;"通"</f>
        <v>七通</v>
      </c>
      <c r="U34" s="2031"/>
      <c r="V34" s="2031"/>
    </row>
    <row r="35" spans="1:22" ht="18" customHeight="1">
      <c r="A35" s="2138"/>
      <c r="B35" s="3041" t="s">
        <v>1804</v>
      </c>
      <c r="C35" s="3041"/>
      <c r="D35" s="3041"/>
      <c r="E35" s="3041"/>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34"/>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土地面积!I6+土地面积!I12</f>
        <v>544.62</v>
      </c>
      <c r="B3" s="14">
        <f>IF(C3="否",G5-AT5,G5)</f>
        <v>2021.11</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2021.11</v>
      </c>
      <c r="H5" s="16">
        <f t="shared" ref="H5:AT5" si="0">SUM(H13:H656)</f>
        <v>2021.11</v>
      </c>
      <c r="I5" s="16">
        <f t="shared" si="0"/>
        <v>2021.11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2021.11</v>
      </c>
      <c r="BA5" s="18">
        <f t="shared" si="1"/>
        <v>2021.11</v>
      </c>
      <c r="BB5" s="18">
        <f t="shared" si="1"/>
        <v>2021.11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1841</v>
      </c>
      <c r="B6" s="2177"/>
      <c r="C6" s="2177"/>
      <c r="D6" s="2178"/>
      <c r="E6" s="16">
        <f>H6+AC6+AT6</f>
        <v>544.62</v>
      </c>
      <c r="F6" s="16" t="s">
        <v>1</v>
      </c>
      <c r="G6" s="16" t="s">
        <v>2</v>
      </c>
      <c r="H6" s="20">
        <f>SUMIF(I$12:AB$12,"总值",I6:AB6)</f>
        <v>544.62</v>
      </c>
      <c r="I6" s="16">
        <f t="shared" ref="I6:AB6" si="2">ROUND($A$3*I5/$B$3,2)</f>
        <v>544.62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544.62</v>
      </c>
      <c r="AZ6" s="16" t="s">
        <v>3</v>
      </c>
      <c r="BA6" s="16">
        <f>ROUND($AY$6*BA5/$AZ$5,2)</f>
        <v>544.62</v>
      </c>
      <c r="BB6" s="16">
        <f>ROUND($AY$6*BB5/$AZ$5,2)</f>
        <v>544.62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3026</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1373</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3130</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商业用房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3143</v>
      </c>
      <c r="D13" s="2216" t="s">
        <v>3013</v>
      </c>
      <c r="E13" s="16">
        <f>IF($C$3="是",ROUND($A$3*G13/$B$3,2),ROUND($A$3*(G13-AT13)/$B$3,2))</f>
        <v>393.99</v>
      </c>
      <c r="F13" s="32"/>
      <c r="G13" s="33">
        <f>H13+AC13+AT13</f>
        <v>1462.11</v>
      </c>
      <c r="H13" s="20">
        <f>SUMIF(I$12:AB$12,"总值",I13:AB13)</f>
        <v>1462.11</v>
      </c>
      <c r="I13" s="2217">
        <f>SUM(抵押清单!J6:J20)</f>
        <v>1462.11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13#</v>
      </c>
      <c r="AY13" s="1808">
        <f>ROUND($AY$6*AZ13/$AZ$5,2)</f>
        <v>393.99</v>
      </c>
      <c r="AZ13" s="16">
        <f>BA13+BL13</f>
        <v>1462.11</v>
      </c>
      <c r="BA13" s="16">
        <f>SUM(BB13:BK13)</f>
        <v>1462.11</v>
      </c>
      <c r="BB13" s="16">
        <f>IF($D13="是",I13-J13,0)</f>
        <v>1462.11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3144</v>
      </c>
      <c r="D14" s="2216" t="s">
        <v>3013</v>
      </c>
      <c r="E14" s="16">
        <f>IF($C$3="是",ROUND($A$3*G14/$B$3,2),ROUND($A$3*(G14-AT14)/$B$3,2))</f>
        <v>150.63</v>
      </c>
      <c r="F14" s="32"/>
      <c r="G14" s="33">
        <f>H14+AC14+AT14</f>
        <v>559</v>
      </c>
      <c r="H14" s="20">
        <f>SUMIF(I$12:AB$12,"总值",I14:AB14)</f>
        <v>559</v>
      </c>
      <c r="I14" s="2217">
        <f>SUM(抵押清单!J21:J27)</f>
        <v>559</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14#</v>
      </c>
      <c r="AY14" s="1808">
        <f>ROUND($AY$6*AZ14/$AZ$5,2)</f>
        <v>150.63</v>
      </c>
      <c r="AZ14" s="16">
        <f>BA14+BL14</f>
        <v>559</v>
      </c>
      <c r="BA14" s="16">
        <f>SUM(BB14:BK14)</f>
        <v>559</v>
      </c>
      <c r="BB14" s="16">
        <f>IF($D14="是",I14-J14,0)</f>
        <v>559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1275"/>
      <c r="D15" s="2216" t="s">
        <v>3013</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t="s">
        <v>3013</v>
      </c>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053" t="s">
        <v>1900</v>
      </c>
      <c r="B2" s="3053"/>
      <c r="C2" s="3053"/>
      <c r="D2" s="970" t="s">
        <v>1876</v>
      </c>
      <c r="E2" s="2230" t="s">
        <v>1877</v>
      </c>
      <c r="F2" s="1395"/>
      <c r="G2" s="2231"/>
      <c r="H2" s="2232"/>
      <c r="I2" s="2233" t="s">
        <v>1901</v>
      </c>
      <c r="J2" s="1395"/>
      <c r="K2" s="1395"/>
      <c r="L2" s="1395"/>
      <c r="M2" s="1395"/>
      <c r="N2" s="1430"/>
      <c r="O2" s="1395"/>
      <c r="P2" s="1395"/>
    </row>
    <row r="3" spans="1:16" ht="15.75" thickBot="1">
      <c r="A3" s="3054" t="s">
        <v>1874</v>
      </c>
      <c r="B3" s="3054"/>
      <c r="C3" s="3054"/>
      <c r="D3" s="46">
        <f>'数据-基础表'!AY6</f>
        <v>544.62</v>
      </c>
      <c r="E3" s="46">
        <f>'数据-基础表'!AZ5</f>
        <v>2021.11</v>
      </c>
      <c r="F3" s="1395"/>
      <c r="G3" s="1402"/>
      <c r="H3" s="1250" t="s">
        <v>1875</v>
      </c>
      <c r="I3" s="55">
        <f>ROUND('数据-基础表'!B3/'数据-基础表'!A3,2)</f>
        <v>3.71</v>
      </c>
      <c r="J3" s="1395"/>
      <c r="K3" s="1395"/>
      <c r="L3" s="1395"/>
      <c r="M3" s="1395"/>
      <c r="N3" s="1430"/>
      <c r="O3" s="1395"/>
      <c r="P3" s="1395"/>
    </row>
    <row r="4" spans="1:16" ht="15">
      <c r="A4" s="3055"/>
      <c r="B4" s="3056"/>
      <c r="C4" s="3057"/>
      <c r="D4" s="2234" t="s">
        <v>1876</v>
      </c>
      <c r="E4" s="2235" t="s">
        <v>1877</v>
      </c>
      <c r="F4" s="1395"/>
      <c r="G4" s="2236" t="s">
        <v>1902</v>
      </c>
      <c r="H4" s="1250" t="s">
        <v>1882</v>
      </c>
      <c r="I4" s="55">
        <f>ROUND(SUMIF('数据-基础表'!I9:AS9,"地上",'数据-基础表'!I5:AS5)/'数据-基础表'!A3,2)</f>
        <v>3.71</v>
      </c>
      <c r="J4" s="1395"/>
      <c r="K4" s="1395"/>
      <c r="L4" s="1395"/>
      <c r="M4" s="1395"/>
      <c r="N4" s="1430"/>
      <c r="O4" s="1395"/>
      <c r="P4" s="1395"/>
    </row>
    <row r="5" spans="1:16">
      <c r="A5" s="47" t="s">
        <v>1878</v>
      </c>
      <c r="B5" s="3058" t="s">
        <v>1879</v>
      </c>
      <c r="C5" s="3058"/>
      <c r="D5" s="48">
        <f>ROUND($D$3*E5/$E$3,2)</f>
        <v>0</v>
      </c>
      <c r="E5" s="49">
        <f>SUMIF('数据-基础表'!$11:$11,"住宅",'数据-基础表'!$5:$5)</f>
        <v>0</v>
      </c>
      <c r="F5" s="1395"/>
      <c r="G5" s="1402"/>
      <c r="H5" s="1250" t="s">
        <v>1875</v>
      </c>
      <c r="I5" s="55">
        <f>ROUND(E31/D31,2)</f>
        <v>3.71</v>
      </c>
      <c r="J5" s="1395"/>
      <c r="K5" s="1395"/>
      <c r="L5" s="1395"/>
      <c r="M5" s="1395"/>
      <c r="N5" s="1395"/>
      <c r="O5" s="1395"/>
      <c r="P5" s="1395"/>
    </row>
    <row r="6" spans="1:16" ht="15" thickBot="1">
      <c r="A6" s="2237"/>
      <c r="B6" s="3058" t="s">
        <v>1880</v>
      </c>
      <c r="C6" s="3058"/>
      <c r="D6" s="48">
        <f>ROUND($D$3*E6/$E$3,2)</f>
        <v>544.62</v>
      </c>
      <c r="E6" s="49">
        <f>E3-E5</f>
        <v>2021.11</v>
      </c>
      <c r="F6" s="1395"/>
      <c r="G6" s="2238" t="s">
        <v>1881</v>
      </c>
      <c r="H6" s="1402" t="s">
        <v>1882</v>
      </c>
      <c r="I6" s="942">
        <f>ROUND(F31/D31,2)</f>
        <v>3.71</v>
      </c>
      <c r="J6" s="1395"/>
      <c r="K6" s="1395"/>
      <c r="L6" s="1395"/>
      <c r="M6" s="1395"/>
      <c r="N6" s="1395"/>
      <c r="O6" s="1395"/>
      <c r="P6" s="1395"/>
    </row>
    <row r="7" spans="1:16" ht="15">
      <c r="A7" s="3050"/>
      <c r="B7" s="3051"/>
      <c r="C7" s="3052"/>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544.62</v>
      </c>
      <c r="E8" s="51">
        <f>SUMIF('数据-基础表'!BB10:BK10,"地上",'数据-基础表'!BB5:BK5)</f>
        <v>2021.11</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544.62</v>
      </c>
      <c r="E16" s="53">
        <f>SUM(E8:E15)</f>
        <v>2021.11</v>
      </c>
      <c r="F16" s="1395"/>
      <c r="G16" s="2240"/>
      <c r="H16" s="2243" t="s">
        <v>1904</v>
      </c>
      <c r="I16" s="2244"/>
      <c r="J16" s="1395"/>
      <c r="K16" s="3047" t="s">
        <v>1904</v>
      </c>
      <c r="L16" s="3048"/>
      <c r="M16" s="3048"/>
      <c r="N16" s="3048"/>
      <c r="O16" s="3048"/>
      <c r="P16" s="3049"/>
    </row>
    <row r="17" spans="1:19" ht="15">
      <c r="A17" s="2245" t="s">
        <v>1905</v>
      </c>
      <c r="B17" s="2246" t="s">
        <v>1906</v>
      </c>
      <c r="C17" s="2247" t="s">
        <v>1907</v>
      </c>
      <c r="D17" s="2248" t="s">
        <v>1895</v>
      </c>
      <c r="E17" s="2249" t="s">
        <v>1896</v>
      </c>
      <c r="F17" s="2250"/>
      <c r="G17" s="2251"/>
      <c r="H17" s="2252" t="s">
        <v>1908</v>
      </c>
      <c r="I17" s="2253" t="s">
        <v>1893</v>
      </c>
      <c r="J17" s="1395"/>
      <c r="K17" s="3044" t="s">
        <v>1909</v>
      </c>
      <c r="L17" s="3045"/>
      <c r="M17" s="3046"/>
      <c r="N17" s="3044" t="s">
        <v>1910</v>
      </c>
      <c r="O17" s="3045"/>
      <c r="P17" s="3046"/>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商业用房</v>
      </c>
      <c r="D19" s="48">
        <f>ROUND($D$3*E19/$E$3,2)</f>
        <v>544.62</v>
      </c>
      <c r="E19" s="56">
        <f t="shared" ref="E19:E26" si="1">SUM(F19:G19)</f>
        <v>2021.11</v>
      </c>
      <c r="F19" s="57">
        <f>'数据-基础表'!I5-'数据-基础表'!J5</f>
        <v>2021.11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544.62</v>
      </c>
      <c r="S19" s="1251">
        <f t="shared" si="5"/>
        <v>2021.11</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544.62</v>
      </c>
      <c r="E27" s="1397">
        <f>IF(SUM(E19:E26)='数据-基础表'!BA5,SUM(E19:E26),IF(F27="地上面积有误","面积有误","地下面积有误"))</f>
        <v>2021.11</v>
      </c>
      <c r="F27" s="1396">
        <f>IF(SUM(F19:F26)=E8,SUM(F19:F26),"地上面积有误")</f>
        <v>2021.11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544.62</v>
      </c>
      <c r="S27" s="1250">
        <f>IF(SUM(S19:S26)=$E$3,SUM(S19:S26),SUM(S19:S26)&amp;"误差"&amp;ROUND(SUM(S19:S26)-E3,2))</f>
        <v>2021.11</v>
      </c>
    </row>
    <row r="28" spans="1:19">
      <c r="A28" s="2266"/>
      <c r="B28" s="50" t="s">
        <v>1924</v>
      </c>
      <c r="C28" s="1262" t="s">
        <v>1925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1927</v>
      </c>
      <c r="D31" s="729">
        <f>D27+D30</f>
        <v>544.62</v>
      </c>
      <c r="E31" s="729">
        <f>E27+E30</f>
        <v>2021.11</v>
      </c>
      <c r="F31" s="730">
        <f>F27+F30</f>
        <v>2021.11</v>
      </c>
      <c r="G31" s="731">
        <f>G27+G30</f>
        <v>0</v>
      </c>
      <c r="H31" s="1395"/>
      <c r="I31" s="1395"/>
      <c r="J31" s="1395"/>
      <c r="K31" s="1395"/>
      <c r="L31" s="1395"/>
      <c r="M31" s="1395"/>
      <c r="N31" s="1395"/>
      <c r="O31" s="1395"/>
      <c r="P31" s="1395"/>
    </row>
    <row r="32" spans="1:19">
      <c r="A32" s="2236"/>
      <c r="B32" s="2236" t="s">
        <v>1928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6" sqref="G1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商业用房</v>
      </c>
      <c r="B6" s="2310" t="str">
        <f>IF(A6=0,"","经营性")</f>
        <v>经营性</v>
      </c>
      <c r="C6" s="2311" t="s">
        <v>1373</v>
      </c>
      <c r="D6" s="1054">
        <f>SUMIF(项目基本情况!D$12:I$12,C6,项目基本情况!D$14:I$14)</f>
        <v>40</v>
      </c>
      <c r="E6" s="1051">
        <f>IF(B6="","",SUMIF(项目基本情况!D$12:I$12,C6,项目基本情况!D$13:I$13))</f>
        <v>54050</v>
      </c>
      <c r="F6" s="72">
        <f>SUMIF(项目基本情况!D$12:I$12,C6,项目基本情况!D$15:I$15)</f>
        <v>29.39</v>
      </c>
      <c r="G6" s="73">
        <f>IF(ISERROR(ROUND(POWER(1+H6,D6-F6)*(POWER(1+H6,F6)-1)/(POWER(1+H6,D6)-1),3)),0,ROUND(POWER(1+H6,D6-F6)*(POWER(1+H6,F6)-1)/(POWER(1+H6,D6)-1),3))</f>
        <v>0.88800000000000001</v>
      </c>
      <c r="H6" s="802">
        <v>0.05</v>
      </c>
      <c r="I6" s="802">
        <v>5.5E-2</v>
      </c>
      <c r="J6" s="74">
        <v>8.5000000000000006E-2</v>
      </c>
      <c r="K6" s="1254">
        <f>SUMIF('数据-汇总表'!C$19:C$33,A6,'数据-汇总表'!E$19:E$33)</f>
        <v>2021.11</v>
      </c>
      <c r="L6" s="803">
        <v>2500</v>
      </c>
      <c r="M6" s="75">
        <f t="shared" ref="M6:M14" si="0">ROUND(K6*L6/10000,0)</f>
        <v>505</v>
      </c>
      <c r="N6" s="801">
        <v>0.6</v>
      </c>
      <c r="O6" s="75">
        <f>IF($N$5="成新度","——",ROUND(M6*N6,0))</f>
        <v>303</v>
      </c>
      <c r="P6" s="76">
        <f>IF($N$5="成新度","——",M6-O6)</f>
        <v>202</v>
      </c>
      <c r="Q6" s="804">
        <v>0.2</v>
      </c>
      <c r="R6" s="77">
        <f ca="1">SUMIF('数据-汇总表'!C$19:C$33,A6,'数据-汇总表'!R$19:R$27)</f>
        <v>544.62</v>
      </c>
      <c r="S6" s="54">
        <f>IF('数据-汇总表'!$I$17="按面积比例",SUMIF('数据-汇总表'!C$19:C$33,A6,'数据-汇总表'!K$19:K$33),SUMIF('数据-汇总表'!C$19:C$33,A6,'数据-汇总表'!N$19:N$33))</f>
        <v>0</v>
      </c>
      <c r="T6" s="1446">
        <f>ROUND($L$14*S6/10000,0)</f>
        <v>0</v>
      </c>
      <c r="U6" s="78">
        <v>3.3</v>
      </c>
      <c r="V6" s="79">
        <v>0.03</v>
      </c>
      <c r="W6" s="79">
        <v>0.1</v>
      </c>
      <c r="X6" s="1264"/>
      <c r="Y6" s="80">
        <v>1</v>
      </c>
      <c r="Z6" s="81"/>
      <c r="AA6" s="74"/>
      <c r="AB6" s="74"/>
      <c r="AC6" s="1264"/>
      <c r="AD6" s="82"/>
      <c r="AE6" s="1265">
        <f ca="1">IF(AN6="",0,SUMIF(INDIRECT("'"&amp;AN6&amp;"'"&amp;"!E:E"),$AE$5,INDIRECT("'"&amp;AN6&amp;"'"&amp;"!F:F")))</f>
        <v>28.59</v>
      </c>
      <c r="AF6" s="1806"/>
      <c r="AG6" s="147">
        <f>IF(AF6="",0,AE6-AF6)</f>
        <v>0</v>
      </c>
      <c r="AH6" s="83"/>
      <c r="AI6" s="85">
        <v>365</v>
      </c>
      <c r="AJ6" s="86"/>
      <c r="AK6" s="87">
        <v>1.4999999999999999E-2</v>
      </c>
      <c r="AL6" s="88">
        <v>1.5E-3</v>
      </c>
      <c r="AM6" s="89">
        <v>0.01</v>
      </c>
      <c r="AN6" s="2312" t="s">
        <v>3148</v>
      </c>
      <c r="AO6" s="55">
        <f ca="1">SUMIF(INDIRECT("'"&amp;AN6&amp;"'"&amp;"!A:A"),"总价",INDIRECT("'"&amp;AN6&amp;"'"&amp;"!B:B"))</f>
        <v>3275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0.88800000000000001</v>
      </c>
      <c r="H16" s="99">
        <f>ROUND(SUMPRODUCT(H6:H13,K6:K13)/SUMPRODUCT((H6:H13&gt;0)*(K6:K13)),3)</f>
        <v>0.05</v>
      </c>
      <c r="I16" s="100"/>
      <c r="J16" s="100"/>
      <c r="K16" s="101">
        <f>SUM(K6:K15)</f>
        <v>2021.11</v>
      </c>
      <c r="L16" s="102">
        <f>ROUND(M16*10000/SUM(K6:K14),0)</f>
        <v>2499</v>
      </c>
      <c r="M16" s="102">
        <f>SUM(M6:M14)</f>
        <v>505</v>
      </c>
      <c r="N16" s="103">
        <f>ROUND(SUMPRODUCT(M6:M14,N6:N14)/M16,3)</f>
        <v>0.6</v>
      </c>
      <c r="O16" s="102">
        <f>SUM(O6:O14)</f>
        <v>303</v>
      </c>
      <c r="P16" s="102">
        <f>SUM(P6:P14)</f>
        <v>202</v>
      </c>
      <c r="Q16" s="104">
        <f>ROUND(SUMPRODUCT(Q6:Q13,K6:K13)/SUMPRODUCT((Q6:Q13&gt;0)*(K6:K13)),2)</f>
        <v>0.2</v>
      </c>
      <c r="R16" s="1258">
        <f ca="1">SUM(R6:R13)</f>
        <v>544.62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0.8</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f>ROUND(B28*K16/10000,0)</f>
        <v>32</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6" sqref="L6"/>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9" t="s">
        <v>2046</v>
      </c>
      <c r="B1" s="3060"/>
      <c r="C1" s="3060"/>
      <c r="D1" s="3060"/>
      <c r="E1" s="3060"/>
      <c r="F1" s="3060"/>
      <c r="G1" s="306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3145</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3028</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3029</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3074</v>
      </c>
      <c r="D7" s="2380"/>
      <c r="E7" s="2381"/>
      <c r="F7" s="2382" t="s">
        <v>2058</v>
      </c>
      <c r="G7" s="2383"/>
      <c r="H7" s="2371"/>
      <c r="I7" s="2371"/>
      <c r="J7" s="2371"/>
      <c r="K7" s="2371"/>
      <c r="L7" s="2371"/>
      <c r="M7" s="2371"/>
      <c r="N7" s="2371"/>
      <c r="O7" s="2371"/>
      <c r="P7" s="2371"/>
      <c r="Q7" s="2371"/>
      <c r="R7" s="2371"/>
    </row>
    <row r="8" spans="1:29" ht="28.5">
      <c r="A8" s="431"/>
      <c r="B8" s="1797" t="s">
        <v>2057</v>
      </c>
      <c r="C8" s="2379" t="s">
        <v>3031</v>
      </c>
      <c r="D8" s="2380"/>
      <c r="E8" s="2380"/>
      <c r="F8" s="1136"/>
      <c r="G8" s="1136"/>
      <c r="H8" s="2371"/>
      <c r="I8" s="2371"/>
      <c r="J8" s="2371"/>
      <c r="K8" s="2371"/>
      <c r="L8" s="2371"/>
      <c r="M8" s="2371"/>
      <c r="N8" s="2371"/>
      <c r="O8" s="2371"/>
      <c r="P8" s="2371"/>
      <c r="Q8" s="2371"/>
      <c r="R8" s="2371"/>
    </row>
    <row r="9" spans="1:29" ht="57">
      <c r="A9" s="431"/>
      <c r="B9" s="1797" t="s">
        <v>2059</v>
      </c>
      <c r="C9" s="2377" t="s">
        <v>3032</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3146</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估价对象周边居住用地比例较高、居住小区规模和社区发展完善程度较好，周边1公里内有碧水春城等住宅项目，综合评价居住社区成熟度较好</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3034</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估价对象所在区域公共配套设施齐备度较好</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3035</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城市次干道——新姚南路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2021.11</v>
      </c>
      <c r="C1" s="1744"/>
      <c r="D1" s="1744"/>
      <c r="E1" s="1744"/>
      <c r="F1" s="1744"/>
      <c r="G1" s="1742"/>
    </row>
    <row r="2" spans="1:10" ht="16.5">
      <c r="A2" s="1745" t="s">
        <v>1349</v>
      </c>
      <c r="B2" s="1745">
        <f>SUM(C14:C23)</f>
        <v>544.62</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2124</v>
      </c>
      <c r="C5" s="1745">
        <f ca="1">ROUND(B5*10000/$B$1,0)</f>
        <v>10509</v>
      </c>
      <c r="D5" s="1745">
        <f ca="1">ROUND(B5*10000/$B$2,0)</f>
        <v>39000</v>
      </c>
      <c r="E5" s="1744"/>
      <c r="F5" s="1742"/>
      <c r="G5" s="1742"/>
    </row>
    <row r="6" spans="1:10" ht="16.5">
      <c r="A6" s="1745" t="s">
        <v>1352</v>
      </c>
      <c r="B6" s="1745">
        <f ca="1">SUM(G14:G23)</f>
        <v>2124</v>
      </c>
      <c r="C6" s="1745">
        <f ca="1">ROUND(B6*10000/$B$1,0)</f>
        <v>10509</v>
      </c>
      <c r="D6" s="1745">
        <f ca="1">ROUND(B6*10000/$B$2,0)</f>
        <v>39000</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2021.11</v>
      </c>
      <c r="C14" s="1743">
        <f>结果表!C118</f>
        <v>544.62</v>
      </c>
      <c r="D14" s="1743">
        <f ca="1">结果表!H118</f>
        <v>2124</v>
      </c>
      <c r="E14" s="1743">
        <f ca="1">ROUND(D14*10000/B14,0)</f>
        <v>10509</v>
      </c>
      <c r="F14" s="1743">
        <f ca="1">ROUND(D14*10000/C14,0)</f>
        <v>39000</v>
      </c>
      <c r="G14" s="1743">
        <f ca="1">结果表!D122</f>
        <v>2124</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9" zoomScaleNormal="100" zoomScaleSheetLayoutView="100" zoomScalePageLayoutView="80" workbookViewId="0">
      <selection activeCell="D119" sqref="D119:E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33" t="str">
        <f>项目基本情况!S2</f>
        <v>湖南省长沙市出让国有建设用地使用权及在建建筑物房地产</v>
      </c>
      <c r="B2" s="3134"/>
      <c r="C2" s="3134"/>
      <c r="D2" s="3134"/>
      <c r="E2" s="3134"/>
      <c r="F2" s="3134"/>
      <c r="G2" s="3134"/>
      <c r="H2" s="3134"/>
      <c r="I2" s="3135"/>
    </row>
    <row r="3" spans="1:12" ht="12.75">
      <c r="A3" s="3136" t="s">
        <v>2077</v>
      </c>
      <c r="B3" s="3137"/>
      <c r="C3" s="3137"/>
      <c r="D3" s="3137"/>
      <c r="E3" s="3137"/>
      <c r="F3" s="3137"/>
      <c r="G3" s="3137"/>
      <c r="H3" s="3137"/>
      <c r="I3" s="3137"/>
    </row>
    <row r="4" spans="1:12" ht="14.25">
      <c r="A4" s="2429" t="s">
        <v>2078</v>
      </c>
      <c r="B4" s="2430" t="s">
        <v>2079</v>
      </c>
      <c r="C4" s="2431" t="s">
        <v>3110</v>
      </c>
      <c r="D4" s="2431" t="s">
        <v>3111</v>
      </c>
      <c r="E4" s="3117" t="s">
        <v>2080</v>
      </c>
      <c r="F4" s="3130"/>
      <c r="G4" s="3130"/>
      <c r="H4" s="3130"/>
      <c r="I4" s="311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08" t="s">
        <v>2081</v>
      </c>
      <c r="B5" s="3034">
        <v>25</v>
      </c>
      <c r="C5" s="3138"/>
      <c r="D5" s="3126"/>
      <c r="E5" s="140" t="s">
        <v>2082</v>
      </c>
      <c r="F5" s="2433"/>
      <c r="G5" s="2433"/>
      <c r="H5" s="2433"/>
      <c r="I5" s="1833"/>
    </row>
    <row r="6" spans="1:12" ht="12.75">
      <c r="A6" s="3108"/>
      <c r="B6" s="3034"/>
      <c r="C6" s="3140"/>
      <c r="D6" s="3126"/>
      <c r="E6" s="140" t="s">
        <v>2083</v>
      </c>
      <c r="F6" s="2433"/>
      <c r="G6" s="2433"/>
      <c r="H6" s="2433"/>
      <c r="I6" s="1833"/>
    </row>
    <row r="7" spans="1:12" ht="12.75">
      <c r="A7" s="3108"/>
      <c r="B7" s="3034"/>
      <c r="C7" s="3139"/>
      <c r="D7" s="3126"/>
      <c r="E7" s="140" t="s">
        <v>2084</v>
      </c>
      <c r="F7" s="2433"/>
      <c r="G7" s="2433"/>
      <c r="H7" s="2433"/>
      <c r="I7" s="1833"/>
    </row>
    <row r="8" spans="1:12" ht="12.75">
      <c r="A8" s="3108" t="s">
        <v>2085</v>
      </c>
      <c r="B8" s="3034">
        <v>15</v>
      </c>
      <c r="C8" s="3138"/>
      <c r="D8" s="3126"/>
      <c r="E8" s="140" t="s">
        <v>2086</v>
      </c>
      <c r="F8" s="2433"/>
      <c r="G8" s="2433"/>
      <c r="H8" s="2433"/>
      <c r="I8" s="1833"/>
    </row>
    <row r="9" spans="1:12" ht="12.75">
      <c r="A9" s="3108"/>
      <c r="B9" s="3034"/>
      <c r="C9" s="3139"/>
      <c r="D9" s="3126"/>
      <c r="E9" s="140" t="s">
        <v>2087</v>
      </c>
      <c r="F9" s="2433"/>
      <c r="G9" s="2433"/>
      <c r="H9" s="2433"/>
      <c r="I9" s="1833"/>
    </row>
    <row r="10" spans="1:12" ht="12.75">
      <c r="A10" s="3108" t="s">
        <v>2088</v>
      </c>
      <c r="B10" s="3034">
        <v>15</v>
      </c>
      <c r="C10" s="3138"/>
      <c r="D10" s="3126"/>
      <c r="E10" s="140" t="s">
        <v>2089</v>
      </c>
      <c r="F10" s="2433"/>
      <c r="G10" s="2433"/>
      <c r="H10" s="2433"/>
      <c r="I10" s="1833"/>
    </row>
    <row r="11" spans="1:12" ht="12.75">
      <c r="A11" s="3108"/>
      <c r="B11" s="3034"/>
      <c r="C11" s="3139"/>
      <c r="D11" s="3126"/>
      <c r="E11" s="140" t="s">
        <v>2090</v>
      </c>
      <c r="F11" s="2433"/>
      <c r="G11" s="2433"/>
      <c r="H11" s="2433"/>
      <c r="I11" s="1833"/>
    </row>
    <row r="12" spans="1:12" ht="12.75">
      <c r="A12" s="3108" t="s">
        <v>2091</v>
      </c>
      <c r="B12" s="3034">
        <v>15</v>
      </c>
      <c r="C12" s="3138"/>
      <c r="D12" s="3126"/>
      <c r="E12" s="140" t="s">
        <v>2092</v>
      </c>
      <c r="F12" s="2433"/>
      <c r="G12" s="2433"/>
      <c r="H12" s="2433"/>
      <c r="I12" s="1833"/>
    </row>
    <row r="13" spans="1:12" ht="12.75">
      <c r="A13" s="3108"/>
      <c r="B13" s="3034"/>
      <c r="C13" s="3139"/>
      <c r="D13" s="3126"/>
      <c r="E13" s="140" t="s">
        <v>2093</v>
      </c>
      <c r="F13" s="2433"/>
      <c r="G13" s="2433"/>
      <c r="H13" s="2433"/>
      <c r="I13" s="1833"/>
    </row>
    <row r="14" spans="1:12" ht="12.75">
      <c r="A14" s="3108" t="s">
        <v>2094</v>
      </c>
      <c r="B14" s="3034">
        <v>30</v>
      </c>
      <c r="C14" s="3138">
        <v>5</v>
      </c>
      <c r="D14" s="3126">
        <v>5</v>
      </c>
      <c r="E14" s="140" t="s">
        <v>2095</v>
      </c>
      <c r="F14" s="2433"/>
      <c r="G14" s="2433"/>
      <c r="H14" s="2433"/>
      <c r="I14" s="1833"/>
    </row>
    <row r="15" spans="1:12" ht="12.75">
      <c r="A15" s="3108"/>
      <c r="B15" s="3034"/>
      <c r="C15" s="3140"/>
      <c r="D15" s="3126"/>
      <c r="E15" s="140" t="s">
        <v>2096</v>
      </c>
      <c r="F15" s="2433"/>
      <c r="G15" s="2433"/>
      <c r="H15" s="2433"/>
      <c r="I15" s="1833"/>
    </row>
    <row r="16" spans="1:12" ht="12.75">
      <c r="A16" s="3108"/>
      <c r="B16" s="3034"/>
      <c r="C16" s="3139"/>
      <c r="D16" s="3126"/>
      <c r="E16" s="140" t="s">
        <v>2097</v>
      </c>
      <c r="F16" s="2433"/>
      <c r="G16" s="2433"/>
      <c r="H16" s="2433"/>
      <c r="I16" s="1833"/>
    </row>
    <row r="17" spans="1:35" ht="15">
      <c r="A17" s="2434" t="s">
        <v>2098</v>
      </c>
      <c r="B17" s="64"/>
      <c r="C17" s="141">
        <f>SUM(C5:C16)</f>
        <v>5</v>
      </c>
      <c r="D17" s="141">
        <f>SUM(D5:D16)</f>
        <v>5</v>
      </c>
      <c r="E17" s="138"/>
      <c r="F17" s="138"/>
      <c r="G17" s="138"/>
      <c r="H17" s="138"/>
      <c r="I17" s="138"/>
      <c r="K17" s="2432"/>
      <c r="L17" s="2435" t="s">
        <v>2099</v>
      </c>
      <c r="M17" s="2435" t="s">
        <v>2100</v>
      </c>
    </row>
    <row r="18" spans="1:35" ht="15.75" thickBot="1">
      <c r="A18" s="2436" t="s">
        <v>2101</v>
      </c>
      <c r="B18" s="2437"/>
      <c r="C18" s="142">
        <f>ROUND(C17/SUM(C17:D17),2)</f>
        <v>0.5</v>
      </c>
      <c r="D18" s="142">
        <f>1-C18</f>
        <v>0.5</v>
      </c>
      <c r="E18" s="138"/>
      <c r="F18" s="138"/>
      <c r="G18" s="138"/>
      <c r="H18" s="138"/>
      <c r="I18" s="138"/>
      <c r="K18" s="2432" t="s">
        <v>2102</v>
      </c>
      <c r="L18" s="2432">
        <f>IF(C1="",'数据-汇总表'!E3,SUMIF(项目类型,C1,'数据-汇总表'!E17:E26)+SUMIF(项目类型,C1,'数据-汇总表'!I17:I26))</f>
        <v>2021.11</v>
      </c>
      <c r="M18" s="2432">
        <f>IF(C1="",'数据-汇总表'!E3,SUMIF(项目类型,C1,'数据-汇总表'!E17:E26))</f>
        <v>2021.11</v>
      </c>
    </row>
    <row r="19" spans="1:35" ht="15">
      <c r="A19" s="2438" t="s">
        <v>2103</v>
      </c>
      <c r="B19" s="2439" t="s">
        <v>2104</v>
      </c>
      <c r="C19" s="143">
        <f ca="1">SUMIF(INDIRECT("'"&amp;C4&amp;"'"&amp;"!A:A"),结果表!B19,INDIRECT("'"&amp;C4&amp;"'"&amp;"!B:B"))</f>
        <v>1853</v>
      </c>
      <c r="D19" s="144">
        <f ca="1">SUMIF(INDIRECT("'"&amp;D4&amp;"'"&amp;"!A:A"),结果表!B19,INDIRECT("'"&amp;D4&amp;"'"&amp;"!B:B"))</f>
        <v>2395</v>
      </c>
      <c r="E19" s="2438" t="s">
        <v>2105</v>
      </c>
      <c r="F19" s="2439" t="s">
        <v>2104</v>
      </c>
      <c r="G19" s="145">
        <f ca="1">ROUND(C19*$C$18+D19*$D$18,0)</f>
        <v>2124</v>
      </c>
      <c r="H19" s="2440" t="s">
        <v>2106</v>
      </c>
      <c r="I19" s="138"/>
      <c r="K19" s="2432" t="s">
        <v>2107</v>
      </c>
      <c r="L19" s="2432">
        <f>IF(C1="",'数据-汇总表'!D3,SUMIF(项目类型,C1,'数据-汇总表'!D17:D26)+SUMIF(项目类型,C1,'数据-汇总表'!H17:H27))</f>
        <v>544.62</v>
      </c>
      <c r="M19" s="2432">
        <f>IF(C1="",'数据-汇总表'!D3,SUMIF(项目类型,C1,'数据-汇总表'!D17:D26))</f>
        <v>544.62</v>
      </c>
    </row>
    <row r="20" spans="1:35" ht="15">
      <c r="A20" s="2441"/>
      <c r="B20" s="1250" t="s">
        <v>2108</v>
      </c>
      <c r="C20" s="146">
        <f ca="1">SUMIF(INDIRECT("'"&amp;C4&amp;"'"&amp;"!A:A"),结果表!B20,INDIRECT("'"&amp;C4&amp;"'"&amp;"!B:B"))</f>
        <v>9168</v>
      </c>
      <c r="D20" s="147">
        <f ca="1">SUMIF(INDIRECT("'"&amp;D4&amp;"'"&amp;"!A:A"),结果表!B20,INDIRECT("'"&amp;D4&amp;"'"&amp;"!B:B"))</f>
        <v>11850</v>
      </c>
      <c r="E20" s="2441"/>
      <c r="F20" s="1250" t="s">
        <v>2108</v>
      </c>
      <c r="G20" s="148">
        <f ca="1">ROUND(C20*$C$18+D20*$D$18,0)</f>
        <v>10509</v>
      </c>
      <c r="H20" s="983" t="s">
        <v>2109</v>
      </c>
      <c r="I20" s="138"/>
    </row>
    <row r="21" spans="1:35" ht="15" customHeight="1" thickBot="1">
      <c r="A21" s="1003"/>
      <c r="B21" s="2442" t="s">
        <v>2110</v>
      </c>
      <c r="C21" s="789">
        <f ca="1">ROUND(C19*10000/L19,0)</f>
        <v>34024</v>
      </c>
      <c r="D21" s="790">
        <f ca="1">ROUND(D19*10000/L19,0)</f>
        <v>43976</v>
      </c>
      <c r="E21" s="1003"/>
      <c r="F21" s="2442" t="s">
        <v>2110</v>
      </c>
      <c r="G21" s="149">
        <f ca="1">ROUND(G19*10000/L19,0)</f>
        <v>39000</v>
      </c>
      <c r="H21" s="2443" t="s">
        <v>2109</v>
      </c>
      <c r="I21" s="138"/>
    </row>
    <row r="22" spans="1:35" ht="15" thickBot="1">
      <c r="A22" s="2284" t="s">
        <v>2111</v>
      </c>
      <c r="B22" s="2444"/>
      <c r="C22" s="2445"/>
      <c r="D22" s="791">
        <f ca="1">IF(C19&lt;D19,D19/C19-1,C19/D19-1)</f>
        <v>0.2924986508364813</v>
      </c>
      <c r="E22" s="138"/>
      <c r="F22" s="138"/>
      <c r="G22" s="138"/>
      <c r="H22" s="138"/>
      <c r="I22" s="138"/>
    </row>
    <row r="23" spans="1:35" ht="13.5" thickBot="1">
      <c r="A23" s="2422"/>
      <c r="B23" s="2422"/>
      <c r="C23" s="2422"/>
      <c r="D23" s="2422"/>
      <c r="E23" s="138"/>
      <c r="F23" s="138"/>
      <c r="G23" s="138"/>
      <c r="H23" s="138"/>
      <c r="I23" s="138"/>
    </row>
    <row r="24" spans="1:35" ht="14.25">
      <c r="A24" s="3147" t="s">
        <v>2112</v>
      </c>
      <c r="B24" s="2439" t="s">
        <v>2104</v>
      </c>
      <c r="C24" s="145">
        <f>IF(B30=0,0,D30)</f>
        <v>0</v>
      </c>
      <c r="D24" s="2446"/>
      <c r="E24" s="138"/>
      <c r="F24" s="138"/>
      <c r="G24" s="138"/>
      <c r="H24" s="138"/>
      <c r="I24" s="138"/>
    </row>
    <row r="25" spans="1:35" ht="14.25">
      <c r="A25" s="3148"/>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2124</v>
      </c>
      <c r="D32" s="2453" t="s">
        <v>2119</v>
      </c>
      <c r="E32" s="138"/>
      <c r="F32" s="138"/>
      <c r="G32" s="138"/>
      <c r="H32" s="138"/>
      <c r="I32" s="138"/>
    </row>
    <row r="33" spans="1:15" ht="15">
      <c r="A33" s="960" t="s">
        <v>2120</v>
      </c>
      <c r="B33" s="2454"/>
      <c r="C33" s="2455" t="s">
        <v>3129</v>
      </c>
      <c r="D33" s="2456" t="s">
        <v>3110</v>
      </c>
      <c r="E33" s="2457" t="s">
        <v>2121</v>
      </c>
      <c r="F33" s="2458" t="str">
        <f>IF(D32="楼面单价","取值（单价）","取值（总价）")</f>
        <v>取值（总价）</v>
      </c>
      <c r="G33" s="138"/>
      <c r="H33" s="138"/>
      <c r="I33" s="138"/>
    </row>
    <row r="34" spans="1:15" ht="15">
      <c r="A34" s="2459"/>
      <c r="B34" s="2460" t="s">
        <v>2122</v>
      </c>
      <c r="C34" s="157">
        <f ca="1">IF(C33="自定义",F34,C32-C35)</f>
        <v>1582</v>
      </c>
      <c r="D34" s="1058">
        <f ca="1">IF(C33="自定义",ROUND(C34/C32,3),IF(C33="收益比率",SUMIF(INDIRECT("'"&amp;D33&amp;"'"&amp;"!b:b"),"土地收益比率",INDIRECT("'"&amp;D33&amp;"'"&amp;"!c:c")),SUMIF(INDIRECT("'"&amp;D33&amp;"'"&amp;"!b:b"),"土地成本比率",INDIRECT("'"&amp;D33&amp;"'"&amp;"!c:c"))))</f>
        <v>0.745</v>
      </c>
      <c r="E34" s="2461" t="s">
        <v>2123</v>
      </c>
      <c r="F34" s="1738"/>
      <c r="G34" s="138"/>
      <c r="H34" s="138"/>
      <c r="I34" s="138"/>
    </row>
    <row r="35" spans="1:15" ht="15.75" thickBot="1">
      <c r="A35" s="2462"/>
      <c r="B35" s="2463" t="s">
        <v>2124</v>
      </c>
      <c r="C35" s="1444">
        <f ca="1">IF(C33="自定义",F35,ROUND(C32*D35,0))</f>
        <v>542</v>
      </c>
      <c r="D35" s="1445">
        <f ca="1">IF(C33="自定义",ROUND(C35/C32,3),IF(C33="收益比率",SUMIF(INDIRECT("'"&amp;D33&amp;"'"&amp;"!b:b"),"建筑物收益比率",INDIRECT("'"&amp;D33&amp;"'"&amp;"!c:c")),SUMIF(INDIRECT("'"&amp;D33&amp;"'"&amp;"!b:b"),"建筑物成本比率",INDIRECT("'"&amp;D33&amp;"'"&amp;"!c:c"))))</f>
        <v>0.255</v>
      </c>
      <c r="E35" s="2464" t="s">
        <v>2125</v>
      </c>
      <c r="F35" s="163"/>
      <c r="G35" s="138"/>
      <c r="H35" s="138"/>
      <c r="I35" s="138"/>
    </row>
    <row r="36" spans="1:15" ht="15.75" thickBot="1">
      <c r="A36" s="3127" t="s">
        <v>2126</v>
      </c>
      <c r="B36" s="2465" t="s">
        <v>2127</v>
      </c>
      <c r="C36" s="154"/>
      <c r="D36" s="2466"/>
      <c r="E36" s="2467"/>
      <c r="F36" s="2468"/>
      <c r="G36" s="138"/>
      <c r="H36" s="138"/>
      <c r="I36" s="138"/>
    </row>
    <row r="37" spans="1:15" ht="15.75" thickBot="1">
      <c r="A37" s="3128"/>
      <c r="B37" s="2270" t="s">
        <v>2128</v>
      </c>
      <c r="C37" s="156"/>
      <c r="D37" s="1395"/>
      <c r="E37" s="1395"/>
      <c r="F37" s="2468"/>
      <c r="G37" s="138"/>
      <c r="H37" s="138"/>
      <c r="I37" s="138"/>
    </row>
    <row r="38" spans="1:15" ht="15.75" thickBot="1">
      <c r="A38" s="3129"/>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44" t="s">
        <v>2140</v>
      </c>
      <c r="B45" s="3145"/>
      <c r="C45" s="3146"/>
      <c r="D45" s="164">
        <f ca="1">ROUND(H101*F45,0)</f>
        <v>2124</v>
      </c>
      <c r="E45" s="165" t="s">
        <v>2141</v>
      </c>
      <c r="F45" s="166">
        <v>1</v>
      </c>
      <c r="G45" s="167" t="s">
        <v>2142</v>
      </c>
      <c r="H45" s="138"/>
      <c r="I45" s="138"/>
      <c r="J45" s="3063" t="s">
        <v>2143</v>
      </c>
      <c r="K45" s="3063"/>
      <c r="L45" s="3063"/>
      <c r="M45" s="3063"/>
      <c r="N45" s="3063"/>
      <c r="O45" s="3063"/>
    </row>
    <row r="46" spans="1:15" ht="14.25" customHeight="1">
      <c r="A46" s="3141" t="s">
        <v>2144</v>
      </c>
      <c r="B46" s="3142"/>
      <c r="C46" s="3142"/>
      <c r="D46" s="3142"/>
      <c r="E46" s="3142"/>
      <c r="F46" s="3142"/>
      <c r="G46" s="3143"/>
      <c r="H46" s="2484"/>
      <c r="I46" s="168"/>
      <c r="J46" s="1811">
        <v>1</v>
      </c>
      <c r="K46" s="3063" t="s">
        <v>2145</v>
      </c>
      <c r="L46" s="3063"/>
      <c r="M46" s="3064"/>
      <c r="N46" s="3064"/>
      <c r="O46" s="3064"/>
    </row>
    <row r="47" spans="1:15" ht="12" customHeight="1">
      <c r="A47" s="169" t="s">
        <v>2146</v>
      </c>
      <c r="B47" s="170"/>
      <c r="C47" s="171"/>
      <c r="D47" s="172" t="s">
        <v>2147</v>
      </c>
      <c r="E47" s="24" t="s">
        <v>2148</v>
      </c>
      <c r="F47" s="173" t="s">
        <v>2149</v>
      </c>
      <c r="G47" s="174" t="s">
        <v>2150</v>
      </c>
      <c r="H47" s="2484"/>
      <c r="I47" s="168"/>
      <c r="J47" s="1811">
        <v>2</v>
      </c>
      <c r="K47" s="3063" t="s">
        <v>2151</v>
      </c>
      <c r="L47" s="3063"/>
      <c r="M47" s="3065">
        <f>'数据-取费表'!B2</f>
        <v>43321</v>
      </c>
      <c r="N47" s="3065"/>
      <c r="O47" s="3065"/>
    </row>
    <row r="48" spans="1:15" ht="25.5">
      <c r="A48" s="3131" t="s">
        <v>2152</v>
      </c>
      <c r="B48" s="3132"/>
      <c r="C48" s="3132"/>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063" t="s">
        <v>2155</v>
      </c>
      <c r="L48" s="3063"/>
      <c r="M48" s="3066">
        <f ca="1">H101</f>
        <v>2124</v>
      </c>
      <c r="N48" s="3066"/>
      <c r="O48" s="3066"/>
    </row>
    <row r="49" spans="1:35" ht="25.5" customHeight="1">
      <c r="A49" s="176" t="s">
        <v>2156</v>
      </c>
      <c r="B49" s="3111" t="s">
        <v>2157</v>
      </c>
      <c r="C49" s="3111"/>
      <c r="D49" s="177">
        <v>0</v>
      </c>
      <c r="E49" s="23" t="s">
        <v>2158</v>
      </c>
      <c r="F49" s="28" t="s">
        <v>34</v>
      </c>
      <c r="G49" s="3092"/>
      <c r="H49" s="138"/>
      <c r="I49" s="2487"/>
      <c r="J49" s="1811">
        <v>4</v>
      </c>
      <c r="K49" s="3063" t="str">
        <f>IF(项目基本情况!E8="房地产抵押价值","房地产抵押价值","抵押担保权已注销时的房地产抵押价值")</f>
        <v>房地产抵押价值</v>
      </c>
      <c r="L49" s="3063"/>
      <c r="M49" s="3066">
        <f ca="1">IF(项目基本情况!E8="房地产抵押价值",H107,H109)</f>
        <v>2124</v>
      </c>
      <c r="N49" s="3066"/>
      <c r="O49" s="3066"/>
    </row>
    <row r="50" spans="1:35" ht="25.5" customHeight="1">
      <c r="A50" s="178"/>
      <c r="B50" s="3111" t="s">
        <v>2159</v>
      </c>
      <c r="C50" s="3111"/>
      <c r="D50" s="179"/>
      <c r="E50" s="31"/>
      <c r="F50" s="180"/>
      <c r="G50" s="3093"/>
      <c r="H50" s="138"/>
      <c r="I50" s="2487"/>
      <c r="J50" s="3063" t="s">
        <v>2160</v>
      </c>
      <c r="K50" s="3063"/>
      <c r="L50" s="3063"/>
      <c r="M50" s="3063"/>
      <c r="N50" s="3063"/>
      <c r="O50" s="3063"/>
    </row>
    <row r="51" spans="1:35" ht="12" customHeight="1">
      <c r="A51" s="181"/>
      <c r="B51" s="3111" t="s">
        <v>2161</v>
      </c>
      <c r="C51" s="3111"/>
      <c r="D51" s="182"/>
      <c r="E51" s="30"/>
      <c r="F51" s="180"/>
      <c r="G51" s="3094"/>
      <c r="H51" s="138"/>
      <c r="I51" s="2487"/>
      <c r="J51" s="2488" t="s">
        <v>2162</v>
      </c>
      <c r="K51" s="3063" t="s">
        <v>2163</v>
      </c>
      <c r="L51" s="3063"/>
      <c r="M51" s="2488" t="s">
        <v>2164</v>
      </c>
      <c r="N51" s="2488" t="s">
        <v>2165</v>
      </c>
      <c r="O51" s="2488" t="s">
        <v>2166</v>
      </c>
    </row>
    <row r="52" spans="1:35" ht="24" customHeight="1">
      <c r="A52" s="183" t="s">
        <v>2167</v>
      </c>
      <c r="B52" s="3111" t="s">
        <v>2168</v>
      </c>
      <c r="C52" s="3111"/>
      <c r="D52" s="182">
        <f ca="1">ROUND(D45*'数据-取费表'!B41/(1+'数据-取费表'!C42),0)</f>
        <v>113</v>
      </c>
      <c r="E52" s="11" t="s">
        <v>2169</v>
      </c>
      <c r="F52" s="184">
        <f>'数据-取费表'!B41</f>
        <v>5.6000000000000001E-2</v>
      </c>
      <c r="G52" s="2489"/>
      <c r="H52" s="138"/>
      <c r="I52" s="2487"/>
      <c r="J52" s="1811">
        <v>1</v>
      </c>
      <c r="K52" s="3086" t="s">
        <v>2170</v>
      </c>
      <c r="L52" s="3086"/>
      <c r="M52" s="1753">
        <f>D48</f>
        <v>0</v>
      </c>
      <c r="N52" s="1811" t="str">
        <f>E48</f>
        <v>销售额×税（费）率</v>
      </c>
      <c r="O52" s="1754" t="str">
        <f>F48</f>
        <v>免征</v>
      </c>
    </row>
    <row r="53" spans="1:35" ht="12" customHeight="1">
      <c r="A53" s="183" t="s">
        <v>2171</v>
      </c>
      <c r="B53" s="3112" t="s">
        <v>2172</v>
      </c>
      <c r="C53" s="3113"/>
      <c r="D53" s="182">
        <f ca="1">ROUND(D45*'数据-取费表'!B41/(1+'数据-取费表'!C42),0)</f>
        <v>113</v>
      </c>
      <c r="E53" s="11" t="s">
        <v>2169</v>
      </c>
      <c r="F53" s="184">
        <f>'数据-取费表'!B41</f>
        <v>5.6000000000000001E-2</v>
      </c>
      <c r="G53" s="2489"/>
      <c r="H53" s="138"/>
      <c r="I53" s="2487"/>
      <c r="J53" s="1811">
        <v>2</v>
      </c>
      <c r="K53" s="3086" t="s">
        <v>2173</v>
      </c>
      <c r="L53" s="3086"/>
      <c r="M53" s="1753">
        <f t="shared" ref="M53:O54" ca="1" si="0">D55</f>
        <v>1</v>
      </c>
      <c r="N53" s="1811" t="str">
        <f t="shared" si="0"/>
        <v>销售额×税（费）率</v>
      </c>
      <c r="O53" s="1754">
        <f t="shared" si="0"/>
        <v>5.0000000000000001E-4</v>
      </c>
    </row>
    <row r="54" spans="1:35" ht="12" customHeight="1">
      <c r="A54" s="183" t="s">
        <v>2174</v>
      </c>
      <c r="B54" s="3112" t="s">
        <v>2175</v>
      </c>
      <c r="C54" s="3113"/>
      <c r="D54" s="182">
        <f ca="1">C68</f>
        <v>113</v>
      </c>
      <c r="E54" s="30" t="s">
        <v>2176</v>
      </c>
      <c r="F54" s="184">
        <f>'数据-取费表'!B41</f>
        <v>5.6000000000000001E-2</v>
      </c>
      <c r="G54" s="2489"/>
      <c r="H54" s="2490"/>
      <c r="I54" s="2487"/>
      <c r="J54" s="1811">
        <v>3</v>
      </c>
      <c r="K54" s="3086" t="s">
        <v>2177</v>
      </c>
      <c r="L54" s="3086"/>
      <c r="M54" s="1753">
        <f t="shared" ca="1" si="0"/>
        <v>1202</v>
      </c>
      <c r="N54" s="1811" t="str">
        <f t="shared" si="0"/>
        <v>增值额×税（费）率</v>
      </c>
      <c r="O54" s="1755" t="str">
        <f t="shared" si="0"/>
        <v>——</v>
      </c>
    </row>
    <row r="55" spans="1:35" ht="24" customHeight="1">
      <c r="A55" s="3150" t="s">
        <v>2178</v>
      </c>
      <c r="B55" s="3132"/>
      <c r="C55" s="3132"/>
      <c r="D55" s="185">
        <f ca="1">IF(H55="个人住宅",0,ROUND(D45*I55,0))</f>
        <v>1</v>
      </c>
      <c r="E55" s="11" t="s">
        <v>2179</v>
      </c>
      <c r="F55" s="184">
        <f>IF(H55="正常",I55,"免征")</f>
        <v>5.0000000000000001E-4</v>
      </c>
      <c r="G55" s="2489"/>
      <c r="H55" s="2486" t="s">
        <v>2180</v>
      </c>
      <c r="I55" s="186">
        <f>'数据-取费表'!B49</f>
        <v>5.0000000000000001E-4</v>
      </c>
      <c r="J55" s="1811" t="str">
        <f>IF(H59="非个人房产","",4)</f>
        <v/>
      </c>
      <c r="K55" s="3086" t="str">
        <f>IF(H59="非个人房产","——","个人所得税")</f>
        <v>——</v>
      </c>
      <c r="L55" s="3086"/>
      <c r="M55" s="1756" t="str">
        <f>D59</f>
        <v>——</v>
      </c>
      <c r="N55" s="1809" t="str">
        <f>E59</f>
        <v>——</v>
      </c>
      <c r="O55" s="1757" t="str">
        <f>F59</f>
        <v>——</v>
      </c>
    </row>
    <row r="56" spans="1:35" ht="24.75">
      <c r="A56" s="3150" t="s">
        <v>2181</v>
      </c>
      <c r="B56" s="3132"/>
      <c r="C56" s="3132"/>
      <c r="D56" s="185">
        <f ca="1">IF(H56="个人住宅",D57,D58)</f>
        <v>1202</v>
      </c>
      <c r="E56" s="11" t="s">
        <v>2182</v>
      </c>
      <c r="F56" s="184" t="str">
        <f>IF(H56="正常",F58,"免征")</f>
        <v>——</v>
      </c>
      <c r="G56" s="2491" t="s">
        <v>2183</v>
      </c>
      <c r="H56" s="2492" t="s">
        <v>2180</v>
      </c>
      <c r="I56" s="2493"/>
      <c r="J56" s="1811" t="str">
        <f>IF(项目基本情况!K6="上海银行",IF(J55="",4,J55+1),"")</f>
        <v/>
      </c>
      <c r="K56" s="3069" t="str">
        <f>IF(项目基本情况!K6="上海银行","其他处置费用","")</f>
        <v/>
      </c>
      <c r="L56" s="3070"/>
      <c r="M56" s="1753" t="str">
        <f>IF(项目基本情况!K6="上海银行",M69,"")</f>
        <v/>
      </c>
      <c r="N56" s="3072" t="str">
        <f>IF(项目基本情况!K6="上海银行","包含处置中涉及的律师、诉讼、拍卖、评估等费用","")</f>
        <v/>
      </c>
      <c r="O56" s="3073"/>
    </row>
    <row r="57" spans="1:35" ht="12.75">
      <c r="A57" s="183" t="s">
        <v>2156</v>
      </c>
      <c r="B57" s="3117" t="s">
        <v>2184</v>
      </c>
      <c r="C57" s="3118"/>
      <c r="D57" s="187">
        <v>0</v>
      </c>
      <c r="E57" s="23" t="s">
        <v>2158</v>
      </c>
      <c r="F57" s="155"/>
      <c r="G57" s="2489"/>
      <c r="H57" s="2493"/>
      <c r="I57" s="2493"/>
      <c r="J57" s="3086">
        <f>IF(AND(J55="",J56=""),4,IF(项目基本情况!K6="上海银行",结果表!J56+1,结果表!J55+1))</f>
        <v>4</v>
      </c>
      <c r="K57" s="3086" t="s">
        <v>2185</v>
      </c>
      <c r="L57" s="2494" t="s">
        <v>2186</v>
      </c>
      <c r="M57" s="1758"/>
      <c r="N57" s="1759">
        <f ca="1">SUMIF(M52:M56,"&lt;9e307")</f>
        <v>1203</v>
      </c>
      <c r="O57" s="2495"/>
      <c r="P57" s="1752">
        <f ca="1">N57/M49</f>
        <v>0.56638418079096042</v>
      </c>
    </row>
    <row r="58" spans="1:35" ht="24.75">
      <c r="A58" s="183" t="s">
        <v>2167</v>
      </c>
      <c r="B58" s="3117" t="s">
        <v>2187</v>
      </c>
      <c r="C58" s="3130"/>
      <c r="D58" s="185">
        <f ca="1">IF(H58="转让取得",C81,C97)</f>
        <v>1202</v>
      </c>
      <c r="E58" s="11" t="s">
        <v>2182</v>
      </c>
      <c r="F58" s="24" t="s">
        <v>34</v>
      </c>
      <c r="G58" s="2489"/>
      <c r="H58" s="2492" t="s">
        <v>2188</v>
      </c>
      <c r="I58" s="2493"/>
      <c r="J58" s="3086"/>
      <c r="K58" s="3086"/>
      <c r="L58" s="2494" t="s">
        <v>2189</v>
      </c>
      <c r="M58" s="1760"/>
      <c r="N58" s="2496" t="str">
        <f ca="1">NUMBERSTRING(INT(N57*10000),2)&amp;"元整"</f>
        <v>壹仟贰佰零叁万元整</v>
      </c>
      <c r="O58" s="2497"/>
    </row>
    <row r="59" spans="1:35" ht="24.75" thickBot="1">
      <c r="A59" s="3090" t="s">
        <v>2190</v>
      </c>
      <c r="B59" s="3091"/>
      <c r="C59" s="3091"/>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088">
        <f>J57+1</f>
        <v>5</v>
      </c>
      <c r="K59" s="3086" t="s">
        <v>2192</v>
      </c>
      <c r="L59" s="1811" t="s">
        <v>2186</v>
      </c>
      <c r="M59" s="1761"/>
      <c r="N59" s="1762">
        <f ca="1">M49-N57</f>
        <v>921</v>
      </c>
      <c r="O59" s="2499"/>
    </row>
    <row r="60" spans="1:35" ht="12" customHeight="1">
      <c r="A60" s="2500"/>
      <c r="B60" s="2422"/>
      <c r="C60" s="2422"/>
      <c r="D60" s="2422"/>
      <c r="E60" s="2169"/>
      <c r="F60" s="2493"/>
      <c r="G60" s="2493"/>
      <c r="H60" s="2501"/>
      <c r="I60" s="138"/>
      <c r="J60" s="3089"/>
      <c r="K60" s="3086"/>
      <c r="L60" s="2494" t="s">
        <v>2189</v>
      </c>
      <c r="M60" s="1760"/>
      <c r="N60" s="2496" t="str">
        <f ca="1">NUMBERSTRING(INT(N59*10000),2)&amp;"元整"</f>
        <v>玖佰贰拾壹万元整</v>
      </c>
      <c r="O60" s="2497"/>
    </row>
    <row r="61" spans="1:35" ht="13.5" thickBot="1">
      <c r="A61" s="3149" t="s">
        <v>2193</v>
      </c>
      <c r="B61" s="3149"/>
      <c r="C61" s="3149"/>
      <c r="D61" s="3149"/>
      <c r="E61" s="3149"/>
      <c r="F61" s="2493"/>
      <c r="G61" s="2493"/>
      <c r="H61" s="2501"/>
      <c r="I61" s="138"/>
      <c r="J61" s="1811">
        <f>J59+1</f>
        <v>6</v>
      </c>
      <c r="K61" s="3086" t="s">
        <v>2194</v>
      </c>
      <c r="L61" s="3086"/>
      <c r="M61" s="1763"/>
      <c r="N61" s="1764">
        <f ca="1">ROUND(N59*10000/'数据-汇总表'!E3,0)</f>
        <v>4557</v>
      </c>
      <c r="O61" s="2502"/>
    </row>
    <row r="62" spans="1:35" ht="12.75">
      <c r="A62" s="3106" t="s">
        <v>2195</v>
      </c>
      <c r="B62" s="3107"/>
      <c r="C62" s="1803"/>
      <c r="D62" s="1803" t="s">
        <v>2196</v>
      </c>
      <c r="E62" s="192" t="s">
        <v>2197</v>
      </c>
      <c r="F62" s="2493"/>
      <c r="G62" s="2493"/>
      <c r="H62" s="2501"/>
      <c r="I62" s="138"/>
    </row>
    <row r="63" spans="1:35" ht="12.75">
      <c r="A63" s="203" t="s">
        <v>774</v>
      </c>
      <c r="B63" s="193" t="s">
        <v>2198</v>
      </c>
      <c r="C63" s="194">
        <f ca="1">ROUND((C64+C65)/(1+'数据-取费表'!C42),0)</f>
        <v>2023</v>
      </c>
      <c r="D63" s="195"/>
      <c r="E63" s="196"/>
      <c r="F63" s="2493"/>
      <c r="G63" s="2493"/>
      <c r="H63" s="2501"/>
      <c r="I63" s="138"/>
      <c r="J63" s="3071" t="s">
        <v>2199</v>
      </c>
      <c r="K63" s="2503" t="s">
        <v>2200</v>
      </c>
      <c r="L63" s="1751">
        <f ca="1">IF(M49&gt;10000,M49*0.5%,IF(AND(M49&gt;1000,M49&lt;=10000),M49*1%,IF(AND(M49&gt;100,M49&lt;=1000),M49*3%,IF(AND(M49&gt;10,M49&lt;=100),M49*5%,M49*8%))))</f>
        <v>21.240000000000002</v>
      </c>
      <c r="M63" s="24">
        <f ca="1">ROUND(L63,1)</f>
        <v>21.2</v>
      </c>
      <c r="Z63" s="2427"/>
      <c r="AI63" s="2428"/>
    </row>
    <row r="64" spans="1:35" ht="14.25" customHeight="1">
      <c r="A64" s="197" t="s">
        <v>769</v>
      </c>
      <c r="B64" s="198" t="s">
        <v>2201</v>
      </c>
      <c r="C64" s="199">
        <f ca="1">D45</f>
        <v>2124</v>
      </c>
      <c r="D64" s="200" t="s">
        <v>32</v>
      </c>
      <c r="E64" s="201"/>
      <c r="F64" s="2493"/>
      <c r="G64" s="2493"/>
      <c r="H64" s="2501"/>
      <c r="I64" s="138"/>
      <c r="J64" s="3071"/>
      <c r="K64" s="2503" t="s">
        <v>2202</v>
      </c>
      <c r="L64" s="1751">
        <f ca="1">IF(M49&gt;2000,M49*0.5%,IF(AND(M49&gt;1000,M49&lt;=2000),M49*0.6%,IF(AND(M49&gt;500,M49&lt;=1000),M49*0.7%,IF(AND(M49&gt;200,M49&lt;=500),M49*0.8%,IF(AND(M49&gt;100,M49&lt;=200),M49*0.9%,IF(AND(M49&gt;50,M49&lt;=100),M49*1%,IF(AND(M49&gt;20,M49&lt;=50),M49*1.5%,IF(AND(M49&gt;10,M49&lt;=20),M49*2%,IF(AND(M49&gt;1,M49&lt;=10),M49*2.5%)))))))))</f>
        <v>10.620000000000001</v>
      </c>
      <c r="M64" s="24">
        <f t="shared" ref="M64:M65" ca="1" si="1">ROUND(L64,1)</f>
        <v>10.6</v>
      </c>
      <c r="N64" s="138" t="s">
        <v>2203</v>
      </c>
      <c r="Z64" s="2427"/>
      <c r="AI64" s="2428"/>
    </row>
    <row r="65" spans="1:35" ht="14.25" customHeight="1">
      <c r="A65" s="197" t="s">
        <v>770</v>
      </c>
      <c r="B65" s="198" t="s">
        <v>2204</v>
      </c>
      <c r="C65" s="202"/>
      <c r="D65" s="200"/>
      <c r="E65" s="201"/>
      <c r="F65" s="2493"/>
      <c r="G65" s="2493"/>
      <c r="H65" s="2501"/>
      <c r="I65" s="138"/>
      <c r="J65" s="3071"/>
      <c r="K65" s="2503" t="s">
        <v>2205</v>
      </c>
      <c r="L65" s="1751">
        <f ca="1">IF(M49&gt;1000,M49*0.1%,IF(AND(M49&gt;500,M49&lt;=1000),M49*0.5%,IF(AND(M49&gt;50,M49&lt;=500),M49*1%,IF(AND(M49&gt;1,M49&lt;=50),M49*1.5%))))</f>
        <v>2.1240000000000001</v>
      </c>
      <c r="M65" s="24">
        <f t="shared" ca="1" si="1"/>
        <v>2.1</v>
      </c>
      <c r="N65" s="138" t="s">
        <v>2203</v>
      </c>
      <c r="Z65" s="2427"/>
      <c r="AI65" s="2428"/>
    </row>
    <row r="66" spans="1:35" ht="14.25" customHeight="1">
      <c r="A66" s="203" t="s">
        <v>771</v>
      </c>
      <c r="B66" s="204" t="s">
        <v>2206</v>
      </c>
      <c r="C66" s="205"/>
      <c r="D66" s="206" t="s">
        <v>32</v>
      </c>
      <c r="E66" s="1775" t="s">
        <v>1367</v>
      </c>
      <c r="F66" s="2493"/>
      <c r="G66" s="2493"/>
      <c r="H66" s="2501"/>
      <c r="I66" s="138"/>
      <c r="J66" s="3071"/>
      <c r="K66" s="2503" t="s">
        <v>2207</v>
      </c>
      <c r="L66" s="1751">
        <f ca="1">M49*0.5%</f>
        <v>10.620000000000001</v>
      </c>
      <c r="M66" s="24">
        <f ca="1">IF(L66&gt;0.5,0.5,ROUND(L66,0))</f>
        <v>0.5</v>
      </c>
      <c r="N66" s="138" t="s">
        <v>2208</v>
      </c>
      <c r="Z66" s="2427"/>
      <c r="AI66" s="2428"/>
    </row>
    <row r="67" spans="1:35" ht="14.25" customHeight="1">
      <c r="A67" s="203" t="s">
        <v>772</v>
      </c>
      <c r="B67" s="204" t="s">
        <v>2209</v>
      </c>
      <c r="C67" s="207">
        <f ca="1">C63-C66</f>
        <v>2023</v>
      </c>
      <c r="D67" s="200" t="s">
        <v>32</v>
      </c>
      <c r="E67" s="201"/>
      <c r="F67" s="2493"/>
      <c r="G67" s="2493"/>
      <c r="H67" s="2501"/>
      <c r="I67" s="138"/>
      <c r="J67" s="3071"/>
      <c r="K67" s="2503" t="s">
        <v>2210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773</v>
      </c>
      <c r="B68" s="209" t="s">
        <v>2211</v>
      </c>
      <c r="C68" s="210">
        <f ca="1">IF(C67&lt;=0,0,ROUND(C67*D68,0))</f>
        <v>113</v>
      </c>
      <c r="D68" s="211">
        <f>'数据-取费表'!B41</f>
        <v>5.6000000000000001E-2</v>
      </c>
      <c r="E68" s="212"/>
      <c r="F68" s="2493"/>
      <c r="G68" s="2493"/>
      <c r="H68" s="2501"/>
      <c r="I68" s="138"/>
      <c r="J68" s="3071"/>
      <c r="K68" s="2503" t="s">
        <v>2212</v>
      </c>
      <c r="L68" s="1751">
        <f ca="1">IF(M49&gt;10000,M49*0.5%,IF(AND(M49&gt;5000,M49&lt;=10000),M49*1%,IF(AND(M49&gt;1000,M49&lt;=5000),M49*2%,IF(AND(M49&gt;200,M49&lt;=1000),M49*3%,M49*5%))))</f>
        <v>42.480000000000004</v>
      </c>
      <c r="M68" s="24">
        <f ca="1">ROUND(L68,1)</f>
        <v>42.5</v>
      </c>
      <c r="Z68" s="2427"/>
      <c r="AI68" s="2428"/>
    </row>
    <row r="69" spans="1:35" s="2450" customFormat="1" ht="16.5" customHeight="1">
      <c r="A69" s="2504"/>
      <c r="B69" s="2505"/>
      <c r="C69" s="2506"/>
      <c r="D69" s="2507"/>
      <c r="E69" s="2508"/>
      <c r="F69" s="2169"/>
      <c r="G69" s="2169"/>
      <c r="H69" s="2168"/>
      <c r="I69" s="2422"/>
      <c r="J69" s="3071"/>
      <c r="K69" s="2503" t="s">
        <v>2213</v>
      </c>
      <c r="L69" s="2509"/>
      <c r="M69" s="24">
        <f ca="1">ROUND(SUM(M63:M68),0)</f>
        <v>79</v>
      </c>
      <c r="N69" s="1752">
        <f ca="1">M69/M49</f>
        <v>3.71939736346516E-2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5" t="s">
        <v>2214</v>
      </c>
      <c r="B70" s="3116"/>
      <c r="C70" s="3116"/>
      <c r="D70" s="3116"/>
      <c r="E70" s="3116"/>
      <c r="F70" s="3116"/>
      <c r="G70" s="3116"/>
      <c r="H70" s="311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6" t="s">
        <v>2195</v>
      </c>
      <c r="B71" s="3107"/>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2023</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12</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12" t="s">
        <v>2223</v>
      </c>
      <c r="F76" s="3111"/>
      <c r="G76" s="3111"/>
      <c r="H76" s="311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12</v>
      </c>
      <c r="D78" s="226">
        <f>'数据-取费表'!B43</f>
        <v>6.000000000000001E-3</v>
      </c>
      <c r="E78" s="3103" t="s">
        <v>2228</v>
      </c>
      <c r="F78" s="3104"/>
      <c r="G78" s="3104"/>
      <c r="H78" s="310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2011</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167.58333333333334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1202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5" t="s">
        <v>2232</v>
      </c>
      <c r="B83" s="3116"/>
      <c r="C83" s="3116"/>
      <c r="D83" s="3116"/>
      <c r="E83" s="3116"/>
      <c r="F83" s="3116"/>
      <c r="G83" s="3116"/>
      <c r="H83" s="311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6" t="s">
        <v>2195</v>
      </c>
      <c r="B84" s="3107"/>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2023</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12</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103" t="s">
        <v>2241</v>
      </c>
      <c r="F91" s="3104"/>
      <c r="G91" s="3104"/>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103" t="s">
        <v>2245</v>
      </c>
      <c r="F92" s="3104"/>
      <c r="G92" s="3104"/>
      <c r="H92" s="310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12</v>
      </c>
      <c r="D93" s="226">
        <f>'数据-取费表'!B43</f>
        <v>6.000000000000001E-3</v>
      </c>
      <c r="E93" s="3103" t="s">
        <v>2228</v>
      </c>
      <c r="F93" s="3104"/>
      <c r="G93" s="3104"/>
      <c r="H93" s="310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51" t="s">
        <v>2249</v>
      </c>
      <c r="F94" s="3152"/>
      <c r="G94" s="3152"/>
      <c r="H94" s="315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2011</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167.58333333333334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1202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055" t="s">
        <v>2251</v>
      </c>
      <c r="B100" s="3056"/>
      <c r="C100" s="3056"/>
      <c r="D100" s="3087"/>
      <c r="E100" s="3056" t="s">
        <v>2252</v>
      </c>
      <c r="F100" s="3056"/>
      <c r="G100" s="3056"/>
      <c r="H100" s="3087"/>
      <c r="I100" s="138"/>
    </row>
    <row r="101" spans="1:35" ht="18.75" customHeight="1">
      <c r="A101" s="3095" t="s">
        <v>2253</v>
      </c>
      <c r="B101" s="3096"/>
      <c r="C101" s="736" t="str">
        <f>C4</f>
        <v>成本法</v>
      </c>
      <c r="D101" s="737" t="str">
        <f>D4</f>
        <v>假设开发法</v>
      </c>
      <c r="E101" s="3067" t="s">
        <v>2254</v>
      </c>
      <c r="F101" s="3068"/>
      <c r="G101" s="2524" t="s">
        <v>2255</v>
      </c>
      <c r="H101" s="1048">
        <f ca="1">H118</f>
        <v>2124</v>
      </c>
      <c r="I101" s="138"/>
    </row>
    <row r="102" spans="1:35" ht="18.75" customHeight="1">
      <c r="A102" s="3097" t="s">
        <v>2256</v>
      </c>
      <c r="B102" s="2524" t="s">
        <v>2255</v>
      </c>
      <c r="C102" s="736">
        <f ca="1">C19</f>
        <v>1853</v>
      </c>
      <c r="D102" s="737">
        <f ca="1">D19</f>
        <v>2395</v>
      </c>
      <c r="E102" s="3067"/>
      <c r="F102" s="3068"/>
      <c r="G102" s="2524" t="s">
        <v>2257</v>
      </c>
      <c r="H102" s="371">
        <f ca="1">I118</f>
        <v>10509</v>
      </c>
      <c r="I102" s="138"/>
    </row>
    <row r="103" spans="1:35" ht="42.75" customHeight="1">
      <c r="A103" s="3097"/>
      <c r="B103" s="2524" t="s">
        <v>2257</v>
      </c>
      <c r="C103" s="738">
        <f ca="1">C20</f>
        <v>9168</v>
      </c>
      <c r="D103" s="739">
        <f ca="1">D20</f>
        <v>11850</v>
      </c>
      <c r="E103" s="3061" t="s">
        <v>2258</v>
      </c>
      <c r="F103" s="3062"/>
      <c r="G103" s="2525" t="s">
        <v>2259</v>
      </c>
      <c r="H103" s="1048">
        <f>IF(D36="正常操作",H104+H105+H106,H105+H106)</f>
        <v>0</v>
      </c>
      <c r="I103" s="138"/>
    </row>
    <row r="104" spans="1:35" ht="18.75" customHeight="1">
      <c r="A104" s="3097" t="s">
        <v>2260</v>
      </c>
      <c r="B104" s="2526" t="s">
        <v>2255</v>
      </c>
      <c r="C104" s="740">
        <f ca="1">H118</f>
        <v>2124</v>
      </c>
      <c r="D104" s="741"/>
      <c r="E104" s="2270" t="s">
        <v>2261</v>
      </c>
      <c r="F104" s="2261"/>
      <c r="G104" s="2525" t="s">
        <v>2259</v>
      </c>
      <c r="H104" s="1049">
        <f>IF(D36="同一抵押权人同一抵押物续贷",C36&amp;"（未扣减，详见特别提示）",C36)</f>
        <v>0</v>
      </c>
      <c r="I104" s="138"/>
    </row>
    <row r="105" spans="1:35" ht="18.75" customHeight="1" thickBot="1">
      <c r="A105" s="3109"/>
      <c r="B105" s="2527" t="s">
        <v>2257</v>
      </c>
      <c r="C105" s="742">
        <f ca="1">I118</f>
        <v>10509</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098" t="str">
        <f>IF(项目基本情况!E8="已注销","——","3.房地产抵押价值")</f>
        <v>3.房地产抵押价值</v>
      </c>
      <c r="F107" s="3068"/>
      <c r="G107" s="2524" t="s">
        <v>2255</v>
      </c>
      <c r="H107" s="1048">
        <f ca="1">IF(E107="——","——",H101-H103)</f>
        <v>2124</v>
      </c>
      <c r="I107" s="138"/>
    </row>
    <row r="108" spans="1:35" ht="18.75" customHeight="1">
      <c r="A108" s="138"/>
      <c r="B108" s="138"/>
      <c r="C108" s="138"/>
      <c r="D108" s="138"/>
      <c r="E108" s="3098"/>
      <c r="F108" s="3068"/>
      <c r="G108" s="2524" t="s">
        <v>2257</v>
      </c>
      <c r="H108" s="371">
        <f ca="1">ROUND(H107*10000/'数据-汇总表'!E3,0)</f>
        <v>10509</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4" t="s">
        <v>2255</v>
      </c>
      <c r="H109" s="348" t="str">
        <f>IF(E109="——","——",H101-H105-H106)</f>
        <v>——</v>
      </c>
      <c r="I109" s="138"/>
    </row>
    <row r="110" spans="1:35" ht="18.75" customHeight="1">
      <c r="A110" s="138"/>
      <c r="B110" s="138"/>
      <c r="C110" s="138"/>
      <c r="D110" s="138"/>
      <c r="E110" s="3098"/>
      <c r="F110" s="3068"/>
      <c r="G110" s="2524" t="s">
        <v>2257</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4" t="s">
        <v>2255</v>
      </c>
      <c r="H111" s="1048" t="str">
        <f>IF(E111="——","——",N59)</f>
        <v>——</v>
      </c>
      <c r="I111" s="138"/>
    </row>
    <row r="112" spans="1:35" ht="18.75" customHeight="1" thickBot="1">
      <c r="A112" s="138"/>
      <c r="B112" s="138"/>
      <c r="C112" s="138"/>
      <c r="D112" s="138"/>
      <c r="E112" s="3101"/>
      <c r="F112" s="3102"/>
      <c r="G112" s="2529" t="s">
        <v>2257</v>
      </c>
      <c r="H112" s="790" t="str">
        <f>IF(E111="——","——",N61)</f>
        <v>——</v>
      </c>
      <c r="I112" s="138"/>
    </row>
    <row r="113" spans="1:11" ht="18.75" customHeight="1">
      <c r="A113" s="138"/>
      <c r="B113" s="138"/>
      <c r="C113" s="138"/>
      <c r="D113" s="138"/>
      <c r="E113" s="3110" t="s">
        <v>2263</v>
      </c>
      <c r="F113" s="3110"/>
      <c r="G113" s="3110"/>
      <c r="H113" s="3110"/>
      <c r="I113" s="138"/>
    </row>
    <row r="114" spans="1:11" ht="3.75" customHeight="1">
      <c r="A114" s="2422"/>
      <c r="B114" s="2422"/>
      <c r="C114" s="2422"/>
      <c r="D114" s="2422"/>
      <c r="E114" s="2500"/>
      <c r="F114" s="2500"/>
      <c r="G114" s="2500"/>
      <c r="H114" s="2500"/>
      <c r="I114" s="2422"/>
    </row>
    <row r="115" spans="1:11" ht="18.75" customHeight="1">
      <c r="A115" s="3123" t="s">
        <v>2265</v>
      </c>
      <c r="B115" s="3124"/>
      <c r="C115" s="3124"/>
      <c r="D115" s="3124"/>
      <c r="E115" s="3124"/>
      <c r="F115" s="3124"/>
      <c r="G115" s="3124"/>
      <c r="H115" s="3124"/>
      <c r="I115" s="3125"/>
    </row>
    <row r="116" spans="1:11" ht="27" customHeight="1">
      <c r="A116" s="3034" t="s">
        <v>2266</v>
      </c>
      <c r="B116" s="3077" t="s">
        <v>2267</v>
      </c>
      <c r="C116" s="3077" t="s">
        <v>2268</v>
      </c>
      <c r="D116" s="3083" t="s">
        <v>2269</v>
      </c>
      <c r="E116" s="3084"/>
      <c r="F116" s="3119" t="s">
        <v>2270</v>
      </c>
      <c r="G116" s="3119"/>
      <c r="H116" s="3034" t="s">
        <v>2271</v>
      </c>
      <c r="I116" s="3034"/>
    </row>
    <row r="117" spans="1:11" ht="18.75" customHeight="1">
      <c r="A117" s="3034"/>
      <c r="B117" s="3078"/>
      <c r="C117" s="3078"/>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2021.11</v>
      </c>
      <c r="C118" s="1797">
        <f>M19</f>
        <v>544.62</v>
      </c>
      <c r="D118" s="1797">
        <f ca="1">ROUND(IF(D32="总价",C34,E118*B118/10000),0)</f>
        <v>1582</v>
      </c>
      <c r="E118" s="1797">
        <f ca="1">ROUND(IF(C33="自定义",IF(D32="楼面单价",C34,D118*10000/B118),I118-G118),0)</f>
        <v>7827</v>
      </c>
      <c r="F118" s="1797">
        <f ca="1">ROUND(IF(D32="总价",C35,G118*B118/10000),0)</f>
        <v>542</v>
      </c>
      <c r="G118" s="1797">
        <f ca="1">ROUND(IF(D32="楼面单价",C35,F118*10000/B118),0)</f>
        <v>2682</v>
      </c>
      <c r="H118" s="1797">
        <f ca="1">ROUND(IF(D32="总价",C32,I118*B118/10000),0)</f>
        <v>2124</v>
      </c>
      <c r="I118" s="1797">
        <f ca="1">ROUND(IF(D32="楼面单价",C32,H118*10000/B118),0)</f>
        <v>10509</v>
      </c>
    </row>
    <row r="119" spans="1:11" ht="18.75" customHeight="1">
      <c r="A119" s="3034" t="s">
        <v>2275</v>
      </c>
      <c r="B119" s="3034"/>
      <c r="C119" s="3034"/>
      <c r="D119" s="3079" t="str">
        <f ca="1">NUMBERSTRING(INT(D118*10000),2)&amp;"元整"</f>
        <v>壹仟伍佰捌拾贰万元整</v>
      </c>
      <c r="E119" s="3080"/>
      <c r="F119" s="3079" t="str">
        <f ca="1">NUMBERSTRING(INT(F118*10000),2)&amp;"元整"</f>
        <v>伍佰肆拾贰万元整</v>
      </c>
      <c r="G119" s="3080"/>
      <c r="H119" s="3079" t="str">
        <f ca="1">NUMBERSTRING(INT(H118*10000),2)&amp;"元整"</f>
        <v>贰仟壹佰贰拾肆万元整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7" t="str">
        <f>IF(D120=0,"故，本次评估不存在"&amp;A120,"故，本次评估"&amp;A120&amp;"为人民币"&amp;D120&amp;"万元整。")</f>
        <v>故，本次评估不存在估价师知悉的法定优先受偿款</v>
      </c>
    </row>
    <row r="121" spans="1:11" ht="18.75" customHeight="1">
      <c r="A121" s="3120" t="s">
        <v>2275</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2124</v>
      </c>
      <c r="E122" s="3075"/>
      <c r="F122" s="3075"/>
      <c r="G122" s="3075"/>
      <c r="H122" s="3075"/>
      <c r="I122" s="3076"/>
    </row>
    <row r="123" spans="1:11" ht="18.75" customHeight="1">
      <c r="A123" s="3034" t="s">
        <v>2275</v>
      </c>
      <c r="B123" s="3034"/>
      <c r="C123" s="3034"/>
      <c r="D123" s="3079" t="str">
        <f ca="1">NUMBERSTRING(INT(D122*10000),2)&amp;"元整"</f>
        <v>贰仟壹佰贰拾肆万元整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2275</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2275</v>
      </c>
      <c r="B127" s="3034"/>
      <c r="C127" s="3034"/>
      <c r="D127" s="3079" t="e">
        <f>NUMBERSTRING(INT(D126*10000),2)&amp;"元整"</f>
        <v>#VALUE!</v>
      </c>
      <c r="E127" s="3081"/>
      <c r="F127" s="3081"/>
      <c r="G127" s="3081"/>
      <c r="H127" s="3081"/>
      <c r="I127" s="3080"/>
    </row>
    <row r="128" spans="1:11" ht="21.75" customHeight="1">
      <c r="A128" s="3082" t="s">
        <v>2276</v>
      </c>
      <c r="B128" s="3082"/>
      <c r="C128" s="3082"/>
      <c r="D128" s="3082"/>
      <c r="E128" s="3082"/>
      <c r="F128" s="3082"/>
      <c r="G128" s="3082"/>
      <c r="H128" s="3082"/>
      <c r="I128" s="3082"/>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A9" sqref="A9:XFD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991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4903</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30" ht="15">
      <c r="A5" s="404"/>
      <c r="B5" s="405"/>
      <c r="C5" s="3165" t="s">
        <v>3086</v>
      </c>
      <c r="D5" s="3166"/>
      <c r="E5" s="3163" t="s">
        <v>3036</v>
      </c>
      <c r="F5" s="3164"/>
      <c r="G5" s="3169" t="s">
        <v>3037</v>
      </c>
      <c r="H5" s="3166"/>
      <c r="I5" s="3169" t="s">
        <v>3038</v>
      </c>
      <c r="J5" s="3166"/>
      <c r="K5" s="610"/>
      <c r="L5" s="1133"/>
      <c r="M5" s="1134"/>
      <c r="N5" s="1134"/>
      <c r="O5" s="1134"/>
      <c r="P5" s="3179"/>
      <c r="Q5" s="3180"/>
      <c r="R5" s="3161"/>
      <c r="S5" s="3162"/>
      <c r="T5" s="3161"/>
      <c r="U5" s="3162"/>
      <c r="V5" s="3185"/>
      <c r="W5" s="3185"/>
      <c r="X5" s="1815"/>
      <c r="Y5" s="3161"/>
      <c r="Z5" s="3162"/>
      <c r="AA5" s="3155"/>
      <c r="AB5" s="3155"/>
      <c r="AC5" s="3155"/>
    </row>
    <row r="6" spans="1:30"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157" t="s">
        <v>2504</v>
      </c>
      <c r="Q7" s="3186"/>
      <c r="R7" s="770" t="s">
        <v>17</v>
      </c>
      <c r="S7" s="771">
        <f t="shared" ref="S7:S15" si="0">F7</f>
        <v>94</v>
      </c>
      <c r="T7" s="770" t="s">
        <v>17</v>
      </c>
      <c r="U7" s="771">
        <f t="shared" ref="U7:U15" si="1">H7</f>
        <v>93</v>
      </c>
      <c r="V7" s="770" t="s">
        <v>17</v>
      </c>
      <c r="W7" s="771">
        <f t="shared" ref="W7:W15" si="2">J7</f>
        <v>100</v>
      </c>
      <c r="X7" s="772"/>
      <c r="Y7" s="3157" t="s">
        <v>2504</v>
      </c>
      <c r="Z7" s="3158"/>
      <c r="AA7" s="773">
        <f>D7/F7</f>
        <v>1.0638297872340425</v>
      </c>
      <c r="AB7" s="773">
        <f>D7/H7</f>
        <v>1.075268817204301</v>
      </c>
      <c r="AC7" s="773">
        <f>D7/J7</f>
        <v>1</v>
      </c>
    </row>
    <row r="8" spans="1:30" s="117" customFormat="1" ht="15.75" thickBot="1">
      <c r="A8" s="408" t="s">
        <v>2505</v>
      </c>
      <c r="B8" s="409"/>
      <c r="C8" s="414" t="s">
        <v>3039</v>
      </c>
      <c r="D8" s="411">
        <v>100</v>
      </c>
      <c r="E8" s="414" t="s">
        <v>3039</v>
      </c>
      <c r="F8" s="413">
        <f>SUMIF(73:73,E8,74:74)-SUMIF(73:73,C8,74:74)+100</f>
        <v>100</v>
      </c>
      <c r="G8" s="414" t="s">
        <v>3039</v>
      </c>
      <c r="H8" s="411">
        <f>SUMIF(73:73,G8,74:74)-SUMIF(73:73,C8,74:74)+100</f>
        <v>100</v>
      </c>
      <c r="I8" s="414" t="s">
        <v>3039</v>
      </c>
      <c r="J8" s="411">
        <f>SUMIF(73:73,I8,74:74)-SUMIF(73:73,C8,74:74)+100</f>
        <v>100</v>
      </c>
      <c r="K8" s="611"/>
      <c r="L8" s="1135"/>
      <c r="M8" s="1136"/>
      <c r="N8" s="1136"/>
      <c r="O8" s="1136"/>
      <c r="P8" s="3157" t="s">
        <v>2507</v>
      </c>
      <c r="Q8" s="3158"/>
      <c r="R8" s="770" t="s">
        <v>17</v>
      </c>
      <c r="S8" s="771">
        <f t="shared" si="0"/>
        <v>100</v>
      </c>
      <c r="T8" s="770" t="s">
        <v>17</v>
      </c>
      <c r="U8" s="771">
        <f t="shared" si="1"/>
        <v>100</v>
      </c>
      <c r="V8" s="770" t="s">
        <v>17</v>
      </c>
      <c r="W8" s="771">
        <f t="shared" si="2"/>
        <v>100</v>
      </c>
      <c r="X8" s="772"/>
      <c r="Y8" s="3157" t="s">
        <v>2507</v>
      </c>
      <c r="Z8" s="3158"/>
      <c r="AA8" s="773">
        <f t="shared" ref="AA8:AA45" si="3">D8/F8</f>
        <v>1</v>
      </c>
      <c r="AB8" s="773">
        <f t="shared" ref="AB8:AB45" si="4">D8/H8</f>
        <v>1</v>
      </c>
      <c r="AC8" s="773">
        <f t="shared" ref="AC8:AC45" si="5">D8/J8</f>
        <v>1</v>
      </c>
    </row>
    <row r="9" spans="1:30" s="117" customFormat="1">
      <c r="A9" s="415" t="s">
        <v>2508</v>
      </c>
      <c r="B9" s="71" t="s">
        <v>2509</v>
      </c>
      <c r="C9" s="2705" t="s">
        <v>1373</v>
      </c>
      <c r="D9" s="135">
        <v>100</v>
      </c>
      <c r="E9" s="2705" t="s">
        <v>3040</v>
      </c>
      <c r="F9" s="135">
        <f>SUMIF(75:75,E9,76:76)-SUMIF(75:75,C9,76:76)+100</f>
        <v>98</v>
      </c>
      <c r="G9" s="2705" t="s">
        <v>3040</v>
      </c>
      <c r="H9" s="135">
        <f>SUMIF(75:75,G9,76:76)-SUMIF(75:75,C9,76:76)+100</f>
        <v>98</v>
      </c>
      <c r="I9" s="2705" t="s">
        <v>3040</v>
      </c>
      <c r="J9" s="135">
        <f>SUMIF(75:75,I9,76:76)-SUMIF(75:75,C9,76:76)+100</f>
        <v>98</v>
      </c>
      <c r="K9" s="611"/>
      <c r="L9" s="1135"/>
      <c r="M9" s="1136"/>
      <c r="N9" s="1136"/>
      <c r="O9" s="1137"/>
      <c r="P9" s="3172" t="s">
        <v>2510</v>
      </c>
      <c r="Q9" s="1797" t="str">
        <f t="shared" ref="Q9:Q15" si="6">B9</f>
        <v>用途</v>
      </c>
      <c r="R9" s="770" t="s">
        <v>17</v>
      </c>
      <c r="S9" s="771">
        <f t="shared" si="0"/>
        <v>98</v>
      </c>
      <c r="T9" s="770" t="s">
        <v>17</v>
      </c>
      <c r="U9" s="771">
        <f t="shared" si="1"/>
        <v>98</v>
      </c>
      <c r="V9" s="770" t="s">
        <v>17</v>
      </c>
      <c r="W9" s="771">
        <f t="shared" si="2"/>
        <v>98</v>
      </c>
      <c r="X9" s="772"/>
      <c r="Y9" s="3034" t="s">
        <v>2511</v>
      </c>
      <c r="Z9" s="55" t="str">
        <f t="shared" ref="Z9:Z15" si="7">Q9</f>
        <v>用途</v>
      </c>
      <c r="AA9" s="773">
        <f t="shared" si="3"/>
        <v>1.0204081632653061</v>
      </c>
      <c r="AB9" s="773">
        <f t="shared" si="4"/>
        <v>1.0204081632653061</v>
      </c>
      <c r="AC9" s="773">
        <f t="shared" si="5"/>
        <v>1.0204081632653061</v>
      </c>
    </row>
    <row r="10" spans="1:30" s="427" customFormat="1" ht="28.5">
      <c r="A10" s="421"/>
      <c r="B10" s="422" t="s">
        <v>2512</v>
      </c>
      <c r="C10" s="432" t="s">
        <v>3042</v>
      </c>
      <c r="D10" s="136">
        <v>100</v>
      </c>
      <c r="E10" s="465" t="s">
        <v>3068</v>
      </c>
      <c r="F10" s="136">
        <f>ROUND(100/'数据-取费表'!G16,0)</f>
        <v>113</v>
      </c>
      <c r="G10" s="463" t="s">
        <v>3068</v>
      </c>
      <c r="H10" s="136">
        <f>ROUND(100/'数据-取费表'!G16,0)</f>
        <v>113</v>
      </c>
      <c r="I10" s="463" t="s">
        <v>3068</v>
      </c>
      <c r="J10" s="136">
        <f>ROUND(100/'数据-取费表'!G16,0)</f>
        <v>113</v>
      </c>
      <c r="K10" s="672"/>
      <c r="L10" s="1138"/>
      <c r="M10" s="1139"/>
      <c r="N10" s="1139"/>
      <c r="O10" s="1140"/>
      <c r="P10" s="3172"/>
      <c r="Q10" s="1797" t="str">
        <f t="shared" si="6"/>
        <v>土地使用年限（年）</v>
      </c>
      <c r="R10" s="770" t="s">
        <v>17</v>
      </c>
      <c r="S10" s="771">
        <f t="shared" si="0"/>
        <v>113</v>
      </c>
      <c r="T10" s="770" t="s">
        <v>17</v>
      </c>
      <c r="U10" s="771">
        <f t="shared" si="1"/>
        <v>113</v>
      </c>
      <c r="V10" s="770" t="s">
        <v>17</v>
      </c>
      <c r="W10" s="771">
        <f t="shared" si="2"/>
        <v>113</v>
      </c>
      <c r="X10" s="772"/>
      <c r="Y10" s="3034"/>
      <c r="Z10" s="55" t="str">
        <f t="shared" si="7"/>
        <v>土地使用年限（年）</v>
      </c>
      <c r="AA10" s="773">
        <f t="shared" si="3"/>
        <v>0.88495575221238942</v>
      </c>
      <c r="AB10" s="773">
        <f t="shared" si="4"/>
        <v>0.88495575221238942</v>
      </c>
      <c r="AC10" s="773">
        <f t="shared" si="5"/>
        <v>0.88495575221238942</v>
      </c>
    </row>
    <row r="11" spans="1:30" ht="15">
      <c r="A11" s="428"/>
      <c r="B11" s="422" t="s">
        <v>2513</v>
      </c>
      <c r="C11" s="429">
        <v>2.8</v>
      </c>
      <c r="D11" s="136">
        <v>100</v>
      </c>
      <c r="E11" s="429">
        <v>3</v>
      </c>
      <c r="F11" s="136">
        <f>LOOKUP(E11,80:80,81:81)-LOOKUP(C11,80:80,81:81)+100</f>
        <v>98</v>
      </c>
      <c r="G11" s="430">
        <v>2.5</v>
      </c>
      <c r="H11" s="136">
        <f>LOOKUP(G11,80:80,81:81)-LOOKUP(C11,80:80,81:81)+100</f>
        <v>100</v>
      </c>
      <c r="I11" s="429">
        <v>5.8</v>
      </c>
      <c r="J11" s="136">
        <f>LOOKUP(I11,80:80,81:81)-LOOKUP(C11,80:80,81:81)+100</f>
        <v>94</v>
      </c>
      <c r="K11" s="673">
        <v>2</v>
      </c>
      <c r="L11" s="1141"/>
      <c r="M11" s="1134"/>
      <c r="N11" s="1134"/>
      <c r="O11" s="1142"/>
      <c r="P11" s="3172"/>
      <c r="Q11" s="1797" t="str">
        <f t="shared" si="6"/>
        <v>容积率</v>
      </c>
      <c r="R11" s="770" t="s">
        <v>17</v>
      </c>
      <c r="S11" s="771">
        <f t="shared" si="0"/>
        <v>98</v>
      </c>
      <c r="T11" s="770" t="s">
        <v>17</v>
      </c>
      <c r="U11" s="771">
        <f t="shared" si="1"/>
        <v>100</v>
      </c>
      <c r="V11" s="770" t="s">
        <v>17</v>
      </c>
      <c r="W11" s="771">
        <f t="shared" si="2"/>
        <v>94</v>
      </c>
      <c r="X11" s="772"/>
      <c r="Y11" s="3034"/>
      <c r="Z11" s="55" t="str">
        <f t="shared" si="7"/>
        <v>容积率</v>
      </c>
      <c r="AA11" s="773">
        <f t="shared" si="3"/>
        <v>1.0204081632653061</v>
      </c>
      <c r="AB11" s="773">
        <f t="shared" si="4"/>
        <v>1</v>
      </c>
      <c r="AC11" s="773">
        <f t="shared" si="5"/>
        <v>1.0638297872340425</v>
      </c>
    </row>
    <row r="12" spans="1:30" s="117" customFormat="1" ht="15">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2"/>
      <c r="Q12" s="1797">
        <f t="shared" si="6"/>
        <v>0</v>
      </c>
      <c r="R12" s="770" t="s">
        <v>17</v>
      </c>
      <c r="S12" s="771">
        <f t="shared" si="0"/>
        <v>100</v>
      </c>
      <c r="T12" s="770" t="s">
        <v>17</v>
      </c>
      <c r="U12" s="771">
        <f t="shared" si="1"/>
        <v>100</v>
      </c>
      <c r="V12" s="770" t="s">
        <v>17</v>
      </c>
      <c r="W12" s="771">
        <f t="shared" si="2"/>
        <v>100</v>
      </c>
      <c r="X12" s="772"/>
      <c r="Y12" s="3034"/>
      <c r="Z12" s="55">
        <f t="shared" si="7"/>
        <v>0</v>
      </c>
      <c r="AA12" s="773">
        <f>D12/F12</f>
        <v>1</v>
      </c>
      <c r="AB12" s="773">
        <f>D12/H12</f>
        <v>1</v>
      </c>
      <c r="AC12" s="773">
        <f>D12/J12</f>
        <v>1</v>
      </c>
    </row>
    <row r="13" spans="1:30" ht="15">
      <c r="A13" s="428"/>
      <c r="B13" s="2954" t="s">
        <v>3114</v>
      </c>
      <c r="C13" s="2621" t="s">
        <v>3112</v>
      </c>
      <c r="D13" s="435">
        <v>100</v>
      </c>
      <c r="E13" s="2621" t="s">
        <v>3112</v>
      </c>
      <c r="F13" s="136">
        <f>SUMIF(84:84,E13,85:85)-SUMIF(84:84,C13,85:85)+100</f>
        <v>100</v>
      </c>
      <c r="G13" s="2621" t="s">
        <v>3112</v>
      </c>
      <c r="H13" s="435">
        <f>SUMIF(84:84,G13,85:85)-SUMIF(84:84,C13,85:85)+100</f>
        <v>100</v>
      </c>
      <c r="I13" s="674" t="s">
        <v>3113</v>
      </c>
      <c r="J13" s="435">
        <f>SUMIF(84:84,I13,85:85)-SUMIF(84:84,C13,85:85)+100</f>
        <v>105</v>
      </c>
      <c r="K13" s="672"/>
      <c r="L13" s="1143"/>
      <c r="M13" s="1134"/>
      <c r="N13" s="1134"/>
      <c r="O13" s="1142"/>
      <c r="P13" s="3172"/>
      <c r="Q13" s="1797" t="str">
        <f t="shared" si="6"/>
        <v>商业占比</v>
      </c>
      <c r="R13" s="770" t="s">
        <v>17</v>
      </c>
      <c r="S13" s="771">
        <f t="shared" si="0"/>
        <v>100</v>
      </c>
      <c r="T13" s="770" t="s">
        <v>17</v>
      </c>
      <c r="U13" s="771">
        <f t="shared" si="1"/>
        <v>100</v>
      </c>
      <c r="V13" s="770" t="s">
        <v>17</v>
      </c>
      <c r="W13" s="771">
        <f t="shared" si="2"/>
        <v>105</v>
      </c>
      <c r="X13" s="772"/>
      <c r="Y13" s="3034"/>
      <c r="Z13" s="55" t="str">
        <f t="shared" si="7"/>
        <v>商业占比</v>
      </c>
      <c r="AA13" s="773">
        <f>D13/F13</f>
        <v>1</v>
      </c>
      <c r="AB13" s="773">
        <f>D13/H13</f>
        <v>1</v>
      </c>
      <c r="AC13" s="773">
        <f>D13/J13</f>
        <v>0.95238095238095233</v>
      </c>
    </row>
    <row r="14" spans="1:30" ht="15.75" thickBot="1">
      <c r="A14" s="436"/>
      <c r="B14" s="2955" t="s">
        <v>3126</v>
      </c>
      <c r="C14" s="2622" t="s">
        <v>3012</v>
      </c>
      <c r="D14" s="438">
        <v>100</v>
      </c>
      <c r="E14" s="2622" t="s">
        <v>3012</v>
      </c>
      <c r="F14" s="438">
        <f>SUMIF(86:86,E14,87:87)-SUMIF(86:86,C14,87:87)+100</f>
        <v>100</v>
      </c>
      <c r="G14" s="2622" t="s">
        <v>3012</v>
      </c>
      <c r="H14" s="438">
        <f>SUMIF(86:86,G14,87:87)-SUMIF(86:86,C14,87:87)+100</f>
        <v>100</v>
      </c>
      <c r="I14" s="674" t="s">
        <v>3013</v>
      </c>
      <c r="J14" s="438">
        <f>SUMIF(86:86,I14,87:87)-SUMIF(86:86,C14,87:87)+100</f>
        <v>95</v>
      </c>
      <c r="K14" s="672"/>
      <c r="L14" s="1143"/>
      <c r="M14" s="1134"/>
      <c r="N14" s="1134"/>
      <c r="O14" s="1142"/>
      <c r="P14" s="3172"/>
      <c r="Q14" s="1797" t="str">
        <f t="shared" si="6"/>
        <v xml:space="preserve">是否还建 </v>
      </c>
      <c r="R14" s="770" t="s">
        <v>17</v>
      </c>
      <c r="S14" s="771">
        <f t="shared" si="0"/>
        <v>100</v>
      </c>
      <c r="T14" s="770" t="s">
        <v>17</v>
      </c>
      <c r="U14" s="771">
        <f t="shared" si="1"/>
        <v>100</v>
      </c>
      <c r="V14" s="770" t="s">
        <v>17</v>
      </c>
      <c r="W14" s="771">
        <f t="shared" si="2"/>
        <v>95</v>
      </c>
      <c r="X14" s="772"/>
      <c r="Y14" s="3034"/>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估价对象周边居住用地比例较高、居住小区规模和社区发展完善程度较好，周边1公里内有碧水春城等住宅项目，综合评价居住社区成熟度较好</v>
      </c>
      <c r="D15" s="441">
        <v>100</v>
      </c>
      <c r="E15" s="442" t="s">
        <v>3069</v>
      </c>
      <c r="F15" s="441">
        <f>SUMIF(88:88,E16,89:89)-SUMIF(88:88,C16,89:89)+100</f>
        <v>100</v>
      </c>
      <c r="G15" s="442" t="s">
        <v>3076</v>
      </c>
      <c r="H15" s="441">
        <f>SUMIF(88:88,G16,89:89)-SUMIF(88:88,C16,89:89)+100</f>
        <v>94</v>
      </c>
      <c r="I15" s="444" t="s">
        <v>3081</v>
      </c>
      <c r="J15" s="441">
        <f>SUMIF(88:88,I16,89:89)-SUMIF(88:88,C16,89:89)+100</f>
        <v>100</v>
      </c>
      <c r="K15" s="673">
        <v>6</v>
      </c>
      <c r="L15" s="1143"/>
      <c r="M15" s="1134"/>
      <c r="N15" s="1134"/>
      <c r="O15" s="1142"/>
      <c r="P15" s="3187" t="s">
        <v>2515</v>
      </c>
      <c r="Q15" s="1812" t="str">
        <f t="shared" si="6"/>
        <v>居住社区成熟度</v>
      </c>
      <c r="R15" s="774" t="s">
        <v>17</v>
      </c>
      <c r="S15" s="775">
        <f t="shared" si="0"/>
        <v>100</v>
      </c>
      <c r="T15" s="774" t="s">
        <v>17</v>
      </c>
      <c r="U15" s="775">
        <f t="shared" si="1"/>
        <v>94</v>
      </c>
      <c r="V15" s="774" t="s">
        <v>17</v>
      </c>
      <c r="W15" s="775">
        <f t="shared" si="2"/>
        <v>100</v>
      </c>
      <c r="X15" s="1815"/>
      <c r="Y15" s="3187" t="s">
        <v>2515</v>
      </c>
      <c r="Z15" s="1816" t="str">
        <f t="shared" si="7"/>
        <v>居住社区成熟度</v>
      </c>
      <c r="AA15" s="1813">
        <f t="shared" si="3"/>
        <v>1</v>
      </c>
      <c r="AB15" s="1813">
        <f t="shared" si="4"/>
        <v>1.0638297872340425</v>
      </c>
      <c r="AC15" s="1813">
        <f t="shared" si="5"/>
        <v>1</v>
      </c>
    </row>
    <row r="16" spans="1:30" ht="15">
      <c r="A16" s="428"/>
      <c r="B16" s="446"/>
      <c r="C16" s="447" t="s">
        <v>3064</v>
      </c>
      <c r="D16" s="448"/>
      <c r="E16" s="2611" t="s">
        <v>3064</v>
      </c>
      <c r="F16" s="448"/>
      <c r="G16" s="2611" t="s">
        <v>3043</v>
      </c>
      <c r="H16" s="450"/>
      <c r="I16" s="2610" t="s">
        <v>3064</v>
      </c>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3070</v>
      </c>
      <c r="F17" s="450">
        <f>SUMIF(90:90,E18,91:91)-SUMIF(90:90,C18,91:91)+100</f>
        <v>100</v>
      </c>
      <c r="G17" s="452" t="s">
        <v>3077</v>
      </c>
      <c r="H17" s="455">
        <f>SUMIF(90:90,G18,91:91)-SUMIF(90:90,C18,91:91)+100</f>
        <v>100</v>
      </c>
      <c r="I17" s="454" t="s">
        <v>3082</v>
      </c>
      <c r="J17" s="455">
        <f>SUMIF(90:90,I18,91:91)-SUMIF(90:90,C18,91:91)+100</f>
        <v>100</v>
      </c>
      <c r="K17" s="673">
        <v>2</v>
      </c>
      <c r="L17" s="1143"/>
      <c r="M17" s="1134"/>
      <c r="N17" s="1134"/>
      <c r="O17" s="1142"/>
      <c r="P17" s="3188"/>
      <c r="Q17" s="1812" t="str">
        <f>B17</f>
        <v>商业繁华度</v>
      </c>
      <c r="R17" s="774" t="s">
        <v>17</v>
      </c>
      <c r="S17" s="775">
        <f>F17</f>
        <v>100</v>
      </c>
      <c r="T17" s="774" t="s">
        <v>17</v>
      </c>
      <c r="U17" s="775">
        <f>H17</f>
        <v>100</v>
      </c>
      <c r="V17" s="774" t="s">
        <v>17</v>
      </c>
      <c r="W17" s="775">
        <f>J17</f>
        <v>100</v>
      </c>
      <c r="X17" s="1815"/>
      <c r="Y17" s="3188"/>
      <c r="Z17" s="1816" t="str">
        <f>Q17</f>
        <v>商业繁华度</v>
      </c>
      <c r="AA17" s="1813">
        <f t="shared" si="3"/>
        <v>1</v>
      </c>
      <c r="AB17" s="1813">
        <f t="shared" si="4"/>
        <v>1</v>
      </c>
      <c r="AC17" s="1813">
        <f t="shared" si="5"/>
        <v>1</v>
      </c>
    </row>
    <row r="18" spans="1:29" ht="15">
      <c r="A18" s="428"/>
      <c r="B18" s="456"/>
      <c r="C18" s="2614" t="s">
        <v>3067</v>
      </c>
      <c r="D18" s="450"/>
      <c r="E18" s="2614" t="s">
        <v>3067</v>
      </c>
      <c r="F18" s="450"/>
      <c r="G18" s="2614" t="s">
        <v>3067</v>
      </c>
      <c r="H18" s="448"/>
      <c r="I18" s="2614" t="s">
        <v>3067</v>
      </c>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188"/>
      <c r="Q19" s="1812" t="str">
        <f>B19</f>
        <v>办公集聚程度</v>
      </c>
      <c r="R19" s="774" t="s">
        <v>17</v>
      </c>
      <c r="S19" s="775">
        <f>F19</f>
        <v>100</v>
      </c>
      <c r="T19" s="774" t="s">
        <v>17</v>
      </c>
      <c r="U19" s="775">
        <f>H19</f>
        <v>100</v>
      </c>
      <c r="V19" s="774" t="s">
        <v>17</v>
      </c>
      <c r="W19" s="775">
        <f>J19</f>
        <v>100</v>
      </c>
      <c r="X19" s="1815"/>
      <c r="Y19" s="3188"/>
      <c r="Z19" s="1816" t="str">
        <f>Q19</f>
        <v>办公集聚程度</v>
      </c>
      <c r="AA19" s="1813">
        <f t="shared" si="3"/>
        <v>1</v>
      </c>
      <c r="AB19" s="1813">
        <f t="shared" si="4"/>
        <v>1</v>
      </c>
      <c r="AC19" s="1813">
        <f t="shared" si="5"/>
        <v>1</v>
      </c>
    </row>
    <row r="20" spans="1:29" ht="15">
      <c r="A20" s="428"/>
      <c r="B20" s="456"/>
      <c r="C20" s="2611" t="s">
        <v>3071</v>
      </c>
      <c r="D20" s="448"/>
      <c r="E20" s="2611" t="s">
        <v>3071</v>
      </c>
      <c r="F20" s="448"/>
      <c r="G20" s="2611" t="s">
        <v>3071</v>
      </c>
      <c r="H20" s="448"/>
      <c r="I20" s="2610" t="s">
        <v>3071</v>
      </c>
      <c r="J20" s="448"/>
      <c r="K20" s="672"/>
      <c r="L20" s="1143"/>
      <c r="M20" s="1134"/>
      <c r="N20" s="1134"/>
      <c r="O20" s="1142"/>
      <c r="P20" s="3188"/>
      <c r="Q20" s="1812"/>
      <c r="R20" s="774"/>
      <c r="S20" s="775"/>
      <c r="T20" s="774"/>
      <c r="U20" s="775"/>
      <c r="V20" s="774"/>
      <c r="W20" s="775"/>
      <c r="X20" s="1815"/>
      <c r="Y20" s="3188"/>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3072</v>
      </c>
      <c r="F21" s="455">
        <f>SUMIF(94:94,E22,95:95)-SUMIF(94:94,C22,95:95)+100</f>
        <v>100</v>
      </c>
      <c r="G21" s="452" t="s">
        <v>3078</v>
      </c>
      <c r="H21" s="450">
        <f>SUMIF(94:94,G22,95:95)-SUMIF(94:94,C22,95:95)+100</f>
        <v>100</v>
      </c>
      <c r="I21" s="454" t="s">
        <v>3083</v>
      </c>
      <c r="J21" s="450">
        <f>SUMIF(94:94,I22,95:95)-SUMIF(94:94,C22,95:95)+100</f>
        <v>100</v>
      </c>
      <c r="K21" s="673">
        <v>1</v>
      </c>
      <c r="L21" s="1143"/>
      <c r="M21" s="1134"/>
      <c r="N21" s="1134"/>
      <c r="O21" s="1142"/>
      <c r="P21" s="3188"/>
      <c r="Q21" s="1812" t="str">
        <f>B21</f>
        <v>交通便捷度</v>
      </c>
      <c r="R21" s="774" t="s">
        <v>17</v>
      </c>
      <c r="S21" s="775">
        <f>F21</f>
        <v>100</v>
      </c>
      <c r="T21" s="774" t="s">
        <v>17</v>
      </c>
      <c r="U21" s="775">
        <f>H21</f>
        <v>100</v>
      </c>
      <c r="V21" s="774" t="s">
        <v>17</v>
      </c>
      <c r="W21" s="775">
        <f>J21</f>
        <v>100</v>
      </c>
      <c r="X21" s="1815"/>
      <c r="Y21" s="3188"/>
      <c r="Z21" s="1816" t="str">
        <f>Q21</f>
        <v>交通便捷度</v>
      </c>
      <c r="AA21" s="1813">
        <f t="shared" si="3"/>
        <v>1</v>
      </c>
      <c r="AB21" s="1813">
        <f t="shared" si="4"/>
        <v>1</v>
      </c>
      <c r="AC21" s="1813">
        <f t="shared" si="5"/>
        <v>1</v>
      </c>
    </row>
    <row r="22" spans="1:29" ht="15">
      <c r="A22" s="428"/>
      <c r="B22" s="1387"/>
      <c r="C22" s="447" t="s">
        <v>3064</v>
      </c>
      <c r="D22" s="450"/>
      <c r="E22" s="447" t="s">
        <v>3064</v>
      </c>
      <c r="F22" s="448"/>
      <c r="G22" s="447" t="s">
        <v>3064</v>
      </c>
      <c r="H22" s="448"/>
      <c r="I22" s="447" t="s">
        <v>3064</v>
      </c>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ht="42.75">
      <c r="A23" s="404"/>
      <c r="B23" s="451" t="s">
        <v>2701</v>
      </c>
      <c r="C23" s="1392" t="str">
        <f>估价对象房地状况!C19</f>
        <v>零星有其他用地，基本不影响本宗地</v>
      </c>
      <c r="D23" s="455">
        <v>100</v>
      </c>
      <c r="E23" s="452" t="s">
        <v>3034</v>
      </c>
      <c r="F23" s="455">
        <f>SUMIF(96:96,E24,97:97)-SUMIF(96:96,C24,97:97)+100</f>
        <v>100</v>
      </c>
      <c r="G23" s="454" t="s">
        <v>3034</v>
      </c>
      <c r="H23" s="455">
        <f>SUMIF(96:96,G24,97:97)-SUMIF(96:96,C24,97:97)+100</f>
        <v>100</v>
      </c>
      <c r="I23" s="454" t="s">
        <v>3034</v>
      </c>
      <c r="J23" s="455">
        <f>SUMIF(96:96,I24,97:97)-SUMIF(96:96,C24,97:97)+100</f>
        <v>100</v>
      </c>
      <c r="K23" s="673">
        <v>1</v>
      </c>
      <c r="L23" s="1143"/>
      <c r="M23" s="1134"/>
      <c r="N23" s="1134"/>
      <c r="O23" s="1142"/>
      <c r="P23" s="3188"/>
      <c r="Q23" s="1812" t="str">
        <f t="shared" ref="Q23:Q37" si="8">B23</f>
        <v>区域土地利用方向</v>
      </c>
      <c r="R23" s="774" t="s">
        <v>17</v>
      </c>
      <c r="S23" s="775">
        <f>F23</f>
        <v>100</v>
      </c>
      <c r="T23" s="774" t="s">
        <v>17</v>
      </c>
      <c r="U23" s="775">
        <f>H23</f>
        <v>100</v>
      </c>
      <c r="V23" s="774" t="s">
        <v>17</v>
      </c>
      <c r="W23" s="775">
        <f>J23</f>
        <v>100</v>
      </c>
      <c r="X23" s="1815"/>
      <c r="Y23" s="3188"/>
      <c r="Z23" s="1816" t="str">
        <f>Q23</f>
        <v>区域土地利用方向</v>
      </c>
      <c r="AA23" s="1813">
        <f t="shared" si="3"/>
        <v>1</v>
      </c>
      <c r="AB23" s="1813">
        <f t="shared" si="4"/>
        <v>1</v>
      </c>
      <c r="AC23" s="1813">
        <f t="shared" si="5"/>
        <v>1</v>
      </c>
    </row>
    <row r="24" spans="1:29" ht="15">
      <c r="A24" s="404"/>
      <c r="B24" s="456"/>
      <c r="C24" s="616" t="s">
        <v>3064</v>
      </c>
      <c r="D24" s="448"/>
      <c r="E24" s="2611" t="s">
        <v>3064</v>
      </c>
      <c r="F24" s="448"/>
      <c r="G24" s="2610" t="s">
        <v>3064</v>
      </c>
      <c r="H24" s="448"/>
      <c r="I24" s="2610" t="s">
        <v>3064</v>
      </c>
      <c r="J24" s="448"/>
      <c r="K24" s="812"/>
      <c r="L24" s="1143"/>
      <c r="M24" s="1134"/>
      <c r="N24" s="1134"/>
      <c r="O24" s="1142"/>
      <c r="P24" s="3188"/>
      <c r="Q24" s="1812"/>
      <c r="R24" s="774"/>
      <c r="S24" s="775"/>
      <c r="T24" s="774"/>
      <c r="U24" s="775"/>
      <c r="V24" s="774"/>
      <c r="W24" s="775"/>
      <c r="X24" s="1815"/>
      <c r="Y24" s="3188"/>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3073</v>
      </c>
      <c r="F25" s="450">
        <f>SUMIF(98:98,E26,99:99)-SUMIF(98:98,C26,99:99)+100</f>
        <v>101</v>
      </c>
      <c r="G25" s="452" t="s">
        <v>3079</v>
      </c>
      <c r="H25" s="450">
        <f>SUMIF(98:98,G26,99:99)-SUMIF(98:98,C26,99:99)+100</f>
        <v>99</v>
      </c>
      <c r="I25" s="454" t="s">
        <v>3084</v>
      </c>
      <c r="J25" s="450">
        <f>SUMIF(98:98,I26,99:99)-SUMIF(98:98,C26,99:99)+100</f>
        <v>100</v>
      </c>
      <c r="K25" s="673">
        <v>1</v>
      </c>
      <c r="L25" s="1143"/>
      <c r="M25" s="1134"/>
      <c r="N25" s="1134"/>
      <c r="O25" s="1142"/>
      <c r="P25" s="3188"/>
      <c r="Q25" s="1812" t="str">
        <f t="shared" si="8"/>
        <v>自然及人文环境状况</v>
      </c>
      <c r="R25" s="774" t="s">
        <v>17</v>
      </c>
      <c r="S25" s="775">
        <f>F25</f>
        <v>101</v>
      </c>
      <c r="T25" s="774" t="s">
        <v>17</v>
      </c>
      <c r="U25" s="775">
        <f>H25</f>
        <v>99</v>
      </c>
      <c r="V25" s="774" t="s">
        <v>17</v>
      </c>
      <c r="W25" s="775">
        <f>J25</f>
        <v>100</v>
      </c>
      <c r="X25" s="1815"/>
      <c r="Y25" s="3188"/>
      <c r="Z25" s="1816" t="str">
        <f>Q25</f>
        <v>自然及人文环境状况</v>
      </c>
      <c r="AA25" s="1813">
        <f t="shared" si="3"/>
        <v>0.99009900990099009</v>
      </c>
      <c r="AB25" s="1813">
        <f t="shared" si="4"/>
        <v>1.0101010101010102</v>
      </c>
      <c r="AC25" s="1813">
        <f t="shared" si="5"/>
        <v>1</v>
      </c>
    </row>
    <row r="26" spans="1:29" ht="15">
      <c r="A26" s="404"/>
      <c r="B26" s="456"/>
      <c r="C26" s="447" t="s">
        <v>3064</v>
      </c>
      <c r="D26" s="448"/>
      <c r="E26" s="2617" t="s">
        <v>3063</v>
      </c>
      <c r="F26" s="448"/>
      <c r="G26" s="2617" t="s">
        <v>3043</v>
      </c>
      <c r="H26" s="448"/>
      <c r="I26" s="447" t="s">
        <v>3064</v>
      </c>
      <c r="J26" s="448"/>
      <c r="K26" s="672"/>
      <c r="L26" s="1143"/>
      <c r="M26" s="1134"/>
      <c r="N26" s="1134"/>
      <c r="O26" s="1142"/>
      <c r="P26" s="3188"/>
      <c r="Q26" s="1812"/>
      <c r="R26" s="774"/>
      <c r="S26" s="775"/>
      <c r="T26" s="774"/>
      <c r="U26" s="775"/>
      <c r="V26" s="774"/>
      <c r="W26" s="775"/>
      <c r="X26" s="1815"/>
      <c r="Y26" s="3188"/>
      <c r="Z26" s="1816"/>
      <c r="AA26" s="1813">
        <v>1</v>
      </c>
      <c r="AB26" s="1813">
        <v>1</v>
      </c>
      <c r="AC26" s="1813">
        <v>1</v>
      </c>
    </row>
    <row r="27" spans="1:29" s="117" customFormat="1" ht="42.75">
      <c r="A27" s="649"/>
      <c r="B27" s="1387" t="s">
        <v>2608</v>
      </c>
      <c r="C27" s="2613" t="str">
        <f>估价对象房地状况!C21</f>
        <v>估价对象所在区域公共配套设施齐备度较好</v>
      </c>
      <c r="D27" s="450">
        <v>100</v>
      </c>
      <c r="E27" s="452" t="s">
        <v>3074</v>
      </c>
      <c r="F27" s="450">
        <f>SUMIF(100:100,E28,101:101)-SUMIF(100:100,C28,101:101)+100</f>
        <v>100</v>
      </c>
      <c r="G27" s="452" t="s">
        <v>3030</v>
      </c>
      <c r="H27" s="450">
        <f>SUMIF(100:100,G28,101:101)-SUMIF(100:100,C28,101:101)+100</f>
        <v>99</v>
      </c>
      <c r="I27" s="454" t="s">
        <v>3074</v>
      </c>
      <c r="J27" s="450">
        <f>SUMIF(100:100,I28,101:101)-SUMIF(100:100,C28,101:101)+100</f>
        <v>100</v>
      </c>
      <c r="K27" s="673">
        <v>1</v>
      </c>
      <c r="L27" s="1135"/>
      <c r="M27" s="1136"/>
      <c r="N27" s="1136"/>
      <c r="O27" s="1137"/>
      <c r="P27" s="3188"/>
      <c r="Q27" s="1797" t="str">
        <f t="shared" si="8"/>
        <v>公共配套设施</v>
      </c>
      <c r="R27" s="770" t="s">
        <v>17</v>
      </c>
      <c r="S27" s="771">
        <f>F27</f>
        <v>100</v>
      </c>
      <c r="T27" s="770" t="s">
        <v>17</v>
      </c>
      <c r="U27" s="771">
        <f>H27</f>
        <v>99</v>
      </c>
      <c r="V27" s="770" t="s">
        <v>17</v>
      </c>
      <c r="W27" s="771">
        <f>J27</f>
        <v>100</v>
      </c>
      <c r="X27" s="772"/>
      <c r="Y27" s="3188"/>
      <c r="Z27" s="55" t="str">
        <f>Q27</f>
        <v>公共配套设施</v>
      </c>
      <c r="AA27" s="1813">
        <f>D27/F27</f>
        <v>1</v>
      </c>
      <c r="AB27" s="1813">
        <f>D27/H27</f>
        <v>1.0101010101010102</v>
      </c>
      <c r="AC27" s="1813">
        <f>D27/J27</f>
        <v>1</v>
      </c>
    </row>
    <row r="28" spans="1:29" s="117" customFormat="1" ht="15">
      <c r="A28" s="649"/>
      <c r="B28" s="456"/>
      <c r="C28" s="2706" t="s">
        <v>3064</v>
      </c>
      <c r="D28" s="448"/>
      <c r="E28" s="2617" t="s">
        <v>3064</v>
      </c>
      <c r="F28" s="448"/>
      <c r="G28" s="2617" t="s">
        <v>3043</v>
      </c>
      <c r="H28" s="448"/>
      <c r="I28" s="447" t="s">
        <v>3064</v>
      </c>
      <c r="J28" s="448"/>
      <c r="K28" s="672"/>
      <c r="L28" s="1135"/>
      <c r="M28" s="1136"/>
      <c r="N28" s="1136"/>
      <c r="O28" s="1137"/>
      <c r="P28" s="3188"/>
      <c r="Q28" s="1797"/>
      <c r="R28" s="770"/>
      <c r="S28" s="771"/>
      <c r="T28" s="770"/>
      <c r="U28" s="771"/>
      <c r="V28" s="770"/>
      <c r="W28" s="771"/>
      <c r="X28" s="772"/>
      <c r="Y28" s="3188"/>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3031</v>
      </c>
      <c r="F29" s="450">
        <f>SUMIF(102:102,E30,103:103)-SUMIF(102:102,C30,103:103)+100</f>
        <v>100</v>
      </c>
      <c r="G29" s="452" t="s">
        <v>3031</v>
      </c>
      <c r="H29" s="450">
        <f>SUMIF(102:102,G30,103:103)-SUMIF(102:102,C30,103:103)+100</f>
        <v>100</v>
      </c>
      <c r="I29" s="454" t="s">
        <v>3031</v>
      </c>
      <c r="J29" s="450">
        <f>SUMIF(102:102,I30,103:103)-SUMIF(102:102,C30,103:103)+100</f>
        <v>100</v>
      </c>
      <c r="K29" s="673">
        <v>1</v>
      </c>
      <c r="L29" s="1135"/>
      <c r="M29" s="1136"/>
      <c r="N29" s="1136"/>
      <c r="O29" s="1137"/>
      <c r="P29" s="3188"/>
      <c r="Q29" s="1797"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3">
        <f>D29/F29</f>
        <v>1</v>
      </c>
      <c r="AB29" s="1813">
        <f>D29/H29</f>
        <v>1</v>
      </c>
      <c r="AC29" s="1813">
        <f>D29/J29</f>
        <v>1</v>
      </c>
    </row>
    <row r="30" spans="1:29" s="117" customFormat="1" ht="15">
      <c r="A30" s="649"/>
      <c r="B30" s="456"/>
      <c r="C30" s="2706" t="s">
        <v>3059</v>
      </c>
      <c r="D30" s="448"/>
      <c r="E30" s="2707" t="s">
        <v>3059</v>
      </c>
      <c r="F30" s="448"/>
      <c r="G30" s="2707" t="s">
        <v>3059</v>
      </c>
      <c r="H30" s="448"/>
      <c r="I30" s="2707" t="s">
        <v>3059</v>
      </c>
      <c r="J30" s="448"/>
      <c r="K30" s="672"/>
      <c r="L30" s="1135"/>
      <c r="M30" s="1136"/>
      <c r="N30" s="1136"/>
      <c r="O30" s="1137"/>
      <c r="P30" s="3188"/>
      <c r="Q30" s="1797"/>
      <c r="R30" s="770"/>
      <c r="S30" s="771"/>
      <c r="T30" s="770"/>
      <c r="U30" s="771"/>
      <c r="V30" s="770"/>
      <c r="W30" s="771"/>
      <c r="X30" s="772"/>
      <c r="Y30" s="3188"/>
      <c r="Z30" s="55"/>
      <c r="AA30" s="1813">
        <v>1</v>
      </c>
      <c r="AB30" s="1813">
        <v>1</v>
      </c>
      <c r="AC30" s="1813">
        <v>1</v>
      </c>
    </row>
    <row r="31" spans="1:29" ht="15">
      <c r="A31" s="428"/>
      <c r="B31" s="456" t="s">
        <v>2610</v>
      </c>
      <c r="C31" s="616" t="s">
        <v>3035</v>
      </c>
      <c r="D31" s="435">
        <v>100</v>
      </c>
      <c r="E31" s="634" t="s">
        <v>3035</v>
      </c>
      <c r="F31" s="435">
        <f>SUMIF(104:104,E31,105:105)-SUMIF(104:104,C31,105:105)+100</f>
        <v>100</v>
      </c>
      <c r="G31" s="634" t="s">
        <v>3035</v>
      </c>
      <c r="H31" s="435">
        <f>SUMIF(104:104,G31,105:105)-SUMIF(104:104,C31,105:105)+100</f>
        <v>100</v>
      </c>
      <c r="I31" s="634" t="s">
        <v>3035</v>
      </c>
      <c r="J31" s="435">
        <f>SUMIF(104:104,I31,105:105)-SUMIF(104:104,C31,105:105)+100</f>
        <v>100</v>
      </c>
      <c r="K31" s="673">
        <v>1</v>
      </c>
      <c r="L31" s="1143"/>
      <c r="M31" s="1134"/>
      <c r="N31" s="1134"/>
      <c r="O31" s="1142"/>
      <c r="P31" s="318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8"/>
      <c r="Z31" s="1816" t="str">
        <f t="shared" ref="Z31:Z45" si="13">Q31</f>
        <v>临街状况</v>
      </c>
      <c r="AA31" s="1813">
        <f t="shared" si="3"/>
        <v>1</v>
      </c>
      <c r="AB31" s="1813">
        <f t="shared" si="4"/>
        <v>1</v>
      </c>
      <c r="AC31" s="1813">
        <f t="shared" si="5"/>
        <v>1</v>
      </c>
    </row>
    <row r="32" spans="1:29" ht="28.5">
      <c r="A32" s="428"/>
      <c r="B32" s="1387" t="s">
        <v>2645</v>
      </c>
      <c r="C32" s="454" t="s">
        <v>3033</v>
      </c>
      <c r="D32" s="450">
        <v>100</v>
      </c>
      <c r="E32" s="452" t="s">
        <v>3075</v>
      </c>
      <c r="F32" s="450">
        <f>SUMIF(106:106,E33,107:107)-SUMIF(106:106,C33,107:107)+100</f>
        <v>100</v>
      </c>
      <c r="G32" s="452" t="s">
        <v>3080</v>
      </c>
      <c r="H32" s="450">
        <f>SUMIF(106:106,G33,107:107)-SUMIF(106:106,C33,107:107)+100</f>
        <v>100</v>
      </c>
      <c r="I32" s="454" t="s">
        <v>3085</v>
      </c>
      <c r="J32" s="450">
        <f>SUMIF(106:106,I33,107:107)-SUMIF(106:106,C33,107:107)+100</f>
        <v>101</v>
      </c>
      <c r="K32" s="673">
        <v>1</v>
      </c>
      <c r="L32" s="1143"/>
      <c r="M32" s="1134"/>
      <c r="N32" s="1134"/>
      <c r="O32" s="1142"/>
      <c r="P32" s="3188"/>
      <c r="Q32" s="1812" t="str">
        <f t="shared" si="8"/>
        <v>毗邻道路的类型与等级</v>
      </c>
      <c r="R32" s="774" t="s">
        <v>17</v>
      </c>
      <c r="S32" s="775">
        <f t="shared" si="10"/>
        <v>100</v>
      </c>
      <c r="T32" s="774" t="s">
        <v>17</v>
      </c>
      <c r="U32" s="775">
        <f t="shared" si="11"/>
        <v>100</v>
      </c>
      <c r="V32" s="774" t="s">
        <v>17</v>
      </c>
      <c r="W32" s="775">
        <f t="shared" si="12"/>
        <v>101</v>
      </c>
      <c r="X32" s="1815"/>
      <c r="Y32" s="3188"/>
      <c r="Z32" s="1816" t="str">
        <f t="shared" si="13"/>
        <v>毗邻道路的类型与等级</v>
      </c>
      <c r="AA32" s="1813">
        <f t="shared" si="3"/>
        <v>1</v>
      </c>
      <c r="AB32" s="1813">
        <f t="shared" si="4"/>
        <v>1</v>
      </c>
      <c r="AC32" s="1813">
        <f t="shared" si="5"/>
        <v>0.99009900990099009</v>
      </c>
    </row>
    <row r="33" spans="1:29" ht="15">
      <c r="A33" s="428"/>
      <c r="B33" s="456"/>
      <c r="C33" s="447" t="s">
        <v>3049</v>
      </c>
      <c r="D33" s="448"/>
      <c r="E33" s="2617" t="s">
        <v>3049</v>
      </c>
      <c r="F33" s="448"/>
      <c r="G33" s="2617" t="s">
        <v>3049</v>
      </c>
      <c r="H33" s="448"/>
      <c r="I33" s="447" t="s">
        <v>3048</v>
      </c>
      <c r="J33" s="448"/>
      <c r="K33" s="613"/>
      <c r="L33" s="1143"/>
      <c r="M33" s="1134"/>
      <c r="N33" s="1134"/>
      <c r="O33" s="1142"/>
      <c r="P33" s="3188"/>
      <c r="Q33" s="1812"/>
      <c r="R33" s="774"/>
      <c r="S33" s="775"/>
      <c r="T33" s="774"/>
      <c r="U33" s="775"/>
      <c r="V33" s="774"/>
      <c r="W33" s="775"/>
      <c r="X33" s="1815"/>
      <c r="Y33" s="3188"/>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88"/>
      <c r="Q34" s="1812" t="str">
        <f t="shared" si="8"/>
        <v>土地级别</v>
      </c>
      <c r="R34" s="774" t="s">
        <v>17</v>
      </c>
      <c r="S34" s="775">
        <f t="shared" si="10"/>
        <v>100</v>
      </c>
      <c r="T34" s="774" t="s">
        <v>17</v>
      </c>
      <c r="U34" s="775">
        <f t="shared" si="11"/>
        <v>100</v>
      </c>
      <c r="V34" s="774" t="s">
        <v>17</v>
      </c>
      <c r="W34" s="775">
        <f t="shared" si="12"/>
        <v>100</v>
      </c>
      <c r="X34" s="1815"/>
      <c r="Y34" s="3188"/>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2">
        <f t="shared" si="8"/>
        <v>0</v>
      </c>
      <c r="R35" s="774" t="s">
        <v>17</v>
      </c>
      <c r="S35" s="775">
        <f t="shared" si="10"/>
        <v>100</v>
      </c>
      <c r="T35" s="774" t="s">
        <v>17</v>
      </c>
      <c r="U35" s="775">
        <f t="shared" si="11"/>
        <v>100</v>
      </c>
      <c r="V35" s="774" t="s">
        <v>17</v>
      </c>
      <c r="W35" s="775">
        <f t="shared" si="12"/>
        <v>100</v>
      </c>
      <c r="X35" s="1815"/>
      <c r="Y35" s="3188"/>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9" t="s">
        <v>2520</v>
      </c>
      <c r="Q36" s="1812">
        <f t="shared" si="8"/>
        <v>0</v>
      </c>
      <c r="R36" s="774" t="s">
        <v>17</v>
      </c>
      <c r="S36" s="775">
        <f t="shared" si="10"/>
        <v>100</v>
      </c>
      <c r="T36" s="774" t="s">
        <v>17</v>
      </c>
      <c r="U36" s="775">
        <f t="shared" si="11"/>
        <v>100</v>
      </c>
      <c r="V36" s="774" t="s">
        <v>17</v>
      </c>
      <c r="W36" s="775">
        <f t="shared" si="12"/>
        <v>100</v>
      </c>
      <c r="X36" s="1815"/>
      <c r="Y36" s="3190"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0"/>
      <c r="Q37" s="1812">
        <f t="shared" si="8"/>
        <v>0</v>
      </c>
      <c r="R37" s="777" t="s">
        <v>17</v>
      </c>
      <c r="S37" s="778">
        <f t="shared" si="10"/>
        <v>100</v>
      </c>
      <c r="T37" s="777" t="s">
        <v>17</v>
      </c>
      <c r="U37" s="778">
        <f t="shared" si="11"/>
        <v>100</v>
      </c>
      <c r="V37" s="777" t="s">
        <v>17</v>
      </c>
      <c r="W37" s="778">
        <f t="shared" si="12"/>
        <v>100</v>
      </c>
      <c r="X37" s="779"/>
      <c r="Y37" s="3190"/>
      <c r="Z37" s="780">
        <f t="shared" si="13"/>
        <v>0</v>
      </c>
      <c r="AA37" s="1813">
        <f t="shared" si="3"/>
        <v>1</v>
      </c>
      <c r="AB37" s="1813">
        <f t="shared" si="4"/>
        <v>1</v>
      </c>
      <c r="AC37" s="1813">
        <f t="shared" si="5"/>
        <v>1</v>
      </c>
    </row>
    <row r="38" spans="1:29" ht="15">
      <c r="A38" s="472" t="s">
        <v>2518</v>
      </c>
      <c r="B38" s="456" t="s">
        <v>2704</v>
      </c>
      <c r="C38" s="679">
        <f>13333.32+7505.05</f>
        <v>20838.37</v>
      </c>
      <c r="D38" s="467">
        <v>100</v>
      </c>
      <c r="E38" s="679">
        <v>30075.75</v>
      </c>
      <c r="F38" s="467">
        <f>LOOKUP(E38,117:117,118:118)-LOOKUP(C38,117:117,118:118)+100</f>
        <v>100</v>
      </c>
      <c r="G38" s="679">
        <v>64418.47</v>
      </c>
      <c r="H38" s="467">
        <f>LOOKUP(G38,117:117,118:118)-LOOKUP(C38,117:117,118:118)+100</f>
        <v>102</v>
      </c>
      <c r="I38" s="530">
        <v>67516.73</v>
      </c>
      <c r="J38" s="467">
        <f>LOOKUP(I38,117:117,118:118)-LOOKUP(C38,117:117,118:118)+100</f>
        <v>102</v>
      </c>
      <c r="K38" s="613"/>
      <c r="L38" s="1143"/>
      <c r="M38" s="1134"/>
      <c r="N38" s="1134"/>
      <c r="O38" s="1142"/>
      <c r="P38" s="3190"/>
      <c r="Q38" s="1812" t="str">
        <f>B38</f>
        <v>宗地面积</v>
      </c>
      <c r="R38" s="774" t="s">
        <v>17</v>
      </c>
      <c r="S38" s="775">
        <f t="shared" si="10"/>
        <v>100</v>
      </c>
      <c r="T38" s="774" t="s">
        <v>17</v>
      </c>
      <c r="U38" s="775">
        <f t="shared" si="11"/>
        <v>102</v>
      </c>
      <c r="V38" s="774" t="s">
        <v>17</v>
      </c>
      <c r="W38" s="775">
        <f t="shared" si="12"/>
        <v>102</v>
      </c>
      <c r="X38" s="1815"/>
      <c r="Y38" s="3190"/>
      <c r="Z38" s="1816" t="str">
        <f t="shared" si="13"/>
        <v>宗地面积</v>
      </c>
      <c r="AA38" s="1813">
        <f t="shared" si="3"/>
        <v>1</v>
      </c>
      <c r="AB38" s="1813">
        <f t="shared" si="4"/>
        <v>0.98039215686274506</v>
      </c>
      <c r="AC38" s="1813">
        <f t="shared" si="5"/>
        <v>0.98039215686274506</v>
      </c>
    </row>
    <row r="39" spans="1:29" ht="15">
      <c r="A39" s="472"/>
      <c r="B39" s="422" t="s">
        <v>2705</v>
      </c>
      <c r="C39" s="2619" t="s">
        <v>3052</v>
      </c>
      <c r="D39" s="435">
        <v>100</v>
      </c>
      <c r="E39" s="2619" t="s">
        <v>3052</v>
      </c>
      <c r="F39" s="435">
        <f>SUMIF(119:119,E39,120:120)-SUMIF(119:119,C39,120:120)+100</f>
        <v>100</v>
      </c>
      <c r="G39" s="2619" t="s">
        <v>3052</v>
      </c>
      <c r="H39" s="435">
        <f>SUMIF(119:119,G39,120:120)-SUMIF(119:119,C39,120:120)+100</f>
        <v>100</v>
      </c>
      <c r="I39" s="2619" t="s">
        <v>3052</v>
      </c>
      <c r="J39" s="435">
        <f>SUMIF(119:119,I39,120:120)-SUMIF(119:119,C39,120:120)+100</f>
        <v>100</v>
      </c>
      <c r="K39" s="612">
        <v>1</v>
      </c>
      <c r="L39" s="1143"/>
      <c r="M39" s="1134"/>
      <c r="N39" s="1134"/>
      <c r="O39" s="1142"/>
      <c r="P39" s="3190"/>
      <c r="Q39" s="1812" t="str">
        <f t="shared" ref="Q39:Q45" si="14">B39</f>
        <v>宗地形状</v>
      </c>
      <c r="R39" s="774" t="s">
        <v>17</v>
      </c>
      <c r="S39" s="775">
        <f t="shared" si="10"/>
        <v>100</v>
      </c>
      <c r="T39" s="774" t="s">
        <v>17</v>
      </c>
      <c r="U39" s="775">
        <f t="shared" si="11"/>
        <v>100</v>
      </c>
      <c r="V39" s="774" t="s">
        <v>17</v>
      </c>
      <c r="W39" s="775">
        <f t="shared" si="12"/>
        <v>100</v>
      </c>
      <c r="X39" s="1815"/>
      <c r="Y39" s="3190"/>
      <c r="Z39" s="1816" t="str">
        <f t="shared" si="13"/>
        <v>宗地形状</v>
      </c>
      <c r="AA39" s="1813">
        <f t="shared" si="3"/>
        <v>1</v>
      </c>
      <c r="AB39" s="1813">
        <f t="shared" si="4"/>
        <v>1</v>
      </c>
      <c r="AC39" s="1813">
        <f t="shared" si="5"/>
        <v>1</v>
      </c>
    </row>
    <row r="40" spans="1:29" ht="15">
      <c r="A40" s="472"/>
      <c r="B40" s="422" t="s">
        <v>2706</v>
      </c>
      <c r="C40" s="2619" t="s">
        <v>3056</v>
      </c>
      <c r="D40" s="435">
        <v>100</v>
      </c>
      <c r="E40" s="2619" t="s">
        <v>3056</v>
      </c>
      <c r="F40" s="435">
        <f>SUMIF(121:121,E40,122:122)-SUMIF(121:121,C40,122:122)+100</f>
        <v>100</v>
      </c>
      <c r="G40" s="2619" t="s">
        <v>3056</v>
      </c>
      <c r="H40" s="435">
        <f>SUMIF(121:121,G40,122:122)-SUMIF(121:121,C40,122:122)+100</f>
        <v>100</v>
      </c>
      <c r="I40" s="2619" t="s">
        <v>3056</v>
      </c>
      <c r="J40" s="435">
        <f>SUMIF(121:121,I40,122:122)-SUMIF(121:121,C40,122:122)+100</f>
        <v>100</v>
      </c>
      <c r="K40" s="612">
        <v>1</v>
      </c>
      <c r="L40" s="1143"/>
      <c r="M40" s="1134"/>
      <c r="N40" s="1134"/>
      <c r="O40" s="1142"/>
      <c r="P40" s="3190"/>
      <c r="Q40" s="1812" t="str">
        <f t="shared" si="14"/>
        <v>临街宽度及深度</v>
      </c>
      <c r="R40" s="774" t="s">
        <v>17</v>
      </c>
      <c r="S40" s="775">
        <f t="shared" si="10"/>
        <v>100</v>
      </c>
      <c r="T40" s="774" t="s">
        <v>17</v>
      </c>
      <c r="U40" s="775">
        <f t="shared" si="11"/>
        <v>100</v>
      </c>
      <c r="V40" s="774" t="s">
        <v>17</v>
      </c>
      <c r="W40" s="775">
        <f t="shared" si="12"/>
        <v>100</v>
      </c>
      <c r="X40" s="1815"/>
      <c r="Y40" s="3190"/>
      <c r="Z40" s="1816" t="str">
        <f t="shared" si="13"/>
        <v>临街宽度及深度</v>
      </c>
      <c r="AA40" s="1813">
        <f t="shared" si="3"/>
        <v>1</v>
      </c>
      <c r="AB40" s="1813">
        <f t="shared" si="4"/>
        <v>1</v>
      </c>
      <c r="AC40" s="1813">
        <f t="shared" si="5"/>
        <v>1</v>
      </c>
    </row>
    <row r="41" spans="1:29" s="117" customFormat="1" ht="15">
      <c r="A41" s="473"/>
      <c r="B41" s="422" t="s">
        <v>2707</v>
      </c>
      <c r="C41" s="2708" t="s">
        <v>3059</v>
      </c>
      <c r="D41" s="136">
        <v>100</v>
      </c>
      <c r="E41" s="2708" t="s">
        <v>3059</v>
      </c>
      <c r="F41" s="435">
        <f>SUMIF(123:123,E41,124:124)-SUMIF(123:123,C41,124:124)+100</f>
        <v>100</v>
      </c>
      <c r="G41" s="2708" t="s">
        <v>3059</v>
      </c>
      <c r="H41" s="435">
        <f>SUMIF(123:123,G41,124:124)-SUMIF(123:123,C41,124:124)+100</f>
        <v>100</v>
      </c>
      <c r="I41" s="2708" t="s">
        <v>3059</v>
      </c>
      <c r="J41" s="435">
        <f>SUMIF(123:123,I41,124:124)-SUMIF(123:123,C41,124:124)+100</f>
        <v>100</v>
      </c>
      <c r="K41" s="612">
        <v>1</v>
      </c>
      <c r="L41" s="1135"/>
      <c r="M41" s="1136"/>
      <c r="N41" s="1136"/>
      <c r="O41" s="1137"/>
      <c r="P41" s="3190"/>
      <c r="Q41" s="1812"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2708</v>
      </c>
      <c r="C42" s="2619" t="s">
        <v>3064</v>
      </c>
      <c r="D42" s="435">
        <v>100</v>
      </c>
      <c r="E42" s="2619" t="s">
        <v>3064</v>
      </c>
      <c r="F42" s="435">
        <f>SUMIF(125:125,E42,126:126)-SUMIF(125:125,C42,126:126)+100</f>
        <v>100</v>
      </c>
      <c r="G42" s="2619" t="s">
        <v>3064</v>
      </c>
      <c r="H42" s="435">
        <f>SUMIF(125:125,G42,126:126)-SUMIF(125:125,C42,126:126)+100</f>
        <v>100</v>
      </c>
      <c r="I42" s="2619" t="s">
        <v>3064</v>
      </c>
      <c r="J42" s="435">
        <f>SUMIF(125:125,I42,126:126)-SUMIF(125:125,C42,126:126)+100</f>
        <v>100</v>
      </c>
      <c r="K42" s="612">
        <v>1</v>
      </c>
      <c r="L42" s="1143"/>
      <c r="M42" s="1134"/>
      <c r="N42" s="1134"/>
      <c r="O42" s="1142"/>
      <c r="P42" s="3190" t="s">
        <v>2520</v>
      </c>
      <c r="Q42" s="1812" t="str">
        <f t="shared" si="14"/>
        <v>工程地质条件</v>
      </c>
      <c r="R42" s="774" t="s">
        <v>17</v>
      </c>
      <c r="S42" s="775">
        <f t="shared" si="10"/>
        <v>100</v>
      </c>
      <c r="T42" s="774" t="s">
        <v>17</v>
      </c>
      <c r="U42" s="775">
        <f t="shared" si="11"/>
        <v>100</v>
      </c>
      <c r="V42" s="774" t="s">
        <v>17</v>
      </c>
      <c r="W42" s="775">
        <f t="shared" si="12"/>
        <v>100</v>
      </c>
      <c r="X42" s="1815"/>
      <c r="Y42" s="3190"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0"/>
      <c r="Q43" s="1812">
        <f t="shared" si="14"/>
        <v>0</v>
      </c>
      <c r="R43" s="774" t="s">
        <v>17</v>
      </c>
      <c r="S43" s="775">
        <f t="shared" si="10"/>
        <v>100</v>
      </c>
      <c r="T43" s="774" t="s">
        <v>17</v>
      </c>
      <c r="U43" s="775">
        <f t="shared" si="11"/>
        <v>100</v>
      </c>
      <c r="V43" s="774" t="s">
        <v>17</v>
      </c>
      <c r="W43" s="775">
        <f t="shared" si="12"/>
        <v>100</v>
      </c>
      <c r="X43" s="1815"/>
      <c r="Y43" s="3190"/>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0"/>
      <c r="Q44" s="1812">
        <f t="shared" si="14"/>
        <v>0</v>
      </c>
      <c r="R44" s="774" t="s">
        <v>17</v>
      </c>
      <c r="S44" s="775">
        <f t="shared" si="10"/>
        <v>100</v>
      </c>
      <c r="T44" s="774" t="s">
        <v>17</v>
      </c>
      <c r="U44" s="775">
        <f t="shared" si="11"/>
        <v>100</v>
      </c>
      <c r="V44" s="774" t="s">
        <v>17</v>
      </c>
      <c r="W44" s="775">
        <f t="shared" si="12"/>
        <v>100</v>
      </c>
      <c r="X44" s="1815"/>
      <c r="Y44" s="3190"/>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0"/>
      <c r="Q45" s="1812">
        <f t="shared" si="14"/>
        <v>0</v>
      </c>
      <c r="R45" s="777" t="s">
        <v>17</v>
      </c>
      <c r="S45" s="778">
        <f t="shared" si="10"/>
        <v>100</v>
      </c>
      <c r="T45" s="777" t="s">
        <v>17</v>
      </c>
      <c r="U45" s="778">
        <f t="shared" si="11"/>
        <v>100</v>
      </c>
      <c r="V45" s="777" t="s">
        <v>17</v>
      </c>
      <c r="W45" s="778">
        <f t="shared" si="12"/>
        <v>100</v>
      </c>
      <c r="X45" s="779"/>
      <c r="Y45" s="3190"/>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172" t="str">
        <f>A46</f>
        <v>成交单价</v>
      </c>
      <c r="Q46" s="3172"/>
      <c r="R46" s="3185">
        <f>E46</f>
        <v>5573</v>
      </c>
      <c r="S46" s="3185"/>
      <c r="T46" s="3185">
        <f>G46</f>
        <v>4477</v>
      </c>
      <c r="U46" s="3185"/>
      <c r="V46" s="3185">
        <f>I46</f>
        <v>5000</v>
      </c>
      <c r="W46" s="3185"/>
      <c r="X46" s="759"/>
      <c r="Y46" s="781"/>
      <c r="Z46" s="759"/>
      <c r="AA46" s="759"/>
      <c r="AB46" s="759"/>
      <c r="AC46" s="759"/>
    </row>
    <row r="47" spans="1:29" ht="15.75" thickBot="1">
      <c r="A47" s="486" t="s">
        <v>2623</v>
      </c>
      <c r="B47" s="683"/>
      <c r="C47" s="490">
        <f>R48</f>
        <v>4903</v>
      </c>
      <c r="D47" s="489"/>
      <c r="E47" s="490">
        <f>R47</f>
        <v>5409</v>
      </c>
      <c r="F47" s="491"/>
      <c r="G47" s="488">
        <f>T47</f>
        <v>4626</v>
      </c>
      <c r="H47" s="489"/>
      <c r="I47" s="490">
        <f>V47</f>
        <v>4674</v>
      </c>
      <c r="J47" s="489"/>
      <c r="K47" s="784"/>
      <c r="L47" s="1146"/>
      <c r="M47" s="1147"/>
      <c r="N47" s="1147"/>
      <c r="O47" s="1147"/>
      <c r="P47" s="3172" t="str">
        <f>A47</f>
        <v>比较价值（元/平方米）</v>
      </c>
      <c r="Q47" s="3172"/>
      <c r="R47" s="3191">
        <f>ROUND(PRODUCT(R46,AA7:AA45),0)</f>
        <v>5409</v>
      </c>
      <c r="S47" s="3191"/>
      <c r="T47" s="3191">
        <f>ROUND(PRODUCT(T46,AB7:AB45),0)</f>
        <v>4626</v>
      </c>
      <c r="U47" s="3191"/>
      <c r="V47" s="3191">
        <f>ROUND(PRODUCT(V46,AC7:AC45),0)</f>
        <v>4674</v>
      </c>
      <c r="W47" s="3191"/>
      <c r="X47" s="759"/>
      <c r="Y47" s="759"/>
      <c r="Z47" s="759"/>
      <c r="AA47" s="759"/>
      <c r="AB47" s="759"/>
      <c r="AC47" s="759"/>
    </row>
    <row r="48" spans="1:29" ht="15.75" thickBot="1">
      <c r="A48" s="492" t="s">
        <v>2710</v>
      </c>
      <c r="B48" s="493"/>
      <c r="C48" s="494">
        <f>R48</f>
        <v>4903</v>
      </c>
      <c r="D48" s="494"/>
      <c r="E48" s="494"/>
      <c r="F48" s="494"/>
      <c r="G48" s="494"/>
      <c r="H48" s="494"/>
      <c r="I48" s="494"/>
      <c r="J48" s="494"/>
      <c r="K48" s="785"/>
      <c r="L48" s="1146"/>
      <c r="M48" s="1147"/>
      <c r="N48" s="1147"/>
      <c r="O48" s="1147"/>
      <c r="P48" s="3192" t="str">
        <f>A48</f>
        <v>估价对象XX用房的比较价值（楼面单价，元/平方米）</v>
      </c>
      <c r="Q48" s="3193"/>
      <c r="R48" s="3194">
        <f>ROUND(AVERAGE(R47:V47),0)</f>
        <v>4903</v>
      </c>
      <c r="S48" s="3194"/>
      <c r="T48" s="3194"/>
      <c r="U48" s="3194"/>
      <c r="V48" s="3194"/>
      <c r="W48" s="319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3.0319837308190101E-2</v>
      </c>
      <c r="F51" s="500" t="str">
        <f>IF(OR(E51&gt;=0.3,E51&lt;=-0.3),"超过30%","")</f>
        <v/>
      </c>
      <c r="G51" s="499">
        <f>IF(G46&lt;G47,G47/G46-1,G46/G47-1)</f>
        <v>3.3281215099396855E-2</v>
      </c>
      <c r="H51" s="500" t="str">
        <f>IF(OR(G51&gt;=0.3,G51&lt;=-0.3),"超过30%","")</f>
        <v/>
      </c>
      <c r="I51" s="499">
        <f>IF(I46&lt;I47,I47/I46-1,I46/I47-1)</f>
        <v>6.9747539580659046E-2</v>
      </c>
      <c r="J51" s="500" t="str">
        <f>IF(OR(I51&gt;=0.3,I51&lt;=-0.3),"超过30%","")</f>
        <v/>
      </c>
      <c r="K51" s="1108"/>
      <c r="L51" s="1109"/>
      <c r="M51" s="1147"/>
      <c r="N51" s="1147"/>
      <c r="O51" s="1147"/>
    </row>
    <row r="52" spans="1:15" ht="13.5" customHeight="1">
      <c r="A52" s="1147"/>
      <c r="B52" s="1147"/>
      <c r="C52" s="497" t="s">
        <v>2626</v>
      </c>
      <c r="D52" s="501"/>
      <c r="E52" s="499">
        <f>IF(E47&lt;G47,G47/E47-1,E47/G47-1)</f>
        <v>0.16926070038910512</v>
      </c>
      <c r="F52" s="500" t="str">
        <f>IF(OR(E52&gt;=0.2,E52&lt;=-0.2),"超过20%","")</f>
        <v/>
      </c>
      <c r="G52" s="499">
        <f>IF(G47&lt;I47,I47/G47-1,G47/I47-1)</f>
        <v>1.037613488975353E-2</v>
      </c>
      <c r="H52" s="500" t="str">
        <f>IF(OR(G52&gt;=0.2,G52&lt;=-0.2),"超过20%","")</f>
        <v/>
      </c>
      <c r="I52" s="499">
        <f>IF(I47&lt;E47,E47/I47-1,I47/E47-1)</f>
        <v>0.15725288831835682</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173" t="s">
        <v>2717</v>
      </c>
      <c r="H55" s="3195"/>
      <c r="I55" s="144" t="s">
        <v>2718</v>
      </c>
      <c r="J55" s="2713" t="str">
        <f>项目基本情况!F35</f>
        <v>湖南省长沙市</v>
      </c>
      <c r="K55" s="2714" t="s">
        <v>2719</v>
      </c>
      <c r="L55" s="1109"/>
      <c r="M55" s="1147"/>
      <c r="N55" s="1147"/>
      <c r="O55" s="1147"/>
    </row>
    <row r="56" spans="1:15" s="692" customFormat="1">
      <c r="A56" s="688" t="s">
        <v>2720</v>
      </c>
      <c r="B56" s="689">
        <f>C48</f>
        <v>4903</v>
      </c>
      <c r="C56" s="690">
        <v>1</v>
      </c>
      <c r="D56" s="1166">
        <v>1</v>
      </c>
      <c r="E56" s="690">
        <f>'数据-汇总表'!E8+'数据-汇总表'!E9</f>
        <v>2021.11</v>
      </c>
      <c r="F56" s="1106">
        <f t="shared" ref="F56:F65" si="15">ROUND(B56*E56/10000,0)</f>
        <v>991</v>
      </c>
      <c r="G56" s="3196"/>
      <c r="H56" s="3172"/>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197"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197"/>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197"/>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197"/>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2021.11</v>
      </c>
      <c r="F66" s="697">
        <f>IF(B46="楼面地价",SUM(F56:F65),ROUND(C48*E66/10000,0))</f>
        <v>991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3161</v>
      </c>
      <c r="D75" s="2948" t="s">
        <v>3160</v>
      </c>
      <c r="E75" s="530"/>
      <c r="F75" s="530"/>
      <c r="G75" s="530"/>
      <c r="H75" s="530"/>
      <c r="I75" s="530"/>
      <c r="J75" s="530"/>
      <c r="K75" s="531"/>
      <c r="L75" s="532"/>
      <c r="M75" s="533"/>
      <c r="N75" s="1155"/>
      <c r="O75" s="1155"/>
      <c r="P75" s="45"/>
      <c r="Q75" s="504"/>
    </row>
    <row r="76" spans="1:17" ht="15.75" thickBot="1">
      <c r="A76" s="534"/>
      <c r="B76" s="535"/>
      <c r="C76" s="536">
        <v>100</v>
      </c>
      <c r="D76" s="536">
        <v>102</v>
      </c>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3041</v>
      </c>
      <c r="D82" s="2950" t="s">
        <v>3045</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3112</v>
      </c>
      <c r="D84" s="554" t="s">
        <v>3113</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3012</v>
      </c>
      <c r="D86" s="523" t="s">
        <v>3013</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3046</v>
      </c>
      <c r="D106" s="554" t="s">
        <v>3047</v>
      </c>
      <c r="E106" s="554" t="s">
        <v>3048</v>
      </c>
      <c r="F106" s="554" t="s">
        <v>3049</v>
      </c>
      <c r="G106" s="554" t="s">
        <v>3050</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3044</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3051</v>
      </c>
      <c r="D119" s="583" t="s">
        <v>3052</v>
      </c>
      <c r="E119" s="583" t="s">
        <v>3053</v>
      </c>
      <c r="F119" s="583" t="s">
        <v>3054</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3055</v>
      </c>
      <c r="D121" s="554" t="s">
        <v>3056</v>
      </c>
      <c r="E121" s="554" t="s">
        <v>3057</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3058</v>
      </c>
      <c r="D123" s="2950" t="s">
        <v>3059</v>
      </c>
      <c r="E123" s="2950" t="s">
        <v>3060</v>
      </c>
      <c r="F123" s="2950" t="s">
        <v>3061</v>
      </c>
      <c r="G123" s="2950" t="s">
        <v>3062</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3063</v>
      </c>
      <c r="D125" s="554" t="s">
        <v>3064</v>
      </c>
      <c r="E125" s="583" t="s">
        <v>3043</v>
      </c>
      <c r="F125" s="583" t="s">
        <v>3065</v>
      </c>
      <c r="G125" s="583" t="s">
        <v>3066</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8" t="str">
        <f>项目基本情况!B1</f>
        <v>湖南省长沙市出让国有建设用地使用权及在建建筑物抵押价格预评估</v>
      </c>
      <c r="C37" s="2968"/>
      <c r="D37" s="2968"/>
      <c r="E37" s="2968"/>
      <c r="F37" s="2968"/>
      <c r="G37" s="2968"/>
      <c r="H37" s="2968"/>
      <c r="I37" s="2968"/>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1853</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9168</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1063</v>
      </c>
      <c r="D5" s="255" t="s">
        <v>2292</v>
      </c>
      <c r="E5" s="256" t="s">
        <v>2293</v>
      </c>
      <c r="F5" s="256" t="s">
        <v>2294</v>
      </c>
      <c r="G5" s="257"/>
    </row>
    <row r="6" spans="1:9" s="258" customFormat="1" ht="13.5" customHeight="1">
      <c r="A6" s="952" t="s">
        <v>2295</v>
      </c>
      <c r="B6" s="259" t="s">
        <v>2296</v>
      </c>
      <c r="C6" s="260">
        <f>'土地比较法-住宅、综合'!B2</f>
        <v>991</v>
      </c>
      <c r="D6" s="261"/>
      <c r="E6" s="262"/>
      <c r="F6" s="262"/>
      <c r="G6" s="263"/>
    </row>
    <row r="7" spans="1:9" s="258" customFormat="1" ht="13.5" customHeight="1">
      <c r="A7" s="952" t="s">
        <v>2297</v>
      </c>
      <c r="B7" s="259" t="s">
        <v>2298</v>
      </c>
      <c r="C7" s="264">
        <f>ROUND(C6*F7,0)</f>
        <v>40</v>
      </c>
      <c r="D7" s="264"/>
      <c r="E7" s="262"/>
      <c r="F7" s="265">
        <f>'数据-取费表'!B48+'数据-取费表'!B49</f>
        <v>4.0500000000000001E-2</v>
      </c>
      <c r="G7" s="263"/>
    </row>
    <row r="8" spans="1:9" s="267" customFormat="1">
      <c r="A8" s="952" t="s">
        <v>2299</v>
      </c>
      <c r="B8" s="259" t="s">
        <v>2300</v>
      </c>
      <c r="C8" s="264">
        <f>IF(G8="已包含在土地购买价格中","0",IF(B1="",'数据-取费表'!B29,IF(G9="全部缴纳",C9+C10,H9)))</f>
        <v>32</v>
      </c>
      <c r="D8" s="266"/>
      <c r="E8" s="264"/>
      <c r="F8" s="265"/>
      <c r="G8" s="2556" t="s">
        <v>3159</v>
      </c>
    </row>
    <row r="9" spans="1:9" s="258" customFormat="1" ht="13.5" customHeight="1">
      <c r="A9" s="953" t="s">
        <v>799</v>
      </c>
      <c r="B9" s="268" t="s">
        <v>2301</v>
      </c>
      <c r="C9" s="269">
        <f ca="1">ROUND(D9*E9/10000,0)</f>
        <v>0</v>
      </c>
      <c r="D9" s="1035">
        <f ca="1">IF(B1="",'数据-汇总表'!E5,IF(INDIRECT("'数据-取费表'!c"&amp;$G$1)="住宅",INDIRECT("'数据-取费表'!k"&amp;$G$1),0))</f>
        <v>0</v>
      </c>
      <c r="E9" s="269">
        <f>'数据-取费表'!B27</f>
        <v>120</v>
      </c>
      <c r="F9" s="265"/>
      <c r="G9" s="2557" t="s">
        <v>3087</v>
      </c>
      <c r="H9" s="1393">
        <v>32</v>
      </c>
      <c r="I9" s="2558" t="s">
        <v>2302</v>
      </c>
    </row>
    <row r="10" spans="1:9" s="258" customFormat="1" ht="13.5" customHeight="1">
      <c r="A10" s="953" t="s">
        <v>800</v>
      </c>
      <c r="B10" s="268" t="s">
        <v>2303</v>
      </c>
      <c r="C10" s="269">
        <f ca="1">ROUND(D10*E10/10000,0)</f>
        <v>32</v>
      </c>
      <c r="D10" s="1035">
        <f ca="1">IF(B1="",'数据-汇总表'!E6,IF(INDIRECT("'数据-取费表'!c"&amp;$G$1)="住宅",INDIRECT("'数据-取费表'!s"&amp;$G$1),INDIRECT("'数据-取费表'!k"&amp;$G$1)+INDIRECT("'数据-取费表'!s"&amp;$G$1)))</f>
        <v>2021.11</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2021.11</v>
      </c>
      <c r="E19" s="255">
        <f>'数据-取费表'!B31</f>
        <v>150</v>
      </c>
      <c r="F19" s="275"/>
      <c r="G19" s="2556" t="s">
        <v>3088</v>
      </c>
    </row>
    <row r="20" spans="1:7" s="258" customFormat="1" ht="13.5" customHeight="1">
      <c r="A20" s="299" t="s">
        <v>2316</v>
      </c>
      <c r="B20" s="254" t="s">
        <v>2317</v>
      </c>
      <c r="C20" s="276">
        <f>ROUND((C5+C19)*F20,0)</f>
        <v>21</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62</v>
      </c>
      <c r="D22" s="279">
        <f ca="1">C26</f>
        <v>5.9999999999999995E-4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61</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v>
      </c>
      <c r="D25" s="282"/>
      <c r="E25" s="285"/>
      <c r="F25" s="283"/>
      <c r="G25" s="286" t="s">
        <v>2333</v>
      </c>
    </row>
    <row r="26" spans="1:7" s="258" customFormat="1">
      <c r="A26" s="954" t="s">
        <v>794</v>
      </c>
      <c r="B26" s="259" t="s">
        <v>2334</v>
      </c>
      <c r="C26" s="282">
        <f ca="1">ROUND(IF('数据-取费表'!B22&lt;=1,F21*F22*'数据-取费表'!B23/2,F21*(POWER((1+F22),'数据-取费表'!B23/2)-1)),4)</f>
        <v>5.9999999999999995E-4</v>
      </c>
      <c r="D26" s="282"/>
      <c r="E26" s="285"/>
      <c r="F26" s="283"/>
      <c r="G26" s="287"/>
    </row>
    <row r="27" spans="1:7" s="258" customFormat="1" ht="24.75">
      <c r="A27" s="299" t="s">
        <v>2335</v>
      </c>
      <c r="B27" s="288" t="s">
        <v>2336</v>
      </c>
      <c r="C27" s="289">
        <f ca="1">C28</f>
        <v>130</v>
      </c>
      <c r="D27" s="279">
        <f ca="1">C29</f>
        <v>2.3999999999999998E-3</v>
      </c>
      <c r="E27" s="280" t="s">
        <v>2337</v>
      </c>
      <c r="F27" s="290">
        <f ca="1">IF(B1="",'数据-取费表'!Q16,INDIRECT("'数据-取费表'!q"&amp;$G$1))</f>
        <v>0.2</v>
      </c>
      <c r="G27" s="291" t="s">
        <v>2338</v>
      </c>
    </row>
    <row r="28" spans="1:7" s="258" customFormat="1" ht="13.5" customHeight="1">
      <c r="A28" s="954" t="s">
        <v>790</v>
      </c>
      <c r="B28" s="292" t="s">
        <v>2339</v>
      </c>
      <c r="C28" s="293">
        <f ca="1">ROUND((C5+C19+C20)*F27*'数据-取费表'!B21/'数据-取费表'!B20,0)</f>
        <v>130</v>
      </c>
      <c r="D28" s="279"/>
      <c r="E28" s="280"/>
      <c r="F28" s="290"/>
      <c r="G28" s="291"/>
    </row>
    <row r="29" spans="1:7" s="258" customFormat="1" ht="13.5" customHeight="1">
      <c r="A29" s="954" t="s">
        <v>791</v>
      </c>
      <c r="B29" s="292" t="s">
        <v>2340</v>
      </c>
      <c r="C29" s="282">
        <f ca="1">ROUND(C21*F27*'数据-取费表'!B21/'数据-取费表'!B20,4)</f>
        <v>2.3999999999999998E-3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1381</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347</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303</v>
      </c>
      <c r="D34" s="261"/>
      <c r="E34" s="264"/>
      <c r="F34" s="301">
        <f ca="1">IF('数据-取费表'!B24=0,1,IF(B1="",'数据-取费表'!N16,INDIRECT("'数据-取费表'!n"&amp;$G$1)))</f>
        <v>0.6</v>
      </c>
      <c r="G34" s="263" t="s">
        <v>2349</v>
      </c>
    </row>
    <row r="35" spans="1:7" ht="13.5" customHeight="1">
      <c r="A35" s="954" t="s">
        <v>795</v>
      </c>
      <c r="B35" s="259" t="s">
        <v>2350</v>
      </c>
      <c r="C35" s="264">
        <f ca="1">ROUND(C34*F35,0)</f>
        <v>15</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2353</v>
      </c>
    </row>
    <row r="37" spans="1:7" s="302" customFormat="1" ht="13.5" customHeight="1">
      <c r="A37" s="954" t="s">
        <v>797</v>
      </c>
      <c r="B37" s="259" t="s">
        <v>2354</v>
      </c>
      <c r="C37" s="293">
        <f ca="1">ROUND(E37*D37*F34/10000,0)</f>
        <v>24</v>
      </c>
      <c r="D37" s="261">
        <f ca="1">D19</f>
        <v>2021.11</v>
      </c>
      <c r="E37" s="293">
        <f>'数据-取费表'!B35</f>
        <v>200</v>
      </c>
      <c r="F37" s="303"/>
      <c r="G37" s="305" t="s">
        <v>2355</v>
      </c>
    </row>
    <row r="38" spans="1:7" ht="13.5" customHeight="1">
      <c r="A38" s="954" t="s">
        <v>798</v>
      </c>
      <c r="B38" s="259" t="s">
        <v>2356</v>
      </c>
      <c r="C38" s="264">
        <f ca="1">ROUND(C34*F38,0)</f>
        <v>5</v>
      </c>
      <c r="D38" s="264"/>
      <c r="E38" s="264"/>
      <c r="F38" s="303">
        <f>'数据-取费表'!B36</f>
        <v>1.4999999999999999E-2</v>
      </c>
      <c r="G38" s="263" t="s">
        <v>2351</v>
      </c>
    </row>
    <row r="39" spans="1:7" s="258" customFormat="1" ht="13.5" customHeight="1">
      <c r="A39" s="299" t="s">
        <v>2357</v>
      </c>
      <c r="B39" s="254" t="s">
        <v>2358</v>
      </c>
      <c r="C39" s="276">
        <f ca="1">ROUND(C33*F20,0)</f>
        <v>7</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10</v>
      </c>
      <c r="D41" s="279">
        <f ca="1">C44</f>
        <v>5.9999999999999995E-4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10</v>
      </c>
      <c r="D42" s="282"/>
      <c r="E42" s="282"/>
      <c r="F42" s="283"/>
      <c r="G42" s="3198" t="s">
        <v>2367</v>
      </c>
    </row>
    <row r="43" spans="1:7" ht="13.5" customHeight="1">
      <c r="A43" s="954" t="s">
        <v>791</v>
      </c>
      <c r="B43" s="259" t="s">
        <v>2368</v>
      </c>
      <c r="C43" s="282">
        <f ca="1">ROUND(IF('数据-取费表'!B22&lt;=1,C39*F22*'数据-取费表'!B21/2,C39*(POWER((1+F22),'数据-取费表'!B21/2)-1)),0)</f>
        <v>0</v>
      </c>
      <c r="D43" s="282"/>
      <c r="E43" s="282"/>
      <c r="F43" s="283"/>
      <c r="G43" s="3199"/>
    </row>
    <row r="44" spans="1:7" ht="13.5" customHeight="1">
      <c r="A44" s="954" t="s">
        <v>792</v>
      </c>
      <c r="B44" s="259" t="s">
        <v>2369</v>
      </c>
      <c r="C44" s="282">
        <f ca="1">ROUND(IF('数据-取费表'!B22&lt;=1,C40*F22*'数据-取费表'!B21/2,C40*(POWER((1+F22),'数据-取费表'!B21/2)-1)),4)</f>
        <v>5.9999999999999995E-4</v>
      </c>
      <c r="D44" s="282"/>
      <c r="E44" s="282"/>
      <c r="F44" s="283"/>
      <c r="G44" s="3200"/>
    </row>
    <row r="45" spans="1:7" s="258" customFormat="1" ht="13.5" customHeight="1">
      <c r="A45" s="299" t="s">
        <v>2370</v>
      </c>
      <c r="B45" s="288" t="s">
        <v>2336</v>
      </c>
      <c r="C45" s="289">
        <f ca="1">C46</f>
        <v>71</v>
      </c>
      <c r="D45" s="279">
        <f ca="1">C47</f>
        <v>4.0000000000000001E-3</v>
      </c>
      <c r="E45" s="280" t="s">
        <v>2362</v>
      </c>
      <c r="F45" s="290"/>
      <c r="G45" s="291" t="s">
        <v>2371</v>
      </c>
    </row>
    <row r="46" spans="1:7" s="258" customFormat="1" ht="13.5" customHeight="1">
      <c r="A46" s="954" t="s">
        <v>790</v>
      </c>
      <c r="B46" s="292" t="s">
        <v>2372</v>
      </c>
      <c r="C46" s="293">
        <f ca="1">ROUND((C33+C39)*F27,0)</f>
        <v>71</v>
      </c>
      <c r="D46" s="307"/>
      <c r="E46" s="280"/>
      <c r="F46" s="290"/>
      <c r="G46" s="291"/>
    </row>
    <row r="47" spans="1:7" s="258" customFormat="1" ht="13.5" customHeight="1">
      <c r="A47" s="954" t="s">
        <v>791</v>
      </c>
      <c r="B47" s="292" t="s">
        <v>2373</v>
      </c>
      <c r="C47" s="282">
        <f ca="1">ROUND(C40*F27,4)</f>
        <v>4.0000000000000001E-3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472</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472</v>
      </c>
      <c r="D51" s="276"/>
      <c r="E51" s="276"/>
      <c r="F51" s="308"/>
      <c r="G51" s="278" t="s">
        <v>2383</v>
      </c>
    </row>
    <row r="52" spans="1:7" s="252" customFormat="1" ht="16.5" thickBot="1">
      <c r="A52" s="309" t="s">
        <v>2384</v>
      </c>
      <c r="B52" s="310"/>
      <c r="C52" s="311">
        <f ca="1">C31+C51</f>
        <v>1853</v>
      </c>
      <c r="D52" s="310"/>
      <c r="E52" s="310"/>
      <c r="F52" s="310"/>
      <c r="G52" s="312"/>
    </row>
    <row r="55" spans="1:7" ht="15">
      <c r="B55" s="314" t="s">
        <v>2385</v>
      </c>
      <c r="C55" s="315"/>
    </row>
    <row r="56" spans="1:7">
      <c r="B56" s="317" t="s">
        <v>1509</v>
      </c>
      <c r="C56" s="319">
        <f ca="1">1-C57</f>
        <v>0.745</v>
      </c>
    </row>
    <row r="57" spans="1:7">
      <c r="B57" s="317" t="s">
        <v>1510</v>
      </c>
      <c r="C57" s="318">
        <f ca="1">ROUND(C51/C52,3)</f>
        <v>0.255</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889</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4399</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323378</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323378</v>
      </c>
      <c r="D8" s="266"/>
      <c r="E8" s="264"/>
      <c r="F8" s="265"/>
      <c r="G8" s="2556"/>
    </row>
    <row r="9" spans="1:8" s="258" customFormat="1" ht="13.5" customHeight="1">
      <c r="A9" s="953" t="s">
        <v>799</v>
      </c>
      <c r="B9" s="268" t="s">
        <v>2301</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800</v>
      </c>
      <c r="B10" s="268" t="s">
        <v>2303</v>
      </c>
      <c r="C10" s="269">
        <f ca="1">ROUND(D10*E10,0)</f>
        <v>323378</v>
      </c>
      <c r="D10" s="1035">
        <f ca="1">IF(B1="",'数据-汇总表'!E6,IF(INDIRECT("'数据-取费表'!c"&amp;$G$1)="住宅",INDIRECT("'数据-取费表'!s"&amp;$G$1),INDIRECT("'数据-取费表'!k"&amp;$G$1)+INDIRECT("'数据-取费表'!s"&amp;$G$1)))</f>
        <v>2021.11</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303167</v>
      </c>
      <c r="D19" s="1039">
        <f ca="1">D9+D10</f>
        <v>2021.11</v>
      </c>
      <c r="E19" s="255">
        <f>'数据-取费表'!B31</f>
        <v>150</v>
      </c>
      <c r="F19" s="275"/>
      <c r="G19" s="2556"/>
    </row>
    <row r="20" spans="1:7" s="258" customFormat="1" ht="13.5" customHeight="1">
      <c r="A20" s="299" t="s">
        <v>2397</v>
      </c>
      <c r="B20" s="254" t="s">
        <v>2398</v>
      </c>
      <c r="C20" s="276">
        <f ca="1">ROUND((C5+C19)*F20,0)</f>
        <v>12531</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61531</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31451</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29485</v>
      </c>
      <c r="D24" s="282"/>
      <c r="E24" s="282"/>
      <c r="F24" s="283"/>
      <c r="G24" s="284" t="s">
        <v>2409</v>
      </c>
    </row>
    <row r="25" spans="1:7" s="258" customFormat="1" ht="24">
      <c r="A25" s="954" t="s">
        <v>2299</v>
      </c>
      <c r="B25" s="259" t="s">
        <v>2410</v>
      </c>
      <c r="C25" s="1384">
        <f ca="1">ROUND(IF('数据-取费表'!B22&lt;=1,C20*F22*'数据-取费表'!B22/2,C20*(POWER((1+F22),'数据-取费表'!B22/2)-1)),0)</f>
        <v>595</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127815</v>
      </c>
      <c r="D27" s="279">
        <f ca="1">C29</f>
        <v>4.0000000000000001E-3</v>
      </c>
      <c r="E27" s="280" t="s">
        <v>2337</v>
      </c>
      <c r="F27" s="290">
        <f ca="1">IF(B1="",'数据-取费表'!Q16,INDIRECT("'数据-取费表'!q"&amp;$G$1))</f>
        <v>0.2</v>
      </c>
      <c r="G27" s="291" t="s">
        <v>2338</v>
      </c>
    </row>
    <row r="28" spans="1:7" s="258" customFormat="1" ht="13.5" customHeight="1">
      <c r="A28" s="954" t="s">
        <v>790</v>
      </c>
      <c r="B28" s="292" t="s">
        <v>2339</v>
      </c>
      <c r="C28" s="293">
        <f ca="1">ROUND((C5+C19+C20)*F27,0)</f>
        <v>127815</v>
      </c>
      <c r="D28" s="279"/>
      <c r="E28" s="280"/>
      <c r="F28" s="290"/>
      <c r="G28" s="291"/>
    </row>
    <row r="29" spans="1:7" s="258" customFormat="1" ht="13.5" customHeight="1">
      <c r="A29" s="954" t="s">
        <v>791</v>
      </c>
      <c r="B29" s="292" t="s">
        <v>2340</v>
      </c>
      <c r="C29" s="282">
        <f ca="1">ROUND(C21*F27,4)</f>
        <v>4.0000000000000001E-3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898798</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5785428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5052775</v>
      </c>
      <c r="D34" s="261"/>
      <c r="E34" s="264"/>
      <c r="F34" s="301"/>
      <c r="G34" s="263"/>
    </row>
    <row r="35" spans="1:7" ht="13.5" customHeight="1">
      <c r="A35" s="954" t="s">
        <v>795</v>
      </c>
      <c r="B35" s="259" t="s">
        <v>2350</v>
      </c>
      <c r="C35" s="264">
        <f ca="1">ROUND(C34*F35,0)</f>
        <v>252639</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0</v>
      </c>
      <c r="D36" s="264"/>
      <c r="E36" s="264"/>
      <c r="F36" s="303">
        <f>'数据-取费表'!B34</f>
        <v>0.03</v>
      </c>
      <c r="G36" s="304" t="s">
        <v>2353</v>
      </c>
    </row>
    <row r="37" spans="1:7" s="302" customFormat="1" ht="13.5" customHeight="1">
      <c r="A37" s="954" t="s">
        <v>797</v>
      </c>
      <c r="B37" s="259" t="s">
        <v>2354</v>
      </c>
      <c r="C37" s="293">
        <f ca="1">ROUND(E37*D37,0)</f>
        <v>404222</v>
      </c>
      <c r="D37" s="261">
        <f ca="1">D19</f>
        <v>2021.11</v>
      </c>
      <c r="E37" s="293">
        <f>'数据-取费表'!B35</f>
        <v>200</v>
      </c>
      <c r="F37" s="303"/>
      <c r="G37" s="305"/>
    </row>
    <row r="38" spans="1:7" ht="13.5" customHeight="1">
      <c r="A38" s="954" t="s">
        <v>798</v>
      </c>
      <c r="B38" s="259" t="s">
        <v>2356</v>
      </c>
      <c r="C38" s="264">
        <f ca="1">ROUND(C34*F38,0)</f>
        <v>75792</v>
      </c>
      <c r="D38" s="264"/>
      <c r="E38" s="264"/>
      <c r="F38" s="303">
        <f>'数据-取费表'!B36</f>
        <v>1.4999999999999999E-2</v>
      </c>
      <c r="G38" s="263" t="s">
        <v>2351</v>
      </c>
    </row>
    <row r="39" spans="1:7" s="258" customFormat="1" ht="13.5" customHeight="1">
      <c r="A39" s="299" t="s">
        <v>2357</v>
      </c>
      <c r="B39" s="254" t="s">
        <v>2358</v>
      </c>
      <c r="C39" s="276">
        <f ca="1">ROUND(C33*F20,0)</f>
        <v>115709</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280304</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274808</v>
      </c>
      <c r="D42" s="282"/>
      <c r="E42" s="282"/>
      <c r="F42" s="283"/>
      <c r="G42" s="3198" t="s">
        <v>2414</v>
      </c>
    </row>
    <row r="43" spans="1:7" ht="13.5" customHeight="1">
      <c r="A43" s="954" t="s">
        <v>791</v>
      </c>
      <c r="B43" s="259" t="s">
        <v>2368</v>
      </c>
      <c r="C43" s="282">
        <f ca="1">ROUND(IF('数据-取费表'!B22&lt;=1,C39*F22*'数据-取费表'!B20/2,C39*(POWER((1+F22),'数据-取费表'!B20/2)-1)),0)</f>
        <v>5496</v>
      </c>
      <c r="D43" s="282"/>
      <c r="E43" s="282"/>
      <c r="F43" s="283"/>
      <c r="G43" s="3199"/>
    </row>
    <row r="44" spans="1:7" ht="13.5" customHeight="1">
      <c r="A44" s="954" t="s">
        <v>792</v>
      </c>
      <c r="B44" s="259" t="s">
        <v>2369</v>
      </c>
      <c r="C44" s="282">
        <f ca="1">ROUND(IF('数据-取费表'!B22&lt;=1,C40*F22*'数据-取费表'!B20/2,C40*(POWER((1+F22),'数据-取费表'!B20/2)-1)),4)</f>
        <v>1E-3</v>
      </c>
      <c r="D44" s="282"/>
      <c r="E44" s="282"/>
      <c r="F44" s="283"/>
      <c r="G44" s="3200"/>
    </row>
    <row r="45" spans="1:7" s="258" customFormat="1" ht="13.5" customHeight="1">
      <c r="A45" s="299" t="s">
        <v>2370</v>
      </c>
      <c r="B45" s="288" t="s">
        <v>2336</v>
      </c>
      <c r="C45" s="289">
        <f ca="1">C46</f>
        <v>1180227</v>
      </c>
      <c r="D45" s="279">
        <f ca="1">C47</f>
        <v>4.0000000000000001E-3</v>
      </c>
      <c r="E45" s="280" t="s">
        <v>2362</v>
      </c>
      <c r="F45" s="290"/>
      <c r="G45" s="291" t="s">
        <v>2371</v>
      </c>
    </row>
    <row r="46" spans="1:7" s="258" customFormat="1" ht="13.5" customHeight="1">
      <c r="A46" s="954" t="s">
        <v>790</v>
      </c>
      <c r="B46" s="292" t="s">
        <v>2372</v>
      </c>
      <c r="C46" s="293">
        <f ca="1">ROUND((C33+C39)*F27,0)</f>
        <v>1180227</v>
      </c>
      <c r="D46" s="307"/>
      <c r="E46" s="280"/>
      <c r="F46" s="290"/>
      <c r="G46" s="291"/>
    </row>
    <row r="47" spans="1:7" s="258" customFormat="1" ht="13.5" customHeight="1">
      <c r="A47" s="954" t="s">
        <v>791</v>
      </c>
      <c r="B47" s="292" t="s">
        <v>2373</v>
      </c>
      <c r="C47" s="282">
        <f ca="1">ROUND(C40*F27,4)</f>
        <v>4.0000000000000001E-3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7987054</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7987054</v>
      </c>
      <c r="D51" s="276"/>
      <c r="E51" s="276"/>
      <c r="F51" s="308"/>
      <c r="G51" s="278" t="s">
        <v>2383</v>
      </c>
    </row>
    <row r="52" spans="1:7" s="252" customFormat="1" ht="16.5" thickBot="1">
      <c r="A52" s="309" t="s">
        <v>2384</v>
      </c>
      <c r="B52" s="310"/>
      <c r="C52" s="311">
        <f ca="1">C31+C51</f>
        <v>8885852</v>
      </c>
      <c r="D52" s="310"/>
      <c r="E52" s="310"/>
      <c r="F52" s="310"/>
      <c r="G52" s="312"/>
    </row>
    <row r="55" spans="1:7" ht="15">
      <c r="B55" s="314" t="s">
        <v>2385</v>
      </c>
      <c r="C55" s="315"/>
    </row>
    <row r="56" spans="1:7">
      <c r="B56" s="317" t="s">
        <v>1509</v>
      </c>
      <c r="C56" s="319">
        <f ca="1">1-C57</f>
        <v>0.10099999999999998</v>
      </c>
    </row>
    <row r="57" spans="1:7">
      <c r="B57" s="317" t="s">
        <v>1510</v>
      </c>
      <c r="C57" s="318">
        <f ca="1">ROUND(C51/C52,3)</f>
        <v>0.89900000000000002</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1" sqref="C2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2395</v>
      </c>
      <c r="C2" s="320" t="s">
        <v>2418</v>
      </c>
      <c r="D2" s="320"/>
      <c r="E2" s="320"/>
      <c r="F2" s="320"/>
      <c r="G2" s="320"/>
      <c r="H2" s="320"/>
      <c r="I2" s="320"/>
      <c r="J2" s="320"/>
      <c r="K2" s="320"/>
    </row>
    <row r="3" spans="1:33" ht="18" customHeight="1" thickBot="1">
      <c r="A3" s="247" t="s">
        <v>2287</v>
      </c>
      <c r="B3" s="248">
        <f ca="1">ROUND(B2*10000/IF(C1="",'数据-汇总表'!E3,INDIRECT("'数据-取费表'!K"&amp;$K$1)),0)</f>
        <v>11850</v>
      </c>
      <c r="C3" s="320" t="s">
        <v>2419</v>
      </c>
      <c r="D3" s="320"/>
      <c r="E3" s="320"/>
      <c r="F3" s="320"/>
      <c r="G3" s="320"/>
      <c r="H3" s="320"/>
      <c r="I3" s="320"/>
      <c r="J3" s="320"/>
      <c r="K3" s="320"/>
    </row>
    <row r="4" spans="1:33" s="959" customFormat="1" ht="16.5" customHeight="1">
      <c r="A4" s="956" t="s">
        <v>2420</v>
      </c>
      <c r="B4" s="957"/>
      <c r="C4" s="999">
        <f ca="1">SUM(C8:K8)</f>
        <v>3275</v>
      </c>
      <c r="D4" s="957"/>
      <c r="E4" s="957"/>
      <c r="F4" s="957"/>
      <c r="G4" s="957"/>
      <c r="H4" s="957"/>
      <c r="I4" s="957"/>
      <c r="J4" s="957"/>
      <c r="K4" s="958"/>
    </row>
    <row r="5" spans="1:33" s="963" customFormat="1" ht="15">
      <c r="A5" s="960" t="s">
        <v>2421</v>
      </c>
      <c r="B5" s="961" t="s">
        <v>2422</v>
      </c>
      <c r="C5" s="2560" t="s">
        <v>3130</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 ca="1">收益法!B3</f>
        <v>16204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2021.11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 ca="1">收益法!B2</f>
        <v>3275</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202</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10</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0</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16</v>
      </c>
      <c r="D14" s="1036">
        <f ca="1">IF(C1="",'数据-汇总表'!E3,INDIRECT("'数据-取费表'!K"&amp;$K$1)+INDIRECT("'数据-取费表'!S"&amp;$K$1))</f>
        <v>2021.11</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3</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231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2021.11</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62" t="s">
        <v>3089</v>
      </c>
      <c r="H18" s="1579"/>
      <c r="I18" s="2563" t="s">
        <v>2448</v>
      </c>
      <c r="J18" s="982"/>
      <c r="K18" s="983"/>
    </row>
    <row r="19" spans="1:33" s="978" customFormat="1" ht="13.5" customHeight="1">
      <c r="A19" s="974" t="s">
        <v>804</v>
      </c>
      <c r="B19" s="975" t="s">
        <v>2449</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805</v>
      </c>
      <c r="B20" s="975" t="s">
        <v>2450</v>
      </c>
      <c r="C20" s="24">
        <f ca="1">ROUND(D20*E20/10000,0)</f>
        <v>32</v>
      </c>
      <c r="D20" s="1036">
        <f ca="1">IF(C1="",'数据-汇总表'!E6,IF(INDIRECT("'数据-取费表'!c"&amp;$K$1)="住宅",INDIRECT("'数据-取费表'!s"&amp;$K$1),INDIRECT("'数据-取费表'!k"&amp;$K$1)+INDIRECT("'数据-取费表'!s"&amp;$K$1)))</f>
        <v>2021.11</v>
      </c>
      <c r="E20" s="24">
        <f>'数据-取费表'!B28</f>
        <v>160</v>
      </c>
      <c r="F20" s="979"/>
      <c r="G20" s="15"/>
      <c r="H20" s="984"/>
      <c r="I20" s="984"/>
      <c r="J20" s="984"/>
      <c r="K20" s="985"/>
    </row>
    <row r="21" spans="1:33" s="978" customFormat="1" ht="13.5" customHeight="1">
      <c r="A21" s="964" t="s">
        <v>801</v>
      </c>
      <c r="B21" s="988" t="s">
        <v>2451</v>
      </c>
      <c r="C21" s="989">
        <f ca="1">C16+C17+C18</f>
        <v>231</v>
      </c>
      <c r="D21" s="990"/>
      <c r="E21" s="325"/>
      <c r="F21" s="325"/>
      <c r="G21" s="140" t="s">
        <v>2452</v>
      </c>
      <c r="H21" s="982"/>
      <c r="I21" s="982"/>
      <c r="J21" s="982"/>
      <c r="K21" s="983"/>
    </row>
    <row r="22" spans="1:33" s="978" customFormat="1" ht="13.5" customHeight="1">
      <c r="A22" s="964" t="s">
        <v>2424</v>
      </c>
      <c r="B22" s="988" t="s">
        <v>2453</v>
      </c>
      <c r="C22" s="989">
        <f ca="1">ROUND(C21*F22,0)</f>
        <v>5</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26</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5</v>
      </c>
      <c r="D25" s="324">
        <f ca="1">C26</f>
        <v>3.9300000000000002E-2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3.9300000000000002E-2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5</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52</v>
      </c>
      <c r="D28" s="324">
        <f ca="1">C29</f>
        <v>8.3099999999999993E-2</v>
      </c>
      <c r="E28" s="326" t="s">
        <v>15</v>
      </c>
      <c r="F28" s="332">
        <f ca="1">IF(C1="",'数据-取费表'!Q16,INDIRECT("'数据-取费表'!q"&amp;$K$1))</f>
        <v>0.2</v>
      </c>
      <c r="G28" s="992"/>
      <c r="H28" s="993"/>
      <c r="I28" s="993"/>
      <c r="J28" s="993"/>
      <c r="K28" s="994"/>
    </row>
    <row r="29" spans="1:33" s="335" customFormat="1" ht="13.5" customHeight="1">
      <c r="A29" s="974" t="s">
        <v>802</v>
      </c>
      <c r="B29" s="997" t="s">
        <v>2466</v>
      </c>
      <c r="C29" s="328">
        <f ca="1">ROUND((1+C24)*F28*'数据-取费表'!B24/'数据-取费表'!B20,4)</f>
        <v>8.3099999999999993E-2</v>
      </c>
      <c r="D29" s="328"/>
      <c r="E29" s="329"/>
      <c r="F29" s="334"/>
      <c r="G29" s="140" t="s">
        <v>2467</v>
      </c>
      <c r="H29" s="982"/>
      <c r="I29" s="982"/>
      <c r="J29" s="982"/>
      <c r="K29" s="983"/>
    </row>
    <row r="30" spans="1:33" s="335" customFormat="1" ht="13.5" customHeight="1">
      <c r="A30" s="974" t="s">
        <v>803</v>
      </c>
      <c r="B30" s="997" t="s">
        <v>2468</v>
      </c>
      <c r="C30" s="336">
        <f ca="1">ROUND((C21+C22+C23)*F28,0)</f>
        <v>52</v>
      </c>
      <c r="D30" s="328"/>
      <c r="E30" s="329"/>
      <c r="F30" s="334"/>
      <c r="G30" s="140"/>
      <c r="H30" s="982"/>
      <c r="I30" s="982"/>
      <c r="J30" s="982"/>
      <c r="K30" s="983"/>
    </row>
    <row r="31" spans="1:33" s="978" customFormat="1" ht="13.5" customHeight="1" thickBot="1">
      <c r="A31" s="2566" t="s">
        <v>2469</v>
      </c>
      <c r="B31" s="1008" t="s">
        <v>2470</v>
      </c>
      <c r="C31" s="1009">
        <f ca="1">ROUND(C4*F31/(1+'数据-取费表'!C42),0)</f>
        <v>175</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2395</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3130</v>
      </c>
      <c r="D1" s="1822" t="s">
        <v>3150</v>
      </c>
      <c r="E1" s="1823" t="s">
        <v>1383</v>
      </c>
      <c r="F1" s="1286">
        <f ca="1">J53</f>
        <v>28.59</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3275</v>
      </c>
      <c r="C2" s="1847" t="s">
        <v>1512</v>
      </c>
      <c r="D2" s="1847"/>
      <c r="E2" s="1848"/>
      <c r="F2" s="1849"/>
      <c r="G2" s="1850"/>
      <c r="H2" s="1842"/>
      <c r="I2" s="1842"/>
      <c r="J2" s="1842"/>
      <c r="K2" s="1843"/>
      <c r="L2" s="1842"/>
      <c r="M2" s="1842"/>
    </row>
    <row r="3" spans="1:37" ht="18" customHeight="1" thickBot="1">
      <c r="A3" s="1851" t="s">
        <v>1513</v>
      </c>
      <c r="B3" s="1852">
        <f ca="1">IF(ISERROR(B2*10000/F43),0,ROUND(B2*10000/F43,0))</f>
        <v>16204</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219</v>
      </c>
      <c r="D5" s="1824" t="s">
        <v>1398</v>
      </c>
      <c r="E5" s="1296"/>
      <c r="F5" s="1297"/>
      <c r="G5" s="1853"/>
      <c r="H5" s="344">
        <v>1</v>
      </c>
      <c r="I5" s="345" t="s">
        <v>1397</v>
      </c>
      <c r="J5" s="1295">
        <f ca="1">J6+J10+J12</f>
        <v>0</v>
      </c>
      <c r="K5" s="1824" t="s">
        <v>1398</v>
      </c>
      <c r="L5" s="1296"/>
      <c r="M5" s="1297"/>
    </row>
    <row r="6" spans="1:37" ht="18" customHeight="1">
      <c r="A6" s="1294" t="s">
        <v>1034</v>
      </c>
      <c r="B6" s="3203" t="s">
        <v>1399</v>
      </c>
      <c r="C6" s="1299">
        <f ca="1">ROUND(F6*F8*F7*(1-F9)/10000,0)</f>
        <v>219</v>
      </c>
      <c r="D6" s="164" t="s">
        <v>2987</v>
      </c>
      <c r="E6" s="347" t="s">
        <v>1401</v>
      </c>
      <c r="F6" s="348">
        <f ca="1">INDIRECT("'数据-取费表'!u"&amp;$G$1)</f>
        <v>3.3</v>
      </c>
      <c r="G6" s="1853"/>
      <c r="H6" s="1294" t="s">
        <v>1034</v>
      </c>
      <c r="I6" s="3203" t="s">
        <v>1399</v>
      </c>
      <c r="J6" s="346">
        <f ca="1">ROUND(M6*M8*M7*(1-M9)/10000,0)</f>
        <v>0</v>
      </c>
      <c r="K6" s="164" t="s">
        <v>2986</v>
      </c>
      <c r="L6" s="347" t="s">
        <v>1401</v>
      </c>
      <c r="M6" s="348">
        <f ca="1">INDIRECT("'数据-取费表'!z"&amp;$G$1)</f>
        <v>0</v>
      </c>
    </row>
    <row r="7" spans="1:37" ht="18" customHeight="1">
      <c r="A7" s="1298"/>
      <c r="B7" s="3204"/>
      <c r="C7" s="1300"/>
      <c r="D7" s="352"/>
      <c r="E7" s="1301" t="s">
        <v>1402</v>
      </c>
      <c r="F7" s="348">
        <f ca="1">IF(INDIRECT("'数据-取费表'!ah"&amp;$G$1)="",INDIRECT("'数据-取费表'!k"&amp;$G$1),INDIRECT("'数据-取费表'!ah"&amp;$G$1))</f>
        <v>2021.11</v>
      </c>
      <c r="G7" s="1853"/>
      <c r="H7" s="349"/>
      <c r="I7" s="3204"/>
      <c r="J7" s="351"/>
      <c r="K7" s="352"/>
      <c r="L7" s="347" t="s">
        <v>1402</v>
      </c>
      <c r="M7" s="348">
        <f ca="1">F7</f>
        <v>2021.11</v>
      </c>
    </row>
    <row r="8" spans="1:37" ht="18" customHeight="1">
      <c r="A8" s="349"/>
      <c r="B8" s="3204"/>
      <c r="C8" s="351"/>
      <c r="D8" s="352"/>
      <c r="E8" s="347" t="s">
        <v>1403</v>
      </c>
      <c r="F8" s="348">
        <f ca="1">INDIRECT("'数据-取费表'!ai"&amp;$G$1)</f>
        <v>365</v>
      </c>
      <c r="G8" s="1853"/>
      <c r="H8" s="349"/>
      <c r="I8" s="3204"/>
      <c r="J8" s="351"/>
      <c r="K8" s="352"/>
      <c r="L8" s="347" t="s">
        <v>1403</v>
      </c>
      <c r="M8" s="348">
        <f ca="1">INDIRECT("'数据-取费表'!ai"&amp;$G$1)</f>
        <v>365</v>
      </c>
    </row>
    <row r="9" spans="1:37" ht="18" customHeight="1">
      <c r="A9" s="349"/>
      <c r="B9" s="3205"/>
      <c r="C9" s="351"/>
      <c r="D9" s="352"/>
      <c r="E9" s="347" t="s">
        <v>1404</v>
      </c>
      <c r="F9" s="357">
        <f ca="1">INDIRECT("'数据-取费表'!w"&amp;$G$1)</f>
        <v>0.1</v>
      </c>
      <c r="G9" s="1853"/>
      <c r="H9" s="349"/>
      <c r="I9" s="320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t="s">
        <v>3151</v>
      </c>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799</v>
      </c>
      <c r="D13" s="1334" t="s">
        <v>1411</v>
      </c>
      <c r="E13" s="1334" t="s">
        <v>1412</v>
      </c>
      <c r="F13" s="1335">
        <f ca="1">INDIRECT("'数据-取费表'!y"&amp;$G$1)</f>
        <v>1</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505</v>
      </c>
      <c r="D14" s="1802" t="s">
        <v>1414</v>
      </c>
      <c r="E14" s="1796"/>
      <c r="F14" s="364"/>
      <c r="G14" s="1853"/>
      <c r="H14" s="1204" t="s">
        <v>1034</v>
      </c>
      <c r="I14" s="347" t="s">
        <v>1415</v>
      </c>
      <c r="J14" s="24">
        <f ca="1">C29</f>
        <v>799</v>
      </c>
      <c r="K14" s="15"/>
      <c r="L14" s="982"/>
      <c r="M14" s="983"/>
    </row>
    <row r="15" spans="1:37" s="1860" customFormat="1" ht="18" customHeight="1" thickBot="1">
      <c r="A15" s="1204" t="s">
        <v>1035</v>
      </c>
      <c r="B15" s="347" t="s">
        <v>1416</v>
      </c>
      <c r="C15" s="24">
        <f ca="1">ROUND(C14*F15,0)</f>
        <v>25</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20</v>
      </c>
      <c r="K16" s="1340" t="s">
        <v>1421</v>
      </c>
      <c r="L16" s="1341"/>
      <c r="M16" s="1297"/>
    </row>
    <row r="17" spans="1:37" s="1860" customFormat="1" ht="18" customHeight="1">
      <c r="A17" s="1204" t="s">
        <v>1386</v>
      </c>
      <c r="B17" s="347" t="s">
        <v>1422</v>
      </c>
      <c r="C17" s="24">
        <f ca="1">ROUND(F17*(F43+INDIRECT("'数据-取费表'!S"&amp;$G$1))/10000,0)</f>
        <v>40</v>
      </c>
      <c r="D17" s="347" t="s">
        <v>1423</v>
      </c>
      <c r="E17" s="347" t="s">
        <v>1424</v>
      </c>
      <c r="F17" s="26">
        <f>'数据-取费表'!B35</f>
        <v>200</v>
      </c>
      <c r="G17" s="1856"/>
      <c r="H17" s="1204" t="s">
        <v>1034</v>
      </c>
      <c r="I17" s="347" t="s">
        <v>1425</v>
      </c>
      <c r="J17" s="24">
        <f ca="1">ROUND(IF(项目基本情况!B11="自然人",J5*M17,J18+J19+J20),1)</f>
        <v>7.6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8</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578</v>
      </c>
      <c r="D19" s="140" t="s">
        <v>1432</v>
      </c>
      <c r="E19" s="1820"/>
      <c r="F19" s="26"/>
      <c r="G19" s="1853"/>
      <c r="H19" s="1204" t="s">
        <v>1035</v>
      </c>
      <c r="I19" s="347" t="s">
        <v>1433</v>
      </c>
      <c r="J19" s="24">
        <f ca="1">IF(K19="按租金收入计税",ROUND(J5*M19,2),ROUND(C29*M19*0.7,2))</f>
        <v>6.71</v>
      </c>
      <c r="K19" s="1830" t="s">
        <v>1434</v>
      </c>
      <c r="L19" s="347" t="s">
        <v>1418</v>
      </c>
      <c r="M19" s="367">
        <f>IF(K19="按租金收入计税",'数据-取费表'!B51,'数据-取费表'!B50)</f>
        <v>1.2E-2</v>
      </c>
    </row>
    <row r="20" spans="1:37" s="1860" customFormat="1" ht="18" customHeight="1">
      <c r="A20" s="1204" t="s">
        <v>1038</v>
      </c>
      <c r="B20" s="347" t="s">
        <v>1435</v>
      </c>
      <c r="C20" s="24">
        <f ca="1">ROUND(C19*F20,0)</f>
        <v>12</v>
      </c>
      <c r="D20" s="369" t="s">
        <v>1436</v>
      </c>
      <c r="E20" s="347" t="s">
        <v>1418</v>
      </c>
      <c r="F20" s="367">
        <f>'数据-取费表'!B37</f>
        <v>0.02</v>
      </c>
      <c r="G20" s="1856"/>
      <c r="H20" s="1204" t="s">
        <v>1385</v>
      </c>
      <c r="I20" s="164" t="s">
        <v>1437</v>
      </c>
      <c r="J20" s="25">
        <f ca="1">ROUND(M20*M21/10000,2)</f>
        <v>0.87</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544.62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12</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-20</v>
      </c>
      <c r="K25" s="1348" t="s">
        <v>1460</v>
      </c>
      <c r="L25" s="1349"/>
      <c r="M25" s="1350"/>
    </row>
    <row r="26" spans="1:37">
      <c r="A26" s="1204" t="s">
        <v>1033</v>
      </c>
      <c r="B26" s="347" t="s">
        <v>1461</v>
      </c>
      <c r="C26" s="24">
        <f ca="1">ROUND((C19+C20)*F26,0)</f>
        <v>118</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5.5E-2</v>
      </c>
    </row>
    <row r="27" spans="1:37" ht="18" customHeight="1">
      <c r="A27" s="1204" t="s">
        <v>1035</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799</v>
      </c>
      <c r="D29" s="1345"/>
      <c r="E29" s="1343"/>
      <c r="F29" s="1346"/>
      <c r="G29" s="1856"/>
      <c r="H29" s="380" t="s">
        <v>1032</v>
      </c>
      <c r="I29" s="381" t="s">
        <v>1475</v>
      </c>
      <c r="J29" s="382">
        <f ca="1">ROUND(J26/(1+F40)^F41,0)</f>
        <v>0</v>
      </c>
      <c r="K29" s="383" t="s">
        <v>1476</v>
      </c>
      <c r="L29" s="384"/>
      <c r="M29" s="385">
        <f ca="1">INDIRECT("'数据-取费表'!k"&amp;$G$1)</f>
        <v>2021.11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54</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38.799999999999997</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11.68</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26.28</v>
      </c>
      <c r="D33" s="1830" t="s">
        <v>3147</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0.87</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544.62</v>
      </c>
      <c r="G35" s="1853"/>
      <c r="H35" s="745"/>
      <c r="I35" s="1862"/>
      <c r="J35" s="1863"/>
      <c r="K35" s="1864"/>
      <c r="L35" s="1861"/>
      <c r="M35" s="1861"/>
    </row>
    <row r="36" spans="1:18" ht="18" customHeight="1">
      <c r="A36" s="1355" t="s">
        <v>1038</v>
      </c>
      <c r="B36" s="347" t="s">
        <v>1445</v>
      </c>
      <c r="C36" s="24">
        <f ca="1">ROUND(C29*F36,1)</f>
        <v>12</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1.2</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2.2000000000000002</v>
      </c>
      <c r="D38" s="1345" t="s">
        <v>1455</v>
      </c>
      <c r="E38" s="1343" t="s">
        <v>1451</v>
      </c>
      <c r="F38" s="1339">
        <f ca="1">INDIRECT("'数据-取费表'!Am"&amp;$G$1)</f>
        <v>0.01</v>
      </c>
      <c r="G38" s="1853"/>
      <c r="H38" s="1861"/>
      <c r="I38" s="1862"/>
      <c r="J38" s="1863"/>
      <c r="K38" s="1867"/>
      <c r="L38" s="1861"/>
      <c r="M38" s="1861"/>
    </row>
    <row r="39" spans="1:18" ht="24.6" customHeight="1" thickTop="1">
      <c r="A39" s="1332" t="s">
        <v>1030</v>
      </c>
      <c r="B39" s="1347" t="s">
        <v>1479</v>
      </c>
      <c r="C39" s="355">
        <f ca="1">C5-C30</f>
        <v>165</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3275</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28.59</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1032</v>
      </c>
      <c r="B43" s="381" t="s">
        <v>1483</v>
      </c>
      <c r="C43" s="382">
        <f ca="1">ROUND(C40*10000/F43,0)</f>
        <v>16204</v>
      </c>
      <c r="D43" s="383" t="s">
        <v>1484</v>
      </c>
      <c r="E43" s="384" t="s">
        <v>1485</v>
      </c>
      <c r="F43" s="385">
        <f ca="1">INDIRECT("'数据-取费表'!k"&amp;$G$1)</f>
        <v>2021.11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-4429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3092</v>
      </c>
      <c r="K47" s="1884" t="s">
        <v>1523</v>
      </c>
      <c r="L47" s="1885">
        <f ca="1">INDIRECT("'数据-取费表'!d"&amp;$G$1)</f>
        <v>40</v>
      </c>
      <c r="M47" s="1840" t="str">
        <f>IF(ISNUMBER(FIND("住宅",C1)),"住宅","非住宅")</f>
        <v>非住宅</v>
      </c>
      <c r="O47" s="1886" t="s">
        <v>1039</v>
      </c>
      <c r="P47" s="1887" t="s">
        <v>1524</v>
      </c>
      <c r="Q47" s="1888">
        <f ca="1">C40+J29</f>
        <v>3275</v>
      </c>
      <c r="R47" s="1888" t="s">
        <v>1525</v>
      </c>
    </row>
    <row r="48" spans="1:18" s="1844" customFormat="1" ht="28.5" thickBot="1">
      <c r="A48" s="1363" t="s">
        <v>1134</v>
      </c>
      <c r="B48" s="345" t="s">
        <v>1397</v>
      </c>
      <c r="C48" s="1819">
        <f ca="1">C49+C53+C55</f>
        <v>0</v>
      </c>
      <c r="D48" s="1365"/>
      <c r="E48" s="1366"/>
      <c r="F48" s="1184"/>
      <c r="G48" s="792"/>
      <c r="H48" s="793"/>
      <c r="I48" s="1889" t="s">
        <v>1526</v>
      </c>
      <c r="J48" s="1890" t="s">
        <v>3152</v>
      </c>
      <c r="K48" s="1891" t="s">
        <v>1527</v>
      </c>
      <c r="L48" s="1892">
        <f ca="1">INDIRECT("'数据-取费表'!f"&amp;$G$1)</f>
        <v>29.39</v>
      </c>
      <c r="O48" s="1886" t="s">
        <v>1040</v>
      </c>
      <c r="P48" s="1887" t="s">
        <v>1528</v>
      </c>
      <c r="Q48" s="1888" t="str">
        <f ca="1">J60</f>
        <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v>2018</v>
      </c>
      <c r="K49" s="1891" t="s">
        <v>1531</v>
      </c>
      <c r="L49" s="1895"/>
      <c r="O49" s="1896" t="s">
        <v>1041</v>
      </c>
      <c r="P49" s="1887" t="s">
        <v>1532</v>
      </c>
      <c r="Q49" s="1888">
        <f ca="1">C29</f>
        <v>799</v>
      </c>
      <c r="R49" s="1888" t="s">
        <v>1525</v>
      </c>
    </row>
    <row r="50" spans="1:18" s="1844" customFormat="1" ht="13.5" thickBot="1">
      <c r="A50" s="1198"/>
      <c r="B50" s="1201"/>
      <c r="C50" s="1371"/>
      <c r="D50" s="1175"/>
      <c r="E50" s="1280" t="s">
        <v>1402</v>
      </c>
      <c r="F50" s="1281">
        <f ca="1">F7</f>
        <v>2021.11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1479</v>
      </c>
      <c r="M51" s="1904"/>
      <c r="O51" s="1896" t="s">
        <v>1043</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1044</v>
      </c>
      <c r="P52" s="1887" t="s">
        <v>1541</v>
      </c>
      <c r="Q52" s="1888">
        <f ca="1">J53</f>
        <v>28.59</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28.59</v>
      </c>
      <c r="K53" s="3201" t="s">
        <v>1544</v>
      </c>
      <c r="L53" s="3202"/>
      <c r="O53" s="1886" t="s">
        <v>1045</v>
      </c>
      <c r="P53" s="1887" t="s">
        <v>1545</v>
      </c>
      <c r="Q53" s="1888">
        <f ca="1">Q47+Q48</f>
        <v>3275</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799</v>
      </c>
      <c r="D56" s="1916"/>
      <c r="E56" s="1917"/>
      <c r="F56" s="1909"/>
      <c r="I56" s="1918" t="s">
        <v>1550</v>
      </c>
      <c r="J56" s="1919" t="s">
        <v>3013</v>
      </c>
      <c r="K56" s="1889" t="s">
        <v>1551</v>
      </c>
      <c r="L56" s="1892" t="str">
        <f ca="1">IF(L48&lt;J51,"——",L48-J53)</f>
        <v>——</v>
      </c>
      <c r="O56" s="1886" t="s">
        <v>1039</v>
      </c>
      <c r="P56" s="1887" t="s">
        <v>1524</v>
      </c>
      <c r="Q56" s="1888">
        <f ca="1">C40+J29</f>
        <v>3275</v>
      </c>
      <c r="R56" s="1888" t="s">
        <v>1525</v>
      </c>
    </row>
    <row r="57" spans="1:18" s="1844" customFormat="1" ht="24.75" thickBot="1">
      <c r="A57" s="1920"/>
      <c r="B57" s="1172" t="s">
        <v>1474</v>
      </c>
      <c r="C57" s="282">
        <f ca="1">C29</f>
        <v>799</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75" thickBot="1">
      <c r="A58" s="360" t="s">
        <v>1029</v>
      </c>
      <c r="B58" s="1180" t="s">
        <v>1420</v>
      </c>
      <c r="C58" s="361">
        <f ca="1">ROUND(C59+C64+C65+C66,0)</f>
        <v>81</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68</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67.12</v>
      </c>
      <c r="D61" s="1830" t="s">
        <v>1434</v>
      </c>
      <c r="E61" s="1172" t="s">
        <v>1490</v>
      </c>
      <c r="F61" s="367">
        <f t="shared" si="0"/>
        <v>0.12</v>
      </c>
      <c r="I61" s="1930"/>
      <c r="J61" s="1930"/>
      <c r="K61" s="1930"/>
      <c r="L61" s="1930"/>
      <c r="O61" s="1896" t="s">
        <v>1044</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0.87</v>
      </c>
      <c r="D62" s="1187" t="s">
        <v>1493</v>
      </c>
      <c r="E62" s="1172" t="s">
        <v>1494</v>
      </c>
      <c r="F62" s="371">
        <f t="shared" si="0"/>
        <v>16</v>
      </c>
      <c r="I62" s="1931" t="s">
        <v>1566</v>
      </c>
      <c r="J62" s="1932" t="s">
        <v>1567</v>
      </c>
      <c r="K62" s="1932" t="s">
        <v>1568</v>
      </c>
      <c r="L62" s="1932" t="s">
        <v>1569</v>
      </c>
      <c r="M62" s="1933" t="s">
        <v>1570</v>
      </c>
      <c r="O62" s="1886" t="s">
        <v>1045</v>
      </c>
      <c r="P62" s="1887" t="s">
        <v>1571</v>
      </c>
      <c r="Q62" s="1888">
        <f ca="1">Q56+Q57</f>
        <v>3275</v>
      </c>
      <c r="R62" s="1888" t="s">
        <v>1046</v>
      </c>
    </row>
    <row r="63" spans="1:18" s="1844" customFormat="1" ht="13.5" thickBot="1">
      <c r="A63" s="372"/>
      <c r="B63" s="1178"/>
      <c r="C63" s="29"/>
      <c r="D63" s="1188"/>
      <c r="E63" s="1172" t="s">
        <v>1495</v>
      </c>
      <c r="F63" s="348">
        <f t="shared" ca="1" si="0"/>
        <v>544.62</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12</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1.2</v>
      </c>
      <c r="D65" s="1186" t="s">
        <v>1450</v>
      </c>
      <c r="E65" s="1172" t="s">
        <v>1451</v>
      </c>
      <c r="F65" s="376">
        <f t="shared" ca="1" si="0"/>
        <v>1.5E-3</v>
      </c>
      <c r="I65" s="1931" t="s">
        <v>1575</v>
      </c>
      <c r="J65" s="1932">
        <v>40</v>
      </c>
      <c r="K65" s="1932">
        <v>30</v>
      </c>
      <c r="L65" s="1932">
        <v>50</v>
      </c>
      <c r="M65" s="1934">
        <v>0.02</v>
      </c>
      <c r="O65" s="1886" t="s">
        <v>1039</v>
      </c>
      <c r="P65" s="1887" t="s">
        <v>1576</v>
      </c>
      <c r="Q65" s="1888">
        <f ca="1">C40+J29</f>
        <v>3275</v>
      </c>
      <c r="R65" s="1888" t="s">
        <v>1525</v>
      </c>
    </row>
    <row r="66" spans="1:18" s="1844" customFormat="1" ht="16.5" thickBot="1">
      <c r="A66" s="1204" t="s">
        <v>1500</v>
      </c>
      <c r="B66" s="1172" t="s">
        <v>1435</v>
      </c>
      <c r="C66" s="24">
        <f ca="1">ROUND(C48*F66,1)</f>
        <v>0</v>
      </c>
      <c r="D66" s="1186" t="s">
        <v>1501</v>
      </c>
      <c r="E66" s="1172" t="s">
        <v>1418</v>
      </c>
      <c r="F66" s="357">
        <f t="shared" ca="1" si="0"/>
        <v>0.01</v>
      </c>
      <c r="O66" s="1886" t="s">
        <v>1040</v>
      </c>
      <c r="P66" s="1887" t="s">
        <v>1554</v>
      </c>
      <c r="Q66" s="1888">
        <f ca="1">L60</f>
        <v>0</v>
      </c>
      <c r="R66" s="1888" t="s">
        <v>1577</v>
      </c>
    </row>
    <row r="67" spans="1:18" s="1844" customFormat="1" ht="16.5" thickBot="1">
      <c r="A67" s="1179" t="s">
        <v>1030</v>
      </c>
      <c r="B67" s="1189" t="s">
        <v>1459</v>
      </c>
      <c r="C67" s="361">
        <f ca="1">C48-C58</f>
        <v>-81</v>
      </c>
      <c r="D67" s="1185" t="s">
        <v>1460</v>
      </c>
      <c r="E67" s="1190"/>
      <c r="F67" s="1191"/>
      <c r="O67" s="1896" t="s">
        <v>1041</v>
      </c>
      <c r="P67" s="1887" t="s">
        <v>1558</v>
      </c>
      <c r="Q67" s="1935">
        <f ca="1">L51</f>
        <v>1479</v>
      </c>
      <c r="R67" s="1888" t="s">
        <v>1578</v>
      </c>
    </row>
    <row r="68" spans="1:18" s="1844" customFormat="1" ht="16.5" thickBot="1">
      <c r="A68" s="1169" t="s">
        <v>1031</v>
      </c>
      <c r="B68" s="1170" t="s">
        <v>1481</v>
      </c>
      <c r="C68" s="346">
        <f ca="1">ROUND(C67*(1-((1+F70)/(1+F68))^F69)/(F68-F70),0)</f>
        <v>-1154</v>
      </c>
      <c r="D68" s="1187" t="s">
        <v>1465</v>
      </c>
      <c r="E68" s="1172" t="s">
        <v>1466</v>
      </c>
      <c r="F68" s="357">
        <f ca="1">F40</f>
        <v>5.5E-2</v>
      </c>
      <c r="O68" s="1896" t="s">
        <v>1042</v>
      </c>
      <c r="P68" s="1936" t="s">
        <v>1579</v>
      </c>
      <c r="Q68" s="1888">
        <f ca="1">ROUND(Q69-Q70*Q71,0)</f>
        <v>97</v>
      </c>
      <c r="R68" s="1888" t="s">
        <v>1050</v>
      </c>
    </row>
    <row r="69" spans="1:18" s="1844" customFormat="1" ht="13.5" thickBot="1">
      <c r="A69" s="1173"/>
      <c r="B69" s="1174"/>
      <c r="C69" s="351"/>
      <c r="D69" s="1192" t="s">
        <v>1469</v>
      </c>
      <c r="E69" s="1172" t="s">
        <v>1470</v>
      </c>
      <c r="F69" s="379">
        <f ca="1">F41</f>
        <v>28.59</v>
      </c>
      <c r="O69" s="1896" t="s">
        <v>1047</v>
      </c>
      <c r="P69" s="1936" t="s">
        <v>1580</v>
      </c>
      <c r="Q69" s="1888">
        <f ca="1">C39</f>
        <v>165</v>
      </c>
      <c r="R69" s="1888" t="s">
        <v>1525</v>
      </c>
    </row>
    <row r="70" spans="1:18" s="1844" customFormat="1" ht="13.5" thickBot="1">
      <c r="A70" s="1176"/>
      <c r="B70" s="1177"/>
      <c r="C70" s="355"/>
      <c r="D70" s="1188"/>
      <c r="E70" s="1172" t="s">
        <v>1473</v>
      </c>
      <c r="F70" s="1278"/>
      <c r="O70" s="1896" t="s">
        <v>1048</v>
      </c>
      <c r="P70" s="1936" t="s">
        <v>1581</v>
      </c>
      <c r="Q70" s="1888">
        <f ca="1">C13</f>
        <v>799</v>
      </c>
      <c r="R70" s="1888" t="s">
        <v>1525</v>
      </c>
    </row>
    <row r="71" spans="1:18" s="1844" customFormat="1" ht="13.5" thickBot="1">
      <c r="A71" s="1193" t="s">
        <v>1032</v>
      </c>
      <c r="B71" s="1194" t="s">
        <v>1483</v>
      </c>
      <c r="C71" s="382">
        <f ca="1">ROUND(C68*10000/F71,0)</f>
        <v>-5710</v>
      </c>
      <c r="D71" s="1195" t="s">
        <v>1484</v>
      </c>
      <c r="E71" s="1196" t="s">
        <v>1485</v>
      </c>
      <c r="F71" s="385">
        <f ca="1">F43</f>
        <v>2021.11</v>
      </c>
      <c r="O71" s="1896" t="s">
        <v>1049</v>
      </c>
      <c r="P71" s="1936" t="s">
        <v>1582</v>
      </c>
      <c r="Q71" s="1899">
        <f ca="1">C76</f>
        <v>8.5000000000000006E-2</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续建工期及建筑物耐用年限下的土地年期修正系数Kn</v>
      </c>
      <c r="Q74" s="1888" t="e">
        <f ca="1">L59</f>
        <v>#DIV/0!</v>
      </c>
      <c r="R74" s="1888" t="s">
        <v>1565</v>
      </c>
    </row>
    <row r="75" spans="1:18" ht="13.5" thickBot="1">
      <c r="A75" s="1844"/>
      <c r="B75" s="386" t="s">
        <v>1502</v>
      </c>
      <c r="C75" s="387">
        <f ca="1">ROUND(C13*C76,0)</f>
        <v>68</v>
      </c>
      <c r="D75" s="1844"/>
      <c r="E75" s="1844"/>
      <c r="F75" s="1844"/>
      <c r="K75" s="1870"/>
      <c r="L75" s="1844"/>
      <c r="O75" s="1886" t="s">
        <v>1045</v>
      </c>
      <c r="P75" s="1887" t="s">
        <v>1545</v>
      </c>
      <c r="Q75" s="1888">
        <f ca="1">Q65+Q66</f>
        <v>3275</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0.58800000000000008</v>
      </c>
    </row>
    <row r="80" spans="1:18">
      <c r="B80" s="386" t="s">
        <v>1507</v>
      </c>
      <c r="C80" s="318">
        <f ca="1">ROUND(C75/C39,3)</f>
        <v>0.41199999999999998</v>
      </c>
    </row>
    <row r="81" spans="2:3">
      <c r="B81" s="314" t="s">
        <v>1508</v>
      </c>
      <c r="C81" s="282"/>
    </row>
    <row r="82" spans="2:3">
      <c r="B82" s="317" t="s">
        <v>1509</v>
      </c>
      <c r="C82" s="319">
        <f ca="1">1-C83</f>
        <v>0.75600000000000001</v>
      </c>
    </row>
    <row r="83" spans="2:3">
      <c r="B83" s="317" t="s">
        <v>1510</v>
      </c>
      <c r="C83" s="318">
        <f ca="1">ROUND(C13/C40,3)</f>
        <v>0.24399999999999999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03" t="s">
        <v>1399</v>
      </c>
      <c r="C6" s="1299">
        <f ca="1">ROUND(F6*F8*F7*(1-F9),0)</f>
        <v>0</v>
      </c>
      <c r="D6" s="164" t="s">
        <v>2984</v>
      </c>
      <c r="E6" s="347" t="s">
        <v>1401</v>
      </c>
      <c r="F6" s="348">
        <f ca="1">INDIRECT("'数据-取费表'!u"&amp;$G$1)</f>
        <v>0</v>
      </c>
      <c r="G6" s="1853"/>
      <c r="H6" s="1294" t="s">
        <v>1034</v>
      </c>
      <c r="I6" s="3203" t="s">
        <v>1399</v>
      </c>
      <c r="J6" s="346">
        <f ca="1">ROUND(M6*M8*M7*(1-M9),0)</f>
        <v>0</v>
      </c>
      <c r="K6" s="1836" t="s">
        <v>2985</v>
      </c>
      <c r="L6" s="347" t="s">
        <v>1401</v>
      </c>
      <c r="M6" s="348">
        <f ca="1">INDIRECT("'数据-取费表'!z"&amp;$G$1)</f>
        <v>0</v>
      </c>
    </row>
    <row r="7" spans="1:37" ht="18" customHeight="1">
      <c r="A7" s="1298"/>
      <c r="B7" s="3204"/>
      <c r="C7" s="1300"/>
      <c r="D7" s="352"/>
      <c r="E7" s="1301" t="s">
        <v>1402</v>
      </c>
      <c r="F7" s="348">
        <f ca="1">IF(INDIRECT("'数据-取费表'!ah"&amp;$G$1)="",INDIRECT("'数据-取费表'!k"&amp;$G$1),INDIRECT("'数据-取费表'!ah"&amp;$G$1))</f>
        <v>0</v>
      </c>
      <c r="G7" s="1853"/>
      <c r="H7" s="349"/>
      <c r="I7" s="3204"/>
      <c r="J7" s="351"/>
      <c r="K7" s="352"/>
      <c r="L7" s="347" t="s">
        <v>1402</v>
      </c>
      <c r="M7" s="348">
        <f ca="1">F7</f>
        <v>0</v>
      </c>
    </row>
    <row r="8" spans="1:37" ht="18" customHeight="1">
      <c r="A8" s="349"/>
      <c r="B8" s="3204"/>
      <c r="C8" s="351"/>
      <c r="D8" s="352"/>
      <c r="E8" s="347" t="s">
        <v>1403</v>
      </c>
      <c r="F8" s="348">
        <f ca="1">INDIRECT("'数据-取费表'!ai"&amp;$G$1)</f>
        <v>0</v>
      </c>
      <c r="G8" s="1853"/>
      <c r="H8" s="349"/>
      <c r="I8" s="3204"/>
      <c r="J8" s="351"/>
      <c r="K8" s="352"/>
      <c r="L8" s="347" t="s">
        <v>1403</v>
      </c>
      <c r="M8" s="348">
        <f ca="1">INDIRECT("'数据-取费表'!ai"&amp;$G$1)</f>
        <v>0</v>
      </c>
    </row>
    <row r="9" spans="1:37" ht="18" customHeight="1">
      <c r="A9" s="349"/>
      <c r="B9" s="3205"/>
      <c r="C9" s="351"/>
      <c r="D9" s="352"/>
      <c r="E9" s="347" t="s">
        <v>1404</v>
      </c>
      <c r="F9" s="357">
        <f ca="1">INDIRECT("'数据-取费表'!w"&amp;$G$1)</f>
        <v>0</v>
      </c>
      <c r="G9" s="1853"/>
      <c r="H9" s="349"/>
      <c r="I9" s="3205"/>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1" t="s">
        <v>1544</v>
      </c>
      <c r="L53" s="3202"/>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3275</v>
      </c>
      <c r="C2" s="2572" t="s">
        <v>2474</v>
      </c>
      <c r="D2" s="2573" t="s">
        <v>2475</v>
      </c>
      <c r="E2" s="2574">
        <f>SUM(E6:E13)</f>
        <v>2021.11</v>
      </c>
    </row>
    <row r="3" spans="1:6" ht="15.75">
      <c r="A3" s="2570" t="s">
        <v>1391</v>
      </c>
      <c r="B3" s="2571">
        <f ca="1">ROUND(B2*10000/E2,0)</f>
        <v>16204</v>
      </c>
      <c r="C3" s="2572" t="s">
        <v>2482</v>
      </c>
      <c r="D3" s="2575"/>
      <c r="E3" s="2576"/>
    </row>
    <row r="4" spans="1:6" ht="15.75">
      <c r="A4" s="2577"/>
      <c r="B4" s="2575"/>
      <c r="C4" s="2575"/>
      <c r="D4" s="2575"/>
      <c r="E4" s="2576"/>
    </row>
    <row r="5" spans="1:6" ht="15">
      <c r="A5" s="2578" t="s">
        <v>2476</v>
      </c>
      <c r="B5" s="3206" t="s">
        <v>2477</v>
      </c>
      <c r="C5" s="3206"/>
      <c r="D5" s="2579"/>
      <c r="E5" s="2580" t="s">
        <v>2478</v>
      </c>
      <c r="F5" s="2581" t="s">
        <v>2479</v>
      </c>
    </row>
    <row r="6" spans="1:6">
      <c r="A6" s="2582" t="str">
        <f>'数据-取费表'!AN6</f>
        <v>收益法</v>
      </c>
      <c r="B6" s="2581">
        <f ca="1">IF(F6="是",'数据-取费表'!AO6,0)</f>
        <v>3275</v>
      </c>
      <c r="C6" s="2572" t="s">
        <v>2474</v>
      </c>
      <c r="D6" s="2575"/>
      <c r="E6" s="2583">
        <f>IF(OR(A6=0,F6="否"),0,'数据-取费表'!K6+'数据-取费表'!S6)</f>
        <v>2021.11</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7" t="s">
        <v>1075</v>
      </c>
      <c r="B1" s="3208"/>
      <c r="C1" s="3209"/>
      <c r="D1" s="3210">
        <f>SUM(I10,I15,I20,I21,I23)</f>
        <v>0</v>
      </c>
      <c r="E1" s="3210"/>
      <c r="F1" s="3210"/>
      <c r="G1" s="3210"/>
      <c r="H1" s="3210"/>
      <c r="I1" s="3211"/>
    </row>
    <row r="2" spans="1:9">
      <c r="A2" s="3212" t="s">
        <v>1076</v>
      </c>
      <c r="B2" s="3213" t="s">
        <v>1077</v>
      </c>
      <c r="C2" s="3213"/>
      <c r="D2" s="1304" t="s">
        <v>1078</v>
      </c>
      <c r="E2" s="1304" t="s">
        <v>1079</v>
      </c>
      <c r="F2" s="1304" t="s">
        <v>1080</v>
      </c>
      <c r="G2" s="1304" t="s">
        <v>1081</v>
      </c>
      <c r="H2" s="1304" t="s">
        <v>1082</v>
      </c>
      <c r="I2" s="1305" t="s">
        <v>1083</v>
      </c>
    </row>
    <row r="3" spans="1:9">
      <c r="A3" s="3212"/>
      <c r="B3" s="3213" t="s">
        <v>1084</v>
      </c>
      <c r="C3" s="3213"/>
      <c r="D3" s="1306"/>
      <c r="E3" s="1304"/>
      <c r="F3" s="1307"/>
      <c r="G3" s="1307"/>
      <c r="H3" s="1308"/>
      <c r="I3" s="1309">
        <f>ROUND(D3*E3*F3*G3*H3/10000,0)</f>
        <v>0</v>
      </c>
    </row>
    <row r="4" spans="1:9">
      <c r="A4" s="3212"/>
      <c r="B4" s="3213" t="s">
        <v>1085</v>
      </c>
      <c r="C4" s="3213"/>
      <c r="D4" s="1306"/>
      <c r="E4" s="1304"/>
      <c r="F4" s="1307"/>
      <c r="G4" s="1307"/>
      <c r="H4" s="1308"/>
      <c r="I4" s="1309">
        <f t="shared" ref="I4:I9" si="0">ROUND(D4*E4*F4*G4*H4/10000,0)</f>
        <v>0</v>
      </c>
    </row>
    <row r="5" spans="1:9">
      <c r="A5" s="3212"/>
      <c r="B5" s="3213" t="s">
        <v>1086</v>
      </c>
      <c r="C5" s="3213"/>
      <c r="D5" s="1306"/>
      <c r="E5" s="1304"/>
      <c r="F5" s="1307"/>
      <c r="G5" s="1307"/>
      <c r="H5" s="1308"/>
      <c r="I5" s="1309">
        <f t="shared" si="0"/>
        <v>0</v>
      </c>
    </row>
    <row r="6" spans="1:9">
      <c r="A6" s="3212"/>
      <c r="B6" s="3213" t="s">
        <v>1087</v>
      </c>
      <c r="C6" s="3213"/>
      <c r="D6" s="1306"/>
      <c r="E6" s="1304"/>
      <c r="F6" s="1307"/>
      <c r="G6" s="1307"/>
      <c r="H6" s="1308"/>
      <c r="I6" s="1309">
        <f t="shared" si="0"/>
        <v>0</v>
      </c>
    </row>
    <row r="7" spans="1:9">
      <c r="A7" s="3212"/>
      <c r="B7" s="3213" t="s">
        <v>1088</v>
      </c>
      <c r="C7" s="3213"/>
      <c r="D7" s="1306"/>
      <c r="E7" s="1304"/>
      <c r="F7" s="1307"/>
      <c r="G7" s="1307"/>
      <c r="H7" s="1308"/>
      <c r="I7" s="1309">
        <f t="shared" si="0"/>
        <v>0</v>
      </c>
    </row>
    <row r="8" spans="1:9">
      <c r="A8" s="3212"/>
      <c r="B8" s="3213" t="s">
        <v>1089</v>
      </c>
      <c r="C8" s="3213"/>
      <c r="D8" s="1306"/>
      <c r="E8" s="1304"/>
      <c r="F8" s="1307"/>
      <c r="G8" s="1307"/>
      <c r="H8" s="1308"/>
      <c r="I8" s="1309">
        <f t="shared" si="0"/>
        <v>0</v>
      </c>
    </row>
    <row r="9" spans="1:9">
      <c r="A9" s="3212"/>
      <c r="B9" s="3213" t="s">
        <v>1090</v>
      </c>
      <c r="C9" s="3213"/>
      <c r="D9" s="1306"/>
      <c r="E9" s="1304"/>
      <c r="F9" s="1307"/>
      <c r="G9" s="1307"/>
      <c r="H9" s="1308"/>
      <c r="I9" s="1309">
        <f t="shared" si="0"/>
        <v>0</v>
      </c>
    </row>
    <row r="10" spans="1:9">
      <c r="A10" s="3212"/>
      <c r="B10" s="3214" t="s">
        <v>1091</v>
      </c>
      <c r="C10" s="3214"/>
      <c r="D10" s="1310"/>
      <c r="E10" s="1310" t="e">
        <f>ROUND(D1*10000/D10/H9,0)</f>
        <v>#DIV/0!</v>
      </c>
      <c r="F10" s="1311"/>
      <c r="G10" s="1311"/>
      <c r="H10" s="1312"/>
      <c r="I10" s="1313">
        <f>SUM(I3:I9)</f>
        <v>0</v>
      </c>
    </row>
    <row r="11" spans="1:9" ht="14.25">
      <c r="A11" s="3212" t="s">
        <v>1092</v>
      </c>
      <c r="B11" s="3213" t="s">
        <v>1093</v>
      </c>
      <c r="C11" s="3213"/>
      <c r="D11" s="1306" t="s">
        <v>1094</v>
      </c>
      <c r="E11" s="1306" t="s">
        <v>1095</v>
      </c>
      <c r="F11" s="1307" t="s">
        <v>1096</v>
      </c>
      <c r="G11" s="1307" t="s">
        <v>1082</v>
      </c>
      <c r="H11" s="1314" t="s">
        <v>1097</v>
      </c>
      <c r="I11" s="1305" t="s">
        <v>1083</v>
      </c>
    </row>
    <row r="12" spans="1:9">
      <c r="A12" s="3212"/>
      <c r="B12" s="3213" t="s">
        <v>1098</v>
      </c>
      <c r="C12" s="3213"/>
      <c r="D12" s="1306"/>
      <c r="E12" s="1306"/>
      <c r="F12" s="1307"/>
      <c r="G12" s="1308"/>
      <c r="H12" s="1315"/>
      <c r="I12" s="1305">
        <f>ROUND(D12*E12*F12*G12/10000,0)</f>
        <v>0</v>
      </c>
    </row>
    <row r="13" spans="1:9">
      <c r="A13" s="3212"/>
      <c r="B13" s="3213" t="s">
        <v>1099</v>
      </c>
      <c r="C13" s="3213"/>
      <c r="D13" s="1306"/>
      <c r="E13" s="1306"/>
      <c r="F13" s="1307"/>
      <c r="G13" s="1308"/>
      <c r="H13" s="1315"/>
      <c r="I13" s="1305">
        <f>ROUND(D13*E13*F13*G13/10000,0)</f>
        <v>0</v>
      </c>
    </row>
    <row r="14" spans="1:9">
      <c r="A14" s="3212"/>
      <c r="B14" s="3213" t="s">
        <v>1100</v>
      </c>
      <c r="C14" s="3213"/>
      <c r="D14" s="1306"/>
      <c r="E14" s="1306"/>
      <c r="F14" s="1307"/>
      <c r="G14" s="1308"/>
      <c r="H14" s="1315"/>
      <c r="I14" s="1305">
        <f>ROUND(D14*E14*F14*G14/10000,0)</f>
        <v>0</v>
      </c>
    </row>
    <row r="15" spans="1:9">
      <c r="A15" s="3212"/>
      <c r="B15" s="3214" t="s">
        <v>1091</v>
      </c>
      <c r="C15" s="3214"/>
      <c r="D15" s="1310"/>
      <c r="E15" s="1310">
        <f>SUM(E12:E14)</f>
        <v>0</v>
      </c>
      <c r="F15" s="1311"/>
      <c r="G15" s="1308"/>
      <c r="H15" s="1315"/>
      <c r="I15" s="1316">
        <f>SUM(I12:I14)</f>
        <v>0</v>
      </c>
    </row>
    <row r="16" spans="1:9" ht="24">
      <c r="A16" s="3212" t="s">
        <v>1101</v>
      </c>
      <c r="B16" s="3213" t="s">
        <v>1102</v>
      </c>
      <c r="C16" s="3213"/>
      <c r="D16" s="1306" t="s">
        <v>1078</v>
      </c>
      <c r="E16" s="1317" t="s">
        <v>1103</v>
      </c>
      <c r="F16" s="1307" t="s">
        <v>1104</v>
      </c>
      <c r="G16" s="1308" t="s">
        <v>1082</v>
      </c>
      <c r="H16" s="1314" t="s">
        <v>1097</v>
      </c>
      <c r="I16" s="1305" t="s">
        <v>1083</v>
      </c>
    </row>
    <row r="17" spans="1:9" ht="14.25">
      <c r="A17" s="3212"/>
      <c r="B17" s="3213" t="s">
        <v>1105</v>
      </c>
      <c r="C17" s="3213"/>
      <c r="D17" s="1306"/>
      <c r="E17" s="1306"/>
      <c r="F17" s="1307"/>
      <c r="G17" s="1308"/>
      <c r="H17" s="1318"/>
      <c r="I17" s="1319">
        <f>ROUND(D17*E17*F17*G17/10000,0)</f>
        <v>0</v>
      </c>
    </row>
    <row r="18" spans="1:9" ht="14.25">
      <c r="A18" s="3212"/>
      <c r="B18" s="3213" t="s">
        <v>1106</v>
      </c>
      <c r="C18" s="3213"/>
      <c r="D18" s="1306"/>
      <c r="E18" s="1306"/>
      <c r="F18" s="1307"/>
      <c r="G18" s="1308"/>
      <c r="H18" s="1318"/>
      <c r="I18" s="1319">
        <f>ROUND(D18*E18*F18*G18/10000,0)</f>
        <v>0</v>
      </c>
    </row>
    <row r="19" spans="1:9" ht="14.25">
      <c r="A19" s="3212"/>
      <c r="B19" s="3213" t="s">
        <v>1107</v>
      </c>
      <c r="C19" s="3213"/>
      <c r="D19" s="1306"/>
      <c r="E19" s="1306"/>
      <c r="F19" s="1307"/>
      <c r="G19" s="1308"/>
      <c r="H19" s="1318"/>
      <c r="I19" s="1319">
        <f>ROUND(D19*E19*F19*G19/10000,0)</f>
        <v>0</v>
      </c>
    </row>
    <row r="20" spans="1:9">
      <c r="A20" s="3212"/>
      <c r="B20" s="3214" t="s">
        <v>1091</v>
      </c>
      <c r="C20" s="3214"/>
      <c r="D20" s="1310">
        <f>SUM(D17:D19)</f>
        <v>0</v>
      </c>
      <c r="E20" s="1310"/>
      <c r="F20" s="1311"/>
      <c r="G20" s="1308"/>
      <c r="H20" s="1315"/>
      <c r="I20" s="1316">
        <f>SUM(I17:I19)</f>
        <v>0</v>
      </c>
    </row>
    <row r="21" spans="1:9">
      <c r="A21" s="3212" t="s">
        <v>1108</v>
      </c>
      <c r="B21" s="3216"/>
      <c r="C21" s="3216"/>
      <c r="D21" s="3216"/>
      <c r="E21" s="3216"/>
      <c r="F21" s="3216"/>
      <c r="G21" s="3216"/>
      <c r="H21" s="1767">
        <v>0.1</v>
      </c>
      <c r="I21" s="1313">
        <f>ROUND(I10*H21,0)</f>
        <v>0</v>
      </c>
    </row>
    <row r="22" spans="1:9" ht="14.25">
      <c r="A22" s="3217" t="s">
        <v>1109</v>
      </c>
      <c r="B22" s="3218"/>
      <c r="C22" s="3219"/>
      <c r="D22" s="1320" t="s">
        <v>1110</v>
      </c>
      <c r="E22" s="1320" t="s">
        <v>1111</v>
      </c>
      <c r="F22" s="1321" t="s">
        <v>1112</v>
      </c>
      <c r="G22" s="1321" t="s">
        <v>1113</v>
      </c>
      <c r="H22" s="1314" t="s">
        <v>1114</v>
      </c>
      <c r="I22" s="1305" t="s">
        <v>1115</v>
      </c>
    </row>
    <row r="23" spans="1:9" ht="14.25" thickBot="1">
      <c r="A23" s="3220"/>
      <c r="B23" s="3221"/>
      <c r="C23" s="3222"/>
      <c r="D23" s="1322"/>
      <c r="E23" s="1322"/>
      <c r="F23" s="1322"/>
      <c r="G23" s="1323"/>
      <c r="H23" s="1324"/>
      <c r="I23" s="1325">
        <f>ROUND(E23*D23*F23*(1-G23)/10000,0)</f>
        <v>0</v>
      </c>
    </row>
    <row r="26" spans="1:9">
      <c r="A26" s="1326" t="s">
        <v>1116</v>
      </c>
      <c r="B26" s="1326"/>
      <c r="C26" s="1326"/>
      <c r="D26" s="1326"/>
      <c r="E26" s="3223">
        <f>C27-C30-C31-C32</f>
        <v>0</v>
      </c>
      <c r="F26" s="3223"/>
      <c r="G26" s="3223"/>
      <c r="H26" s="1739" t="s">
        <v>1336</v>
      </c>
    </row>
    <row r="27" spans="1:9">
      <c r="A27" s="1327">
        <v>1</v>
      </c>
      <c r="B27" s="1328" t="s">
        <v>1117</v>
      </c>
      <c r="C27" s="1328">
        <f>C28+C29</f>
        <v>0</v>
      </c>
      <c r="D27" s="1328"/>
      <c r="E27" s="3224"/>
      <c r="F27" s="3224"/>
      <c r="G27" s="3224"/>
    </row>
    <row r="28" spans="1:9">
      <c r="A28" s="1329" t="s">
        <v>1118</v>
      </c>
      <c r="B28" s="1328" t="s">
        <v>1119</v>
      </c>
      <c r="C28" s="1328"/>
      <c r="D28" s="1328"/>
      <c r="E28" s="3224"/>
      <c r="F28" s="3224"/>
      <c r="G28" s="3224"/>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15"/>
      <c r="F32" s="3215"/>
      <c r="G32" s="3215"/>
    </row>
    <row r="33" spans="1:7" hidden="1">
      <c r="A33" s="3225" t="s">
        <v>1128</v>
      </c>
      <c r="B33" s="3226"/>
      <c r="C33" s="3226"/>
      <c r="D33" s="3227"/>
      <c r="E33" s="3223"/>
      <c r="F33" s="3223"/>
      <c r="G33" s="3223"/>
    </row>
    <row r="34" spans="1:7" hidden="1">
      <c r="A34" s="1331">
        <v>1</v>
      </c>
      <c r="B34" s="1328" t="s">
        <v>1129</v>
      </c>
      <c r="C34" s="1328"/>
      <c r="D34" s="1328"/>
      <c r="E34" s="3224"/>
      <c r="F34" s="3224"/>
      <c r="G34" s="3224"/>
    </row>
    <row r="35" spans="1:7" hidden="1">
      <c r="A35" s="1331">
        <v>2</v>
      </c>
      <c r="B35" s="1328" t="s">
        <v>1130</v>
      </c>
      <c r="C35" s="1328"/>
      <c r="D35" s="1328"/>
      <c r="E35" s="3224"/>
      <c r="F35" s="3224"/>
      <c r="G35" s="3224"/>
    </row>
    <row r="36" spans="1:7" hidden="1">
      <c r="A36" s="1331">
        <v>3</v>
      </c>
      <c r="B36" s="1328" t="s">
        <v>1131</v>
      </c>
      <c r="C36" s="1328"/>
      <c r="D36" s="1328"/>
      <c r="E36" s="3224"/>
      <c r="F36" s="3224"/>
      <c r="G36" s="3224"/>
    </row>
    <row r="37" spans="1:7" hidden="1">
      <c r="A37" s="1331">
        <v>4</v>
      </c>
      <c r="B37" s="1328" t="s">
        <v>1132</v>
      </c>
      <c r="C37" s="1328"/>
      <c r="D37" s="1328"/>
      <c r="E37" s="3224"/>
      <c r="F37" s="3224"/>
      <c r="G37" s="3224"/>
    </row>
    <row r="38" spans="1:7" hidden="1">
      <c r="A38" s="3225" t="s">
        <v>1133</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1743</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2021.11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173" t="s">
        <v>2491</v>
      </c>
      <c r="D4" s="3174"/>
      <c r="E4" s="3175" t="s">
        <v>2492</v>
      </c>
      <c r="F4" s="3176"/>
      <c r="G4" s="3173" t="s">
        <v>2493</v>
      </c>
      <c r="H4" s="3174"/>
      <c r="I4" s="3173" t="s">
        <v>2494</v>
      </c>
      <c r="J4" s="3174"/>
      <c r="K4" s="2602" t="s">
        <v>2495</v>
      </c>
      <c r="L4" s="1133"/>
      <c r="M4" s="1134"/>
      <c r="N4" s="1134"/>
      <c r="O4" s="1134"/>
      <c r="P4" s="3177" t="s">
        <v>2496</v>
      </c>
      <c r="Q4" s="3178"/>
      <c r="R4" s="3159" t="s">
        <v>2492</v>
      </c>
      <c r="S4" s="3160"/>
      <c r="T4" s="3159" t="s">
        <v>2493</v>
      </c>
      <c r="U4" s="3160"/>
      <c r="V4" s="3185" t="s">
        <v>2494</v>
      </c>
      <c r="W4" s="3185"/>
      <c r="X4" s="1815"/>
      <c r="Y4" s="3159" t="s">
        <v>2496</v>
      </c>
      <c r="Z4" s="3160"/>
      <c r="AA4" s="3154" t="s">
        <v>2492</v>
      </c>
      <c r="AB4" s="3154" t="s">
        <v>2493</v>
      </c>
      <c r="AC4" s="3154" t="s">
        <v>2494</v>
      </c>
    </row>
    <row r="5" spans="1:29" ht="15" customHeight="1">
      <c r="A5" s="404"/>
      <c r="B5" s="405"/>
      <c r="C5" s="3165" t="s">
        <v>3090</v>
      </c>
      <c r="D5" s="3166"/>
      <c r="E5" s="3163" t="s">
        <v>3115</v>
      </c>
      <c r="F5" s="3164"/>
      <c r="G5" s="3169" t="s">
        <v>3115</v>
      </c>
      <c r="H5" s="3166"/>
      <c r="I5" s="3169" t="s">
        <v>3115</v>
      </c>
      <c r="J5" s="3166"/>
      <c r="K5" s="2603"/>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3116</v>
      </c>
      <c r="F6" s="3171"/>
      <c r="G6" s="3167" t="s">
        <v>3116</v>
      </c>
      <c r="H6" s="3168"/>
      <c r="I6" s="3167" t="s">
        <v>3116</v>
      </c>
      <c r="J6" s="3168"/>
      <c r="K6" s="2603"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157" t="s">
        <v>2504</v>
      </c>
      <c r="Q7" s="3186"/>
      <c r="R7" s="770" t="s">
        <v>23</v>
      </c>
      <c r="S7" s="771">
        <f t="shared" ref="S7:S15" si="0">F7</f>
        <v>100</v>
      </c>
      <c r="T7" s="770" t="s">
        <v>23</v>
      </c>
      <c r="U7" s="771">
        <f t="shared" ref="U7:U15" si="1">H7</f>
        <v>100</v>
      </c>
      <c r="V7" s="770" t="s">
        <v>23</v>
      </c>
      <c r="W7" s="771">
        <f t="shared" ref="W7:W15" si="2">J7</f>
        <v>100</v>
      </c>
      <c r="X7" s="772"/>
      <c r="Y7" s="3157" t="s">
        <v>2504</v>
      </c>
      <c r="Z7" s="3158"/>
      <c r="AA7" s="773">
        <f>D7/F7</f>
        <v>1</v>
      </c>
      <c r="AB7" s="773">
        <f>D7/H7</f>
        <v>1</v>
      </c>
      <c r="AC7" s="773">
        <f>D7/J7</f>
        <v>1</v>
      </c>
    </row>
    <row r="8" spans="1:29" s="117" customFormat="1" ht="15.75" thickBot="1">
      <c r="A8" s="408" t="s">
        <v>2505</v>
      </c>
      <c r="B8" s="409"/>
      <c r="C8" s="414" t="s">
        <v>2506</v>
      </c>
      <c r="D8" s="411">
        <v>100</v>
      </c>
      <c r="E8" s="2605" t="s">
        <v>3039</v>
      </c>
      <c r="F8" s="413">
        <f>SUMIF(61:61,E8,62:62)-SUMIF(61:61,C8,62:62)+100</f>
        <v>100</v>
      </c>
      <c r="G8" s="414" t="s">
        <v>3039</v>
      </c>
      <c r="H8" s="411">
        <f>SUMIF(61:61,G8,62:62)-SUMIF(61:61,C8,62:62)+100</f>
        <v>100</v>
      </c>
      <c r="I8" s="2605" t="s">
        <v>3039</v>
      </c>
      <c r="J8" s="411">
        <f>SUMIF(61:61,I8,62:62)-SUMIF(61:61,C8,62:62)+100</f>
        <v>100</v>
      </c>
      <c r="K8" s="2604"/>
      <c r="L8" s="1135"/>
      <c r="M8" s="1136"/>
      <c r="N8" s="1136"/>
      <c r="O8" s="1136"/>
      <c r="P8" s="3157" t="s">
        <v>2507</v>
      </c>
      <c r="Q8" s="3158"/>
      <c r="R8" s="770" t="s">
        <v>23</v>
      </c>
      <c r="S8" s="771">
        <f t="shared" si="0"/>
        <v>100</v>
      </c>
      <c r="T8" s="770" t="s">
        <v>23</v>
      </c>
      <c r="U8" s="771">
        <f t="shared" si="1"/>
        <v>100</v>
      </c>
      <c r="V8" s="770" t="s">
        <v>23</v>
      </c>
      <c r="W8" s="771">
        <f t="shared" si="2"/>
        <v>100</v>
      </c>
      <c r="X8" s="772"/>
      <c r="Y8" s="3157" t="s">
        <v>2507</v>
      </c>
      <c r="Z8" s="3158"/>
      <c r="AA8" s="773">
        <f t="shared" ref="AA8:AA19" si="3">D8/F8</f>
        <v>1</v>
      </c>
      <c r="AB8" s="773">
        <f t="shared" ref="AB8:AB19" si="4">D8/H8</f>
        <v>1</v>
      </c>
      <c r="AC8" s="773">
        <f t="shared" ref="AC8:AC19" si="5">D8/J8</f>
        <v>1</v>
      </c>
    </row>
    <row r="9" spans="1:29" s="117" customFormat="1">
      <c r="A9" s="415" t="s">
        <v>2508</v>
      </c>
      <c r="B9" s="71" t="s">
        <v>2509</v>
      </c>
      <c r="C9" s="2951" t="s">
        <v>3097</v>
      </c>
      <c r="D9" s="135">
        <v>100</v>
      </c>
      <c r="E9" s="417" t="s">
        <v>3027</v>
      </c>
      <c r="F9" s="418">
        <f>SUMIF(63:63,E9,64:64)-SUMIF(63:63,C9,64:64)+100</f>
        <v>100</v>
      </c>
      <c r="G9" s="419" t="s">
        <v>3027</v>
      </c>
      <c r="H9" s="135">
        <f>SUMIF(63:63,G9,64:64)-SUMIF(63:63,C9,64:64)+100</f>
        <v>100</v>
      </c>
      <c r="I9" s="419" t="s">
        <v>3027</v>
      </c>
      <c r="J9" s="135">
        <f>SUMIF(63:63,I9,64:64)-SUMIF(63:63,C9,64:64)+100</f>
        <v>100</v>
      </c>
      <c r="K9" s="2604"/>
      <c r="L9" s="1135"/>
      <c r="M9" s="1136"/>
      <c r="N9" s="1136"/>
      <c r="O9" s="1136"/>
      <c r="P9" s="3196"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23" t="s">
        <v>3091</v>
      </c>
      <c r="D10" s="136">
        <v>100</v>
      </c>
      <c r="E10" s="424" t="s">
        <v>3091</v>
      </c>
      <c r="F10" s="425">
        <f>SUMIF(65:65,E10,66:66)-SUMIF(65:65,C10,66:66)+100</f>
        <v>100</v>
      </c>
      <c r="G10" s="423" t="s">
        <v>3091</v>
      </c>
      <c r="H10" s="136">
        <f>SUMIF(65:65,G10,66:66)-SUMIF(65:65,C10,66:66)+100</f>
        <v>100</v>
      </c>
      <c r="I10" s="423" t="s">
        <v>3091</v>
      </c>
      <c r="J10" s="136">
        <f>SUMIF(65:65,I10,66:66)-SUMIF(65:65,C10,66:66)+100</f>
        <v>100</v>
      </c>
      <c r="K10" s="426">
        <v>1</v>
      </c>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2513</v>
      </c>
      <c r="C11" s="429" t="s">
        <v>3124</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196"/>
      <c r="Q11" s="1797" t="str">
        <f t="shared" si="6"/>
        <v>容积率</v>
      </c>
      <c r="R11" s="770" t="s">
        <v>21</v>
      </c>
      <c r="S11" s="771">
        <f t="shared" si="0"/>
        <v>100</v>
      </c>
      <c r="T11" s="770" t="s">
        <v>21</v>
      </c>
      <c r="U11" s="771">
        <f t="shared" si="1"/>
        <v>100</v>
      </c>
      <c r="V11" s="770" t="s">
        <v>21</v>
      </c>
      <c r="W11" s="771">
        <f t="shared" si="2"/>
        <v>100</v>
      </c>
      <c r="X11" s="772"/>
      <c r="Y11" s="3034"/>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6"/>
      <c r="Q12" s="1797">
        <f t="shared" si="6"/>
        <v>0</v>
      </c>
      <c r="R12" s="770" t="s">
        <v>21</v>
      </c>
      <c r="S12" s="771">
        <f t="shared" si="0"/>
        <v>100</v>
      </c>
      <c r="T12" s="770" t="s">
        <v>21</v>
      </c>
      <c r="U12" s="771">
        <f t="shared" si="1"/>
        <v>100</v>
      </c>
      <c r="V12" s="770" t="s">
        <v>21</v>
      </c>
      <c r="W12" s="771">
        <f t="shared" si="2"/>
        <v>100</v>
      </c>
      <c r="X12" s="772"/>
      <c r="Y12" s="3034"/>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6"/>
      <c r="Q13" s="1797">
        <f t="shared" si="6"/>
        <v>0</v>
      </c>
      <c r="R13" s="770" t="s">
        <v>21</v>
      </c>
      <c r="S13" s="771">
        <f t="shared" si="0"/>
        <v>100</v>
      </c>
      <c r="T13" s="770" t="s">
        <v>21</v>
      </c>
      <c r="U13" s="771">
        <f t="shared" si="1"/>
        <v>100</v>
      </c>
      <c r="V13" s="770" t="s">
        <v>21</v>
      </c>
      <c r="W13" s="771">
        <f t="shared" si="2"/>
        <v>100</v>
      </c>
      <c r="X13" s="772"/>
      <c r="Y13" s="3034"/>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6"/>
      <c r="Q14" s="1797">
        <f t="shared" si="6"/>
        <v>0</v>
      </c>
      <c r="R14" s="770" t="s">
        <v>21</v>
      </c>
      <c r="S14" s="771">
        <f t="shared" si="0"/>
        <v>100</v>
      </c>
      <c r="T14" s="770" t="s">
        <v>21</v>
      </c>
      <c r="U14" s="771">
        <f t="shared" si="1"/>
        <v>100</v>
      </c>
      <c r="V14" s="770" t="s">
        <v>21</v>
      </c>
      <c r="W14" s="771">
        <f t="shared" si="2"/>
        <v>100</v>
      </c>
      <c r="X14" s="772"/>
      <c r="Y14" s="3034"/>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估价对象周边居住用地比例较高、居住小区规模和社区发展完善程度较好，周边1公里内有碧水春城等住宅项目，综合评价居住社区成熟度较好</v>
      </c>
      <c r="D15" s="441">
        <v>100</v>
      </c>
      <c r="E15" s="444" t="s">
        <v>3120</v>
      </c>
      <c r="F15" s="441">
        <f>SUMIF(76:76,E16,77:77)-SUMIF(76:76,C16,77:77)+100</f>
        <v>100</v>
      </c>
      <c r="G15" s="442" t="s">
        <v>3120</v>
      </c>
      <c r="H15" s="441">
        <f>SUMIF(76:76,G16,77:77)-SUMIF(76:76,C16,77:77)+100</f>
        <v>100</v>
      </c>
      <c r="I15" s="442" t="s">
        <v>3120</v>
      </c>
      <c r="J15" s="441">
        <f>SUMIF(76:76,I16,77:77)-SUMIF(76:76,C16,77:77)+100</f>
        <v>100</v>
      </c>
      <c r="K15" s="445">
        <v>5</v>
      </c>
      <c r="L15" s="1143"/>
      <c r="M15" s="1134"/>
      <c r="N15" s="1134"/>
      <c r="O15" s="1134"/>
      <c r="P15" s="3234" t="s">
        <v>2515</v>
      </c>
      <c r="Q15" s="1812" t="str">
        <f t="shared" si="6"/>
        <v>居住社区成熟度</v>
      </c>
      <c r="R15" s="774" t="s">
        <v>21</v>
      </c>
      <c r="S15" s="775">
        <f t="shared" si="0"/>
        <v>100</v>
      </c>
      <c r="T15" s="774" t="s">
        <v>21</v>
      </c>
      <c r="U15" s="775">
        <f t="shared" si="1"/>
        <v>100</v>
      </c>
      <c r="V15" s="774" t="s">
        <v>21</v>
      </c>
      <c r="W15" s="775">
        <f t="shared" si="2"/>
        <v>100</v>
      </c>
      <c r="X15" s="1815"/>
      <c r="Y15" s="3187" t="s">
        <v>2515</v>
      </c>
      <c r="Z15" s="1816" t="str">
        <f t="shared" si="7"/>
        <v>居住社区成熟度</v>
      </c>
      <c r="AA15" s="1813">
        <f t="shared" si="3"/>
        <v>1</v>
      </c>
      <c r="AB15" s="1813">
        <f t="shared" si="4"/>
        <v>1</v>
      </c>
      <c r="AC15" s="1813">
        <f t="shared" si="5"/>
        <v>1</v>
      </c>
    </row>
    <row r="16" spans="1:29" ht="15">
      <c r="A16" s="428"/>
      <c r="B16" s="446"/>
      <c r="C16" s="447" t="s">
        <v>3043</v>
      </c>
      <c r="D16" s="448"/>
      <c r="E16" s="2610" t="s">
        <v>3043</v>
      </c>
      <c r="F16" s="448"/>
      <c r="G16" s="2611" t="s">
        <v>3043</v>
      </c>
      <c r="H16" s="450"/>
      <c r="I16" s="2611" t="s">
        <v>3043</v>
      </c>
      <c r="J16" s="448"/>
      <c r="K16" s="2612"/>
      <c r="L16" s="1143"/>
      <c r="M16" s="1134"/>
      <c r="N16" s="1134"/>
      <c r="O16" s="1134"/>
      <c r="P16" s="3235"/>
      <c r="Q16" s="1812"/>
      <c r="R16" s="774"/>
      <c r="S16" s="775"/>
      <c r="T16" s="774"/>
      <c r="U16" s="775"/>
      <c r="V16" s="774"/>
      <c r="W16" s="775"/>
      <c r="X16" s="1815"/>
      <c r="Y16" s="3188"/>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3121</v>
      </c>
      <c r="F17" s="450">
        <f>SUMIF(78:78,E18,79:79)-SUMIF(78:78,C18,79:79)+100</f>
        <v>100</v>
      </c>
      <c r="G17" s="452" t="s">
        <v>3121</v>
      </c>
      <c r="H17" s="455">
        <f>SUMIF(78:78,G18,79:79)-SUMIF(78:78,C18,79:79)+100</f>
        <v>100</v>
      </c>
      <c r="I17" s="452" t="s">
        <v>3121</v>
      </c>
      <c r="J17" s="455">
        <f>SUMIF(78:78,I18,79:79)-SUMIF(78:78,C18,79:79)+100</f>
        <v>100</v>
      </c>
      <c r="K17" s="445">
        <v>1</v>
      </c>
      <c r="L17" s="1143"/>
      <c r="M17" s="1134"/>
      <c r="N17" s="1134"/>
      <c r="O17" s="1134"/>
      <c r="P17" s="3235"/>
      <c r="Q17" s="1812" t="str">
        <f>B17</f>
        <v>交通便捷度</v>
      </c>
      <c r="R17" s="774" t="s">
        <v>21</v>
      </c>
      <c r="S17" s="775">
        <f>F17</f>
        <v>100</v>
      </c>
      <c r="T17" s="774" t="s">
        <v>21</v>
      </c>
      <c r="U17" s="775">
        <f>H17</f>
        <v>100</v>
      </c>
      <c r="V17" s="774" t="s">
        <v>21</v>
      </c>
      <c r="W17" s="775">
        <f>J17</f>
        <v>100</v>
      </c>
      <c r="X17" s="1815"/>
      <c r="Y17" s="3188"/>
      <c r="Z17" s="1816" t="str">
        <f>Q17</f>
        <v>交通便捷度</v>
      </c>
      <c r="AA17" s="1813">
        <f t="shared" si="3"/>
        <v>1</v>
      </c>
      <c r="AB17" s="1813">
        <f t="shared" si="4"/>
        <v>1</v>
      </c>
      <c r="AC17" s="1813">
        <f t="shared" si="5"/>
        <v>1</v>
      </c>
    </row>
    <row r="18" spans="1:29" ht="15">
      <c r="A18" s="428"/>
      <c r="B18" s="456"/>
      <c r="C18" s="2614" t="s">
        <v>3064</v>
      </c>
      <c r="D18" s="450"/>
      <c r="E18" s="2615" t="s">
        <v>3064</v>
      </c>
      <c r="F18" s="450"/>
      <c r="G18" s="2616" t="s">
        <v>3064</v>
      </c>
      <c r="H18" s="448"/>
      <c r="I18" s="2616" t="s">
        <v>3064</v>
      </c>
      <c r="J18" s="448"/>
      <c r="K18" s="2612"/>
      <c r="L18" s="1143"/>
      <c r="M18" s="1134"/>
      <c r="N18" s="1134"/>
      <c r="O18" s="1134"/>
      <c r="P18" s="3235"/>
      <c r="Q18" s="1812"/>
      <c r="R18" s="774"/>
      <c r="S18" s="775"/>
      <c r="T18" s="774"/>
      <c r="U18" s="775"/>
      <c r="V18" s="774"/>
      <c r="W18" s="775"/>
      <c r="X18" s="1815"/>
      <c r="Y18" s="3188"/>
      <c r="Z18" s="1816"/>
      <c r="AA18" s="1813">
        <v>1</v>
      </c>
      <c r="AB18" s="1813">
        <v>1</v>
      </c>
      <c r="AC18" s="1813">
        <v>1</v>
      </c>
    </row>
    <row r="19" spans="1:29" ht="42.75">
      <c r="A19" s="428"/>
      <c r="B19" s="451" t="s">
        <v>2055</v>
      </c>
      <c r="C19" s="2613" t="str">
        <f>估价对象房地状况!C7</f>
        <v>估价对象所在区域公共配套设施齐备度较好</v>
      </c>
      <c r="D19" s="455">
        <v>100</v>
      </c>
      <c r="E19" s="459" t="s">
        <v>3030</v>
      </c>
      <c r="F19" s="455">
        <f>SUMIF(80:80,E20,81:81)-SUMIF(80:80,C20,81:81)+100</f>
        <v>100</v>
      </c>
      <c r="G19" s="457" t="s">
        <v>3030</v>
      </c>
      <c r="H19" s="450">
        <f>SUMIF(80:80,G20,81:81)-SUMIF(80:80,C20,81:81)+100</f>
        <v>100</v>
      </c>
      <c r="I19" s="457" t="s">
        <v>3030</v>
      </c>
      <c r="J19" s="450">
        <f>SUMIF(80:80,I20,81:81)-SUMIF(80:80,C20,81:81)+100</f>
        <v>100</v>
      </c>
      <c r="K19" s="445">
        <v>1</v>
      </c>
      <c r="L19" s="1143"/>
      <c r="M19" s="1134"/>
      <c r="N19" s="1134"/>
      <c r="O19" s="1134"/>
      <c r="P19" s="3235"/>
      <c r="Q19" s="1812" t="str">
        <f>B19</f>
        <v>公共配套设施</v>
      </c>
      <c r="R19" s="774" t="s">
        <v>21</v>
      </c>
      <c r="S19" s="775">
        <f>F19</f>
        <v>100</v>
      </c>
      <c r="T19" s="774" t="s">
        <v>21</v>
      </c>
      <c r="U19" s="775">
        <f>H19</f>
        <v>100</v>
      </c>
      <c r="V19" s="774" t="s">
        <v>21</v>
      </c>
      <c r="W19" s="775">
        <f>J19</f>
        <v>100</v>
      </c>
      <c r="X19" s="1815"/>
      <c r="Y19" s="3188"/>
      <c r="Z19" s="1816" t="str">
        <f>Q19</f>
        <v>公共配套设施</v>
      </c>
      <c r="AA19" s="1813">
        <f t="shared" si="3"/>
        <v>1</v>
      </c>
      <c r="AB19" s="1813">
        <f t="shared" si="4"/>
        <v>1</v>
      </c>
      <c r="AC19" s="1813">
        <f t="shared" si="5"/>
        <v>1</v>
      </c>
    </row>
    <row r="20" spans="1:29" ht="15">
      <c r="A20" s="428"/>
      <c r="B20" s="456"/>
      <c r="C20" s="447" t="s">
        <v>3043</v>
      </c>
      <c r="D20" s="448"/>
      <c r="E20" s="2610" t="s">
        <v>3043</v>
      </c>
      <c r="F20" s="448"/>
      <c r="G20" s="2611" t="s">
        <v>3043</v>
      </c>
      <c r="H20" s="448"/>
      <c r="I20" s="2611" t="s">
        <v>3043</v>
      </c>
      <c r="J20" s="448"/>
      <c r="K20" s="2612"/>
      <c r="L20" s="1143"/>
      <c r="M20" s="1134"/>
      <c r="N20" s="1134"/>
      <c r="O20" s="1134"/>
      <c r="P20" s="3235"/>
      <c r="Q20" s="1812"/>
      <c r="R20" s="774"/>
      <c r="S20" s="775"/>
      <c r="T20" s="774"/>
      <c r="U20" s="775"/>
      <c r="V20" s="774"/>
      <c r="W20" s="775"/>
      <c r="X20" s="1815"/>
      <c r="Y20" s="3188"/>
      <c r="Z20" s="1816"/>
      <c r="AA20" s="1813">
        <v>1</v>
      </c>
      <c r="AB20" s="1813">
        <v>1</v>
      </c>
      <c r="AC20" s="1813">
        <v>1</v>
      </c>
    </row>
    <row r="21" spans="1:29" ht="42.75">
      <c r="A21" s="428"/>
      <c r="B21" s="1387" t="s">
        <v>2057</v>
      </c>
      <c r="C21" s="2613" t="str">
        <f>估价对象房地状况!C8</f>
        <v>估价对象所在区域基础设施水平较好</v>
      </c>
      <c r="D21" s="450">
        <v>100</v>
      </c>
      <c r="E21" s="459" t="s">
        <v>3031</v>
      </c>
      <c r="F21" s="455">
        <f>SUMIF(82:82,E22,83:83)-SUMIF(82:82,C22,83:83)+100</f>
        <v>100</v>
      </c>
      <c r="G21" s="457" t="s">
        <v>3031</v>
      </c>
      <c r="H21" s="450">
        <f>SUMIF(82:82,G22,83:83)-SUMIF(82:82,C22,83:83)+100</f>
        <v>100</v>
      </c>
      <c r="I21" s="457" t="s">
        <v>3031</v>
      </c>
      <c r="J21" s="450">
        <f>SUMIF(82:82,I22,83:83)-SUMIF(82:82,C22,83:83)+100</f>
        <v>100</v>
      </c>
      <c r="K21" s="445">
        <v>1</v>
      </c>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14" t="s">
        <v>3059</v>
      </c>
      <c r="D22" s="448"/>
      <c r="E22" s="447" t="s">
        <v>3059</v>
      </c>
      <c r="F22" s="448"/>
      <c r="G22" s="2617" t="s">
        <v>3059</v>
      </c>
      <c r="H22" s="448"/>
      <c r="I22" s="447" t="s">
        <v>3059</v>
      </c>
      <c r="J22" s="448"/>
      <c r="K22" s="2618"/>
      <c r="L22" s="1143"/>
      <c r="M22" s="1134"/>
      <c r="N22" s="1134"/>
      <c r="O22" s="1134"/>
      <c r="P22" s="3235"/>
      <c r="Q22" s="1812"/>
      <c r="R22" s="774"/>
      <c r="S22" s="775"/>
      <c r="T22" s="774"/>
      <c r="U22" s="775"/>
      <c r="V22" s="774"/>
      <c r="W22" s="775"/>
      <c r="X22" s="1815"/>
      <c r="Y22" s="3188"/>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3122</v>
      </c>
      <c r="F23" s="450">
        <f>SUMIF(84:84,E24,85:85)-SUMIF(84:84,C24,85:85)+100</f>
        <v>100</v>
      </c>
      <c r="G23" s="452" t="s">
        <v>3122</v>
      </c>
      <c r="H23" s="450">
        <f>SUMIF(84:84,G24,85:85)-SUMIF(84:84,C24,85:85)+100</f>
        <v>100</v>
      </c>
      <c r="I23" s="452" t="s">
        <v>3122</v>
      </c>
      <c r="J23" s="450">
        <f>SUMIF(84:84,I24,85:85)-SUMIF(84:84,C24,85:85)+100</f>
        <v>100</v>
      </c>
      <c r="K23" s="445">
        <v>1</v>
      </c>
      <c r="L23" s="1143"/>
      <c r="M23" s="1134"/>
      <c r="N23" s="1134"/>
      <c r="O23" s="1134"/>
      <c r="P23" s="3235"/>
      <c r="Q23" s="1812" t="str">
        <f>B23</f>
        <v>自然及人文环境</v>
      </c>
      <c r="R23" s="774" t="s">
        <v>21</v>
      </c>
      <c r="S23" s="775">
        <f>F23</f>
        <v>100</v>
      </c>
      <c r="T23" s="774" t="s">
        <v>21</v>
      </c>
      <c r="U23" s="775">
        <f>H23</f>
        <v>100</v>
      </c>
      <c r="V23" s="774" t="s">
        <v>21</v>
      </c>
      <c r="W23" s="775">
        <f>J23</f>
        <v>100</v>
      </c>
      <c r="X23" s="1815"/>
      <c r="Y23" s="3188"/>
      <c r="Z23" s="1816" t="str">
        <f>Q23</f>
        <v>自然及人文环境</v>
      </c>
      <c r="AA23" s="1813">
        <f>D23/F23</f>
        <v>1</v>
      </c>
      <c r="AB23" s="1813">
        <f>D23/H23</f>
        <v>1</v>
      </c>
      <c r="AC23" s="1813">
        <f>D23/J23</f>
        <v>1</v>
      </c>
    </row>
    <row r="24" spans="1:29" ht="15">
      <c r="A24" s="428"/>
      <c r="B24" s="456"/>
      <c r="C24" s="447" t="s">
        <v>3064</v>
      </c>
      <c r="D24" s="448"/>
      <c r="E24" s="2610" t="s">
        <v>3064</v>
      </c>
      <c r="F24" s="448"/>
      <c r="G24" s="2611" t="s">
        <v>3064</v>
      </c>
      <c r="H24" s="448"/>
      <c r="I24" s="2611" t="s">
        <v>3064</v>
      </c>
      <c r="J24" s="448"/>
      <c r="K24" s="2612"/>
      <c r="L24" s="1143"/>
      <c r="M24" s="1134"/>
      <c r="N24" s="1134"/>
      <c r="O24" s="1134"/>
      <c r="P24" s="3235"/>
      <c r="Q24" s="1812"/>
      <c r="R24" s="774"/>
      <c r="S24" s="775"/>
      <c r="T24" s="774"/>
      <c r="U24" s="775"/>
      <c r="V24" s="774"/>
      <c r="W24" s="775"/>
      <c r="X24" s="1815"/>
      <c r="Y24" s="3188"/>
      <c r="Z24" s="1816"/>
      <c r="AA24" s="1813">
        <v>1</v>
      </c>
      <c r="AB24" s="1813">
        <v>1</v>
      </c>
      <c r="AC24" s="1813">
        <v>1</v>
      </c>
    </row>
    <row r="25" spans="1:29" ht="15">
      <c r="A25" s="428"/>
      <c r="B25" s="422" t="s">
        <v>2516</v>
      </c>
      <c r="C25" s="460">
        <v>15</v>
      </c>
      <c r="D25" s="435">
        <v>100</v>
      </c>
      <c r="E25" s="2619" t="s">
        <v>3127</v>
      </c>
      <c r="F25" s="435">
        <f>SUMIF(86:86,E25,87:87)-SUMIF(86:86,C25,87:87)+100</f>
        <v>101.25</v>
      </c>
      <c r="G25" s="2620" t="s">
        <v>3127</v>
      </c>
      <c r="H25" s="435">
        <f>SUMIF(86:86,G25,87:87)-SUMIF(86:86,C25,87:87)+100</f>
        <v>101.25</v>
      </c>
      <c r="I25" s="2620" t="s">
        <v>3128</v>
      </c>
      <c r="J25" s="435">
        <f>SUMIF(86:86,I25,87:87)-SUMIF(86:86,C25,87:87)+100</f>
        <v>101.5</v>
      </c>
      <c r="K25" s="426">
        <v>0.25</v>
      </c>
      <c r="L25" s="1143"/>
      <c r="M25" s="1134"/>
      <c r="N25" s="1134"/>
      <c r="O25" s="1134"/>
      <c r="P25" s="3235"/>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188"/>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35"/>
      <c r="Q26" s="1812" t="str">
        <f t="shared" si="11"/>
        <v>朝向</v>
      </c>
      <c r="R26" s="774" t="s">
        <v>21</v>
      </c>
      <c r="S26" s="775">
        <f t="shared" si="12"/>
        <v>100</v>
      </c>
      <c r="T26" s="774" t="s">
        <v>21</v>
      </c>
      <c r="U26" s="775">
        <f t="shared" si="13"/>
        <v>100</v>
      </c>
      <c r="V26" s="774" t="s">
        <v>21</v>
      </c>
      <c r="W26" s="775">
        <f t="shared" si="14"/>
        <v>100</v>
      </c>
      <c r="X26" s="1815"/>
      <c r="Y26" s="3188"/>
      <c r="Z26" s="1816" t="str">
        <f>Q26</f>
        <v>朝向</v>
      </c>
      <c r="AA26" s="1813">
        <f t="shared" si="15"/>
        <v>1</v>
      </c>
      <c r="AB26" s="1813">
        <f t="shared" si="16"/>
        <v>1</v>
      </c>
      <c r="AC26" s="1813">
        <f t="shared" si="17"/>
        <v>1</v>
      </c>
    </row>
    <row r="27" spans="1:29" s="117" customFormat="1" ht="15">
      <c r="A27" s="431"/>
      <c r="B27" s="1389"/>
      <c r="C27" s="432" t="s">
        <v>3049</v>
      </c>
      <c r="D27" s="462">
        <v>100</v>
      </c>
      <c r="E27" s="465" t="s">
        <v>3049</v>
      </c>
      <c r="F27" s="462">
        <f>SUMIF(90:90,E27,91:91)-SUMIF(90:90,C27,91:91)+100</f>
        <v>100</v>
      </c>
      <c r="G27" s="463" t="s">
        <v>3049</v>
      </c>
      <c r="H27" s="462">
        <f>SUMIF(90:90,G27,91:91)-SUMIF(90:90,C27,91:91)+100</f>
        <v>100</v>
      </c>
      <c r="I27" s="463" t="s">
        <v>3049</v>
      </c>
      <c r="J27" s="462">
        <f>SUMIF(90:90,I27,91:91)-SUMIF(90:90,C27,91:91)+100</f>
        <v>100</v>
      </c>
      <c r="K27" s="2607"/>
      <c r="L27" s="1135"/>
      <c r="M27" s="1136"/>
      <c r="N27" s="1136"/>
      <c r="O27" s="1136"/>
      <c r="P27" s="3235"/>
      <c r="Q27" s="1797">
        <f t="shared" si="11"/>
        <v>0</v>
      </c>
      <c r="R27" s="770" t="s">
        <v>21</v>
      </c>
      <c r="S27" s="771">
        <f t="shared" si="12"/>
        <v>100</v>
      </c>
      <c r="T27" s="770" t="s">
        <v>21</v>
      </c>
      <c r="U27" s="771">
        <f t="shared" si="13"/>
        <v>100</v>
      </c>
      <c r="V27" s="770" t="s">
        <v>21</v>
      </c>
      <c r="W27" s="771">
        <f t="shared" si="14"/>
        <v>100</v>
      </c>
      <c r="X27" s="772"/>
      <c r="Y27" s="3188"/>
      <c r="Z27" s="55">
        <f>Q27</f>
        <v>0</v>
      </c>
      <c r="AA27" s="1813">
        <f t="shared" si="15"/>
        <v>1</v>
      </c>
      <c r="AB27" s="1813">
        <f t="shared" si="16"/>
        <v>1</v>
      </c>
      <c r="AC27" s="1813">
        <f t="shared" si="17"/>
        <v>1</v>
      </c>
    </row>
    <row r="28" spans="1:29" ht="28.5">
      <c r="A28" s="428"/>
      <c r="B28" s="1389"/>
      <c r="C28" s="434" t="s">
        <v>3033</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5"/>
      <c r="Q28" s="1812">
        <f t="shared" si="11"/>
        <v>0</v>
      </c>
      <c r="R28" s="774" t="s">
        <v>21</v>
      </c>
      <c r="S28" s="775">
        <f t="shared" si="12"/>
        <v>100</v>
      </c>
      <c r="T28" s="774" t="s">
        <v>21</v>
      </c>
      <c r="U28" s="775">
        <f t="shared" si="13"/>
        <v>100</v>
      </c>
      <c r="V28" s="774" t="s">
        <v>21</v>
      </c>
      <c r="W28" s="775">
        <f t="shared" si="14"/>
        <v>100</v>
      </c>
      <c r="X28" s="1815"/>
      <c r="Y28" s="3188"/>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5"/>
      <c r="Q29" s="1812">
        <f t="shared" si="11"/>
        <v>0</v>
      </c>
      <c r="R29" s="774" t="s">
        <v>21</v>
      </c>
      <c r="S29" s="775">
        <f t="shared" si="12"/>
        <v>100</v>
      </c>
      <c r="T29" s="774" t="s">
        <v>21</v>
      </c>
      <c r="U29" s="775">
        <f t="shared" si="13"/>
        <v>100</v>
      </c>
      <c r="V29" s="774" t="s">
        <v>21</v>
      </c>
      <c r="W29" s="775">
        <f t="shared" si="14"/>
        <v>100</v>
      </c>
      <c r="X29" s="1815"/>
      <c r="Y29" s="3188"/>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5"/>
      <c r="Q30" s="1812">
        <f t="shared" si="11"/>
        <v>0</v>
      </c>
      <c r="R30" s="774" t="s">
        <v>21</v>
      </c>
      <c r="S30" s="775">
        <f t="shared" si="12"/>
        <v>100</v>
      </c>
      <c r="T30" s="774" t="s">
        <v>21</v>
      </c>
      <c r="U30" s="775">
        <f t="shared" si="13"/>
        <v>100</v>
      </c>
      <c r="V30" s="774" t="s">
        <v>21</v>
      </c>
      <c r="W30" s="775">
        <f t="shared" si="14"/>
        <v>100</v>
      </c>
      <c r="X30" s="1815"/>
      <c r="Y30" s="3188"/>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5"/>
      <c r="Q31" s="1812">
        <f t="shared" si="11"/>
        <v>0</v>
      </c>
      <c r="R31" s="774" t="s">
        <v>21</v>
      </c>
      <c r="S31" s="775">
        <f t="shared" si="12"/>
        <v>100</v>
      </c>
      <c r="T31" s="774" t="s">
        <v>21</v>
      </c>
      <c r="U31" s="775">
        <f t="shared" si="13"/>
        <v>100</v>
      </c>
      <c r="V31" s="774" t="s">
        <v>21</v>
      </c>
      <c r="W31" s="775">
        <f t="shared" si="14"/>
        <v>100</v>
      </c>
      <c r="X31" s="1815"/>
      <c r="Y31" s="3188"/>
      <c r="Z31" s="1816">
        <f t="shared" si="18"/>
        <v>0</v>
      </c>
      <c r="AA31" s="1813">
        <f t="shared" si="15"/>
        <v>1</v>
      </c>
      <c r="AB31" s="1813">
        <f t="shared" si="16"/>
        <v>1</v>
      </c>
      <c r="AC31" s="1813">
        <f t="shared" si="17"/>
        <v>1</v>
      </c>
    </row>
    <row r="32" spans="1:29" ht="15">
      <c r="A32" s="440" t="s">
        <v>2518</v>
      </c>
      <c r="B32" s="71" t="s">
        <v>2519</v>
      </c>
      <c r="C32" s="2623" t="s">
        <v>3092</v>
      </c>
      <c r="D32" s="467">
        <v>100</v>
      </c>
      <c r="E32" s="2624" t="s">
        <v>3092</v>
      </c>
      <c r="F32" s="461">
        <f>SUMIF(100:100,E32,101:101)-SUMIF(100:100,C32,101:101)+100</f>
        <v>100</v>
      </c>
      <c r="G32" s="2623" t="s">
        <v>3092</v>
      </c>
      <c r="H32" s="467">
        <f>SUMIF(100:100,G32,101:101)-SUMIF(100:100,C32,101:101)+100</f>
        <v>100</v>
      </c>
      <c r="I32" s="2624" t="s">
        <v>3092</v>
      </c>
      <c r="J32" s="435">
        <f>SUMIF(100:100,I32,101:101)-SUMIF(100:100,C32,101:101)+100</f>
        <v>100</v>
      </c>
      <c r="K32" s="426">
        <v>1</v>
      </c>
      <c r="L32" s="1143"/>
      <c r="M32" s="1134"/>
      <c r="N32" s="1134"/>
      <c r="O32" s="1134"/>
      <c r="P32" s="3230" t="s">
        <v>2520</v>
      </c>
      <c r="Q32" s="1812" t="str">
        <f t="shared" si="11"/>
        <v>建筑类型</v>
      </c>
      <c r="R32" s="774" t="s">
        <v>21</v>
      </c>
      <c r="S32" s="775">
        <f t="shared" si="12"/>
        <v>100</v>
      </c>
      <c r="T32" s="774" t="s">
        <v>21</v>
      </c>
      <c r="U32" s="775">
        <f t="shared" si="13"/>
        <v>100</v>
      </c>
      <c r="V32" s="774" t="s">
        <v>21</v>
      </c>
      <c r="W32" s="775">
        <f t="shared" si="14"/>
        <v>100</v>
      </c>
      <c r="X32" s="1815"/>
      <c r="Y32" s="3190" t="s">
        <v>2520</v>
      </c>
      <c r="Z32" s="1816" t="str">
        <f t="shared" si="18"/>
        <v>建筑类型</v>
      </c>
      <c r="AA32" s="1813">
        <f t="shared" si="15"/>
        <v>1</v>
      </c>
      <c r="AB32" s="1813">
        <f t="shared" si="16"/>
        <v>1</v>
      </c>
      <c r="AC32" s="1813">
        <f t="shared" si="17"/>
        <v>1</v>
      </c>
    </row>
    <row r="33" spans="1:29" s="471" customFormat="1" ht="15">
      <c r="A33" s="468"/>
      <c r="B33" s="422" t="s">
        <v>2521</v>
      </c>
      <c r="C33" s="469" t="s">
        <v>3124</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31"/>
      <c r="Q33" s="776" t="str">
        <f t="shared" si="11"/>
        <v>项目建筑规模</v>
      </c>
      <c r="R33" s="777" t="s">
        <v>21</v>
      </c>
      <c r="S33" s="778">
        <f t="shared" si="12"/>
        <v>100</v>
      </c>
      <c r="T33" s="777" t="s">
        <v>21</v>
      </c>
      <c r="U33" s="778">
        <f t="shared" si="13"/>
        <v>100</v>
      </c>
      <c r="V33" s="777" t="s">
        <v>21</v>
      </c>
      <c r="W33" s="778">
        <f t="shared" si="14"/>
        <v>100</v>
      </c>
      <c r="X33" s="779"/>
      <c r="Y33" s="3190"/>
      <c r="Z33" s="780" t="str">
        <f t="shared" si="18"/>
        <v>项目建筑规模</v>
      </c>
      <c r="AA33" s="1813">
        <f t="shared" si="15"/>
        <v>1</v>
      </c>
      <c r="AB33" s="1813">
        <f t="shared" si="16"/>
        <v>1</v>
      </c>
      <c r="AC33" s="1813">
        <f t="shared" si="17"/>
        <v>1</v>
      </c>
    </row>
    <row r="34" spans="1:29" ht="15">
      <c r="A34" s="472"/>
      <c r="B34" s="422" t="s">
        <v>2522</v>
      </c>
      <c r="C34" s="2625" t="s">
        <v>3092</v>
      </c>
      <c r="D34" s="435">
        <v>100</v>
      </c>
      <c r="E34" s="2626" t="s">
        <v>3092</v>
      </c>
      <c r="F34" s="461">
        <f>SUMIF(105:105,E34,106:106)-SUMIF(105:105,C34,106:106)+100</f>
        <v>100</v>
      </c>
      <c r="G34" s="2625" t="s">
        <v>3092</v>
      </c>
      <c r="H34" s="435">
        <f>SUMIF(105:105,G34,106:106)-SUMIF(105:105,C34,106:106)+100</f>
        <v>100</v>
      </c>
      <c r="I34" s="2626" t="s">
        <v>3092</v>
      </c>
      <c r="J34" s="435">
        <f>SUMIF(105:105,I34,106:106)-SUMIF(105:105,C34,106:106)+100</f>
        <v>100</v>
      </c>
      <c r="K34" s="426">
        <v>1</v>
      </c>
      <c r="L34" s="1143"/>
      <c r="M34" s="1134"/>
      <c r="N34" s="1134"/>
      <c r="O34" s="1134"/>
      <c r="P34" s="3231"/>
      <c r="Q34" s="1812" t="str">
        <f t="shared" si="11"/>
        <v>建筑结构</v>
      </c>
      <c r="R34" s="774" t="s">
        <v>21</v>
      </c>
      <c r="S34" s="775">
        <f t="shared" si="12"/>
        <v>100</v>
      </c>
      <c r="T34" s="774" t="s">
        <v>21</v>
      </c>
      <c r="U34" s="775">
        <f t="shared" si="13"/>
        <v>100</v>
      </c>
      <c r="V34" s="774" t="s">
        <v>21</v>
      </c>
      <c r="W34" s="775">
        <f t="shared" si="14"/>
        <v>100</v>
      </c>
      <c r="X34" s="1815"/>
      <c r="Y34" s="3190"/>
      <c r="Z34" s="1816" t="str">
        <f t="shared" si="18"/>
        <v>建筑结构</v>
      </c>
      <c r="AA34" s="1813">
        <f t="shared" si="15"/>
        <v>1</v>
      </c>
      <c r="AB34" s="1813">
        <f t="shared" si="16"/>
        <v>1</v>
      </c>
      <c r="AC34" s="1813">
        <f t="shared" si="17"/>
        <v>1</v>
      </c>
    </row>
    <row r="35" spans="1:29" ht="15">
      <c r="A35" s="472"/>
      <c r="B35" s="422" t="s">
        <v>2523</v>
      </c>
      <c r="C35" s="2619" t="s">
        <v>3043</v>
      </c>
      <c r="D35" s="435">
        <v>100</v>
      </c>
      <c r="E35" s="2620" t="s">
        <v>3043</v>
      </c>
      <c r="F35" s="461">
        <f>SUMIF(107:107,E35,108:108)-SUMIF(107:107,C35,108:108)+100</f>
        <v>100</v>
      </c>
      <c r="G35" s="2619" t="s">
        <v>3043</v>
      </c>
      <c r="H35" s="435">
        <f>SUMIF(107:107,G35,108:108)-SUMIF(107:107,C35,108:108)+100</f>
        <v>100</v>
      </c>
      <c r="I35" s="2620" t="s">
        <v>3043</v>
      </c>
      <c r="J35" s="435">
        <f>SUMIF(107:107,I35,108:108)-SUMIF(107:107,C35,108:108)+100</f>
        <v>100</v>
      </c>
      <c r="K35" s="426">
        <v>1</v>
      </c>
      <c r="L35" s="1143"/>
      <c r="M35" s="1134"/>
      <c r="N35" s="1134"/>
      <c r="O35" s="1134"/>
      <c r="P35" s="3231"/>
      <c r="Q35" s="1812" t="str">
        <f t="shared" si="11"/>
        <v>建筑品质</v>
      </c>
      <c r="R35" s="774" t="s">
        <v>21</v>
      </c>
      <c r="S35" s="775">
        <f t="shared" si="12"/>
        <v>100</v>
      </c>
      <c r="T35" s="774" t="s">
        <v>21</v>
      </c>
      <c r="U35" s="775">
        <f t="shared" si="13"/>
        <v>100</v>
      </c>
      <c r="V35" s="774" t="s">
        <v>21</v>
      </c>
      <c r="W35" s="775">
        <f t="shared" si="14"/>
        <v>100</v>
      </c>
      <c r="X35" s="1815"/>
      <c r="Y35" s="3190"/>
      <c r="Z35" s="1816" t="str">
        <f t="shared" si="18"/>
        <v>建筑品质</v>
      </c>
      <c r="AA35" s="1813">
        <f t="shared" si="15"/>
        <v>1</v>
      </c>
      <c r="AB35" s="1813">
        <f t="shared" si="16"/>
        <v>1</v>
      </c>
      <c r="AC35" s="1813">
        <f t="shared" si="17"/>
        <v>1</v>
      </c>
    </row>
    <row r="36" spans="1:29" ht="15">
      <c r="A36" s="472"/>
      <c r="B36" s="422" t="s">
        <v>2524</v>
      </c>
      <c r="C36" s="2619" t="s">
        <v>3093</v>
      </c>
      <c r="D36" s="435">
        <v>100</v>
      </c>
      <c r="E36" s="2620" t="s">
        <v>3093</v>
      </c>
      <c r="F36" s="461">
        <f>SUMIF(109:109,E36,110:110)-SUMIF(109:109,C36,110:110)+100</f>
        <v>100</v>
      </c>
      <c r="G36" s="2619" t="s">
        <v>3093</v>
      </c>
      <c r="H36" s="435">
        <f>SUMIF(109:109,G36,110:110)-SUMIF(109:109,C36,110:110)+100</f>
        <v>100</v>
      </c>
      <c r="I36" s="2620" t="s">
        <v>3093</v>
      </c>
      <c r="J36" s="435">
        <f>SUMIF(109:109,I36,110:110)-SUMIF(109:109,C36,110:110)+100</f>
        <v>100</v>
      </c>
      <c r="K36" s="426">
        <v>1</v>
      </c>
      <c r="L36" s="1143"/>
      <c r="M36" s="1134"/>
      <c r="N36" s="1134"/>
      <c r="O36" s="1134"/>
      <c r="P36" s="3231"/>
      <c r="Q36" s="1812" t="str">
        <f t="shared" si="11"/>
        <v>公共部分装修</v>
      </c>
      <c r="R36" s="774" t="s">
        <v>21</v>
      </c>
      <c r="S36" s="775">
        <f t="shared" si="12"/>
        <v>100</v>
      </c>
      <c r="T36" s="774" t="s">
        <v>21</v>
      </c>
      <c r="U36" s="775">
        <f t="shared" si="13"/>
        <v>100</v>
      </c>
      <c r="V36" s="774" t="s">
        <v>21</v>
      </c>
      <c r="W36" s="775">
        <f t="shared" si="14"/>
        <v>100</v>
      </c>
      <c r="X36" s="1815"/>
      <c r="Y36" s="3190"/>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31"/>
      <c r="Q37" s="1797" t="str">
        <f t="shared" si="11"/>
        <v>成新度</v>
      </c>
      <c r="R37" s="770" t="s">
        <v>21</v>
      </c>
      <c r="S37" s="771">
        <f t="shared" si="12"/>
        <v>100</v>
      </c>
      <c r="T37" s="770" t="s">
        <v>21</v>
      </c>
      <c r="U37" s="771">
        <f t="shared" si="13"/>
        <v>100</v>
      </c>
      <c r="V37" s="770" t="s">
        <v>21</v>
      </c>
      <c r="W37" s="771">
        <f t="shared" si="14"/>
        <v>100</v>
      </c>
      <c r="X37" s="772"/>
      <c r="Y37" s="3190"/>
      <c r="Z37" s="55" t="str">
        <f t="shared" si="18"/>
        <v>成新度</v>
      </c>
      <c r="AA37" s="773">
        <f t="shared" si="15"/>
        <v>1</v>
      </c>
      <c r="AB37" s="773">
        <f t="shared" si="16"/>
        <v>1</v>
      </c>
      <c r="AC37" s="773">
        <f t="shared" si="17"/>
        <v>1</v>
      </c>
    </row>
    <row r="38" spans="1:29" ht="15">
      <c r="A38" s="472"/>
      <c r="B38" s="422" t="s">
        <v>2526</v>
      </c>
      <c r="C38" s="2619" t="s">
        <v>3094</v>
      </c>
      <c r="D38" s="435">
        <v>100</v>
      </c>
      <c r="E38" s="2620" t="s">
        <v>3094</v>
      </c>
      <c r="F38" s="461">
        <f>SUMIF(114:114,E38,115:115)-SUMIF(114:114,C38,115:115)+100</f>
        <v>100</v>
      </c>
      <c r="G38" s="2619" t="s">
        <v>3094</v>
      </c>
      <c r="H38" s="435">
        <f>SUMIF(114:114,G38,115:115)-SUMIF(114:114,C38,115:115)+100</f>
        <v>100</v>
      </c>
      <c r="I38" s="2620" t="s">
        <v>3094</v>
      </c>
      <c r="J38" s="435">
        <f>SUMIF(114:114,I38,115:115)-SUMIF(114:114,C38,115:115)+100</f>
        <v>100</v>
      </c>
      <c r="K38" s="426">
        <v>1</v>
      </c>
      <c r="L38" s="1143"/>
      <c r="M38" s="1134"/>
      <c r="N38" s="1134"/>
      <c r="O38" s="1134"/>
      <c r="P38" s="3231" t="s">
        <v>2520</v>
      </c>
      <c r="Q38" s="1812" t="str">
        <f t="shared" si="11"/>
        <v>物业管理</v>
      </c>
      <c r="R38" s="774" t="s">
        <v>21</v>
      </c>
      <c r="S38" s="775">
        <f t="shared" si="12"/>
        <v>100</v>
      </c>
      <c r="T38" s="774" t="s">
        <v>21</v>
      </c>
      <c r="U38" s="775">
        <f t="shared" si="13"/>
        <v>100</v>
      </c>
      <c r="V38" s="774" t="s">
        <v>21</v>
      </c>
      <c r="W38" s="775">
        <f t="shared" si="14"/>
        <v>100</v>
      </c>
      <c r="X38" s="1815"/>
      <c r="Y38" s="3190" t="s">
        <v>2520</v>
      </c>
      <c r="Z38" s="1816" t="str">
        <f t="shared" si="18"/>
        <v>物业管理</v>
      </c>
      <c r="AA38" s="1813">
        <f t="shared" si="15"/>
        <v>1</v>
      </c>
      <c r="AB38" s="1813">
        <f t="shared" si="16"/>
        <v>1</v>
      </c>
      <c r="AC38" s="1813">
        <f t="shared" si="17"/>
        <v>1</v>
      </c>
    </row>
    <row r="39" spans="1:29" ht="15">
      <c r="A39" s="472"/>
      <c r="B39" s="422" t="s">
        <v>2527</v>
      </c>
      <c r="C39" s="2619" t="s">
        <v>3059</v>
      </c>
      <c r="D39" s="435">
        <v>100</v>
      </c>
      <c r="E39" s="2620" t="s">
        <v>3059</v>
      </c>
      <c r="F39" s="461">
        <f>SUMIF(116:116,E39,117:117)-SUMIF(116:116,C39,117:117)+100</f>
        <v>100</v>
      </c>
      <c r="G39" s="2619" t="s">
        <v>3059</v>
      </c>
      <c r="H39" s="435">
        <f>SUMIF(116:116,G39,117:117)-SUMIF(116:116,C39,117:117)+100</f>
        <v>100</v>
      </c>
      <c r="I39" s="2620" t="s">
        <v>3059</v>
      </c>
      <c r="J39" s="435">
        <f>SUMIF(116:116,I39,117:117)-SUMIF(116:116,C39,117:117)+100</f>
        <v>100</v>
      </c>
      <c r="K39" s="426">
        <v>1</v>
      </c>
      <c r="L39" s="1143"/>
      <c r="M39" s="1134"/>
      <c r="N39" s="1134"/>
      <c r="O39" s="1134"/>
      <c r="P39" s="3231"/>
      <c r="Q39" s="1812" t="str">
        <f t="shared" si="11"/>
        <v>市政基础设施</v>
      </c>
      <c r="R39" s="774" t="s">
        <v>21</v>
      </c>
      <c r="S39" s="775">
        <f t="shared" si="12"/>
        <v>100</v>
      </c>
      <c r="T39" s="774" t="s">
        <v>21</v>
      </c>
      <c r="U39" s="775">
        <f t="shared" si="13"/>
        <v>100</v>
      </c>
      <c r="V39" s="774" t="s">
        <v>21</v>
      </c>
      <c r="W39" s="775">
        <f t="shared" si="14"/>
        <v>100</v>
      </c>
      <c r="X39" s="1815"/>
      <c r="Y39" s="3190"/>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31"/>
      <c r="Q40" s="1812" t="str">
        <f t="shared" si="11"/>
        <v>房型</v>
      </c>
      <c r="R40" s="774" t="s">
        <v>21</v>
      </c>
      <c r="S40" s="775">
        <f t="shared" si="12"/>
        <v>100</v>
      </c>
      <c r="T40" s="774" t="s">
        <v>21</v>
      </c>
      <c r="U40" s="775">
        <f t="shared" si="13"/>
        <v>100</v>
      </c>
      <c r="V40" s="774" t="s">
        <v>21</v>
      </c>
      <c r="W40" s="775">
        <f t="shared" si="14"/>
        <v>100</v>
      </c>
      <c r="X40" s="1815"/>
      <c r="Y40" s="3190"/>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3">
        <f t="shared" si="15"/>
        <v>1</v>
      </c>
      <c r="AB41" s="1813">
        <f t="shared" si="16"/>
        <v>1</v>
      </c>
      <c r="AC41" s="1813">
        <f t="shared" si="17"/>
        <v>1</v>
      </c>
    </row>
    <row r="42" spans="1:29" ht="15">
      <c r="A42" s="472"/>
      <c r="B42" s="422" t="s">
        <v>2530</v>
      </c>
      <c r="C42" s="2619" t="s">
        <v>3095</v>
      </c>
      <c r="D42" s="435">
        <v>100</v>
      </c>
      <c r="E42" s="2620" t="s">
        <v>3095</v>
      </c>
      <c r="F42" s="461">
        <f>SUMIF(122:122,E42,123:123)-SUMIF(122:122,C42,123:123)+100</f>
        <v>100</v>
      </c>
      <c r="G42" s="2619" t="s">
        <v>3095</v>
      </c>
      <c r="H42" s="435">
        <f>SUMIF(122:122,G42,123:123)-SUMIF(122:122,C42,123:123)+100</f>
        <v>100</v>
      </c>
      <c r="I42" s="2620" t="s">
        <v>3095</v>
      </c>
      <c r="J42" s="435">
        <f>SUMIF(122:122,I42,123:123)-SUMIF(122:122,C42,123:123)+100</f>
        <v>100</v>
      </c>
      <c r="K42" s="426">
        <v>6</v>
      </c>
      <c r="L42" s="1143"/>
      <c r="M42" s="1134"/>
      <c r="N42" s="1134"/>
      <c r="O42" s="1134"/>
      <c r="P42" s="3231"/>
      <c r="Q42" s="1812" t="str">
        <f t="shared" si="11"/>
        <v>内部装修</v>
      </c>
      <c r="R42" s="774" t="s">
        <v>21</v>
      </c>
      <c r="S42" s="775">
        <f t="shared" si="12"/>
        <v>100</v>
      </c>
      <c r="T42" s="774" t="s">
        <v>21</v>
      </c>
      <c r="U42" s="775">
        <f t="shared" si="13"/>
        <v>100</v>
      </c>
      <c r="V42" s="774" t="s">
        <v>21</v>
      </c>
      <c r="W42" s="775">
        <f t="shared" si="14"/>
        <v>100</v>
      </c>
      <c r="X42" s="1815"/>
      <c r="Y42" s="3190"/>
      <c r="Z42" s="1816" t="str">
        <f t="shared" si="18"/>
        <v>内部装修</v>
      </c>
      <c r="AA42" s="1813">
        <f t="shared" si="15"/>
        <v>1</v>
      </c>
      <c r="AB42" s="1813">
        <f t="shared" si="16"/>
        <v>1</v>
      </c>
      <c r="AC42" s="1813">
        <f t="shared" si="17"/>
        <v>1</v>
      </c>
    </row>
    <row r="43" spans="1:29" ht="15">
      <c r="A43" s="472"/>
      <c r="B43" s="422" t="s">
        <v>2531</v>
      </c>
      <c r="C43" s="2619" t="s">
        <v>3064</v>
      </c>
      <c r="D43" s="435">
        <v>100</v>
      </c>
      <c r="E43" s="2620" t="s">
        <v>3064</v>
      </c>
      <c r="F43" s="461">
        <f>SUMIF(124:124,E43,125:125)-SUMIF(124:124,C43,125:125)+100</f>
        <v>100</v>
      </c>
      <c r="G43" s="2619" t="s">
        <v>3064</v>
      </c>
      <c r="H43" s="435">
        <f>SUMIF(124:124,G43,125:125)-SUMIF(124:124,C43,125:125)+100</f>
        <v>100</v>
      </c>
      <c r="I43" s="2620" t="s">
        <v>3064</v>
      </c>
      <c r="J43" s="435">
        <f>SUMIF(124:124,I43,125:125)-SUMIF(124:124,C43,125:125)+100</f>
        <v>100</v>
      </c>
      <c r="K43" s="426">
        <v>1</v>
      </c>
      <c r="L43" s="1143"/>
      <c r="M43" s="1134"/>
      <c r="N43" s="1134"/>
      <c r="O43" s="1134"/>
      <c r="P43" s="3231"/>
      <c r="Q43" s="1812" t="str">
        <f t="shared" si="11"/>
        <v>内部装修维护情况</v>
      </c>
      <c r="R43" s="774" t="s">
        <v>21</v>
      </c>
      <c r="S43" s="775">
        <f t="shared" si="12"/>
        <v>100</v>
      </c>
      <c r="T43" s="774" t="s">
        <v>21</v>
      </c>
      <c r="U43" s="775">
        <f t="shared" si="13"/>
        <v>100</v>
      </c>
      <c r="V43" s="774" t="s">
        <v>21</v>
      </c>
      <c r="W43" s="775">
        <f t="shared" si="14"/>
        <v>100</v>
      </c>
      <c r="X43" s="1815"/>
      <c r="Y43" s="3190"/>
      <c r="Z43" s="1816" t="str">
        <f t="shared" si="18"/>
        <v>内部装修维护情况</v>
      </c>
      <c r="AA43" s="1813">
        <f t="shared" si="15"/>
        <v>1</v>
      </c>
      <c r="AB43" s="1813">
        <f t="shared" si="16"/>
        <v>1</v>
      </c>
      <c r="AC43" s="1813">
        <f t="shared" si="17"/>
        <v>1</v>
      </c>
    </row>
    <row r="44" spans="1:29" s="117" customFormat="1" ht="15">
      <c r="A44" s="473"/>
      <c r="B44" s="2956" t="s">
        <v>3119</v>
      </c>
      <c r="C44" s="2957" t="s">
        <v>3117</v>
      </c>
      <c r="D44" s="136">
        <v>100</v>
      </c>
      <c r="E44" s="469" t="s">
        <v>3123</v>
      </c>
      <c r="F44" s="425">
        <f>SUMIF(126:126,E44,127:127)-SUMIF(126:126,C44,127:127)+100</f>
        <v>115</v>
      </c>
      <c r="G44" s="469" t="s">
        <v>3123</v>
      </c>
      <c r="H44" s="136">
        <f>SUMIF(126:126,G44,127:127)-SUMIF(126:126,C44,127:127)+100</f>
        <v>115</v>
      </c>
      <c r="I44" s="469" t="s">
        <v>3123</v>
      </c>
      <c r="J44" s="136">
        <f>SUMIF(126:126,I44,127:127)-SUMIF(126:126,C44,127:127)+100</f>
        <v>115</v>
      </c>
      <c r="K44" s="2607"/>
      <c r="L44" s="1135"/>
      <c r="M44" s="1136"/>
      <c r="N44" s="1136"/>
      <c r="O44" s="1136"/>
      <c r="P44" s="3231"/>
      <c r="Q44" s="1797" t="str">
        <f t="shared" si="11"/>
        <v>特殊修正</v>
      </c>
      <c r="R44" s="770" t="s">
        <v>21</v>
      </c>
      <c r="S44" s="771">
        <f t="shared" si="12"/>
        <v>115</v>
      </c>
      <c r="T44" s="770" t="s">
        <v>21</v>
      </c>
      <c r="U44" s="771">
        <f t="shared" si="13"/>
        <v>115</v>
      </c>
      <c r="V44" s="770" t="s">
        <v>21</v>
      </c>
      <c r="W44" s="771">
        <f t="shared" si="14"/>
        <v>115</v>
      </c>
      <c r="X44" s="772"/>
      <c r="Y44" s="3190"/>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1"/>
      <c r="Q45" s="1812">
        <f t="shared" si="11"/>
        <v>0</v>
      </c>
      <c r="R45" s="774" t="s">
        <v>21</v>
      </c>
      <c r="S45" s="775">
        <f t="shared" si="12"/>
        <v>100</v>
      </c>
      <c r="T45" s="774" t="s">
        <v>21</v>
      </c>
      <c r="U45" s="775">
        <f t="shared" si="13"/>
        <v>100</v>
      </c>
      <c r="V45" s="774" t="s">
        <v>21</v>
      </c>
      <c r="W45" s="775">
        <f t="shared" si="14"/>
        <v>100</v>
      </c>
      <c r="X45" s="1815"/>
      <c r="Y45" s="3190"/>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2"/>
      <c r="Q46" s="1812">
        <f t="shared" si="11"/>
        <v>0</v>
      </c>
      <c r="R46" s="774" t="s">
        <v>20</v>
      </c>
      <c r="S46" s="775">
        <f t="shared" si="12"/>
        <v>100</v>
      </c>
      <c r="T46" s="774" t="s">
        <v>20</v>
      </c>
      <c r="U46" s="775">
        <f t="shared" si="13"/>
        <v>100</v>
      </c>
      <c r="V46" s="774" t="s">
        <v>20</v>
      </c>
      <c r="W46" s="775">
        <f t="shared" si="14"/>
        <v>100</v>
      </c>
      <c r="X46" s="1815"/>
      <c r="Y46" s="3233"/>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172" t="str">
        <f>A47</f>
        <v>成交单价（元/平方米）</v>
      </c>
      <c r="Q47" s="3172"/>
      <c r="R47" s="3229">
        <f>E47</f>
        <v>9971</v>
      </c>
      <c r="S47" s="3229"/>
      <c r="T47" s="3229">
        <f>G47</f>
        <v>10340</v>
      </c>
      <c r="U47" s="3229"/>
      <c r="V47" s="3229">
        <f>I47</f>
        <v>9832</v>
      </c>
      <c r="W47" s="3229"/>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172" t="str">
        <f>A48</f>
        <v>比较价值（元/平方米）</v>
      </c>
      <c r="Q48" s="3172"/>
      <c r="R48" s="3229">
        <f>IF(F1="售价",ROUND(PRODUCT(R47,AA7:AA46),0),ROUND(PRODUCT(R47,AA7:AA46),1))</f>
        <v>8563</v>
      </c>
      <c r="S48" s="3229"/>
      <c r="T48" s="3229">
        <f>IF(F1="售价",ROUND(PRODUCT(T47,AB7:AB46),0),ROUND(PRODUCT(T47,AB7:AB46),1))</f>
        <v>8880</v>
      </c>
      <c r="U48" s="3229"/>
      <c r="V48" s="3229">
        <f>IF(F1="售价",ROUND(PRODUCT(V47,AC7:AC46),0),ROUND(PRODUCT(V47,AC7:AC46),1))</f>
        <v>8423</v>
      </c>
      <c r="W48" s="3229"/>
      <c r="X48" s="759"/>
      <c r="Y48" s="759"/>
      <c r="Z48" s="759"/>
      <c r="AA48" s="759"/>
      <c r="AB48" s="759"/>
      <c r="AC48" s="759"/>
    </row>
    <row r="49" spans="1:29" ht="15.75" thickBot="1">
      <c r="A49" s="492" t="s">
        <v>3096</v>
      </c>
      <c r="B49" s="493"/>
      <c r="C49" s="1419">
        <f>R49</f>
        <v>8622</v>
      </c>
      <c r="D49" s="1420"/>
      <c r="E49" s="1420"/>
      <c r="F49" s="1420"/>
      <c r="G49" s="1420"/>
      <c r="H49" s="1420"/>
      <c r="I49" s="1420"/>
      <c r="J49" s="1420"/>
      <c r="K49" s="2629"/>
      <c r="L49" s="1146"/>
      <c r="M49" s="1147"/>
      <c r="N49" s="1147"/>
      <c r="O49" s="1147"/>
      <c r="P49" s="3192" t="str">
        <f>A49</f>
        <v>估价对象住宅用房的比较价值（楼面单价，元/平方米）</v>
      </c>
      <c r="Q49" s="3193"/>
      <c r="R49" s="3228">
        <f>IF(F1="售价",ROUND(AVERAGE(R48:V48),0),ROUND(AVERAGE(R48:V48),1))</f>
        <v>8622</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3125</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3098</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3099</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3124</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3100</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3105</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3101</v>
      </c>
      <c r="D109" s="2952" t="s">
        <v>3102</v>
      </c>
      <c r="E109" s="2952" t="s">
        <v>3103</v>
      </c>
      <c r="F109" s="2953" t="s">
        <v>3104</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3094</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3058</v>
      </c>
      <c r="D116" s="554" t="s">
        <v>3059</v>
      </c>
      <c r="E116" s="554" t="s">
        <v>3060</v>
      </c>
      <c r="F116" s="554" t="s">
        <v>3061</v>
      </c>
      <c r="G116" s="554" t="s">
        <v>3062</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3098</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3098</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3106</v>
      </c>
      <c r="D122" s="2952" t="s">
        <v>3107</v>
      </c>
      <c r="E122" s="2952" t="s">
        <v>3108</v>
      </c>
      <c r="F122" s="2953" t="s">
        <v>3109</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3117</v>
      </c>
      <c r="D126" s="2952" t="s">
        <v>3118</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2021.11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8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8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85"/>
      <c r="AC6" s="3156"/>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2515</v>
      </c>
      <c r="Q15" s="1812" t="str">
        <f t="shared" si="6"/>
        <v>商业繁华度</v>
      </c>
      <c r="R15" s="774" t="s">
        <v>17</v>
      </c>
      <c r="S15" s="775">
        <f t="shared" si="0"/>
        <v>100</v>
      </c>
      <c r="T15" s="774" t="s">
        <v>17</v>
      </c>
      <c r="U15" s="775">
        <f t="shared" si="1"/>
        <v>100</v>
      </c>
      <c r="V15" s="774" t="s">
        <v>17</v>
      </c>
      <c r="W15" s="775">
        <f t="shared" si="2"/>
        <v>100</v>
      </c>
      <c r="X15" s="1815"/>
      <c r="Y15" s="3187"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5"/>
      <c r="Q16" s="1812"/>
      <c r="R16" s="774"/>
      <c r="S16" s="775"/>
      <c r="T16" s="774"/>
      <c r="U16" s="775"/>
      <c r="V16" s="774"/>
      <c r="W16" s="775"/>
      <c r="X16" s="1815"/>
      <c r="Y16" s="3188"/>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35"/>
      <c r="Q18" s="1812"/>
      <c r="R18" s="774"/>
      <c r="S18" s="775"/>
      <c r="T18" s="774"/>
      <c r="U18" s="775"/>
      <c r="V18" s="774"/>
      <c r="W18" s="775"/>
      <c r="X18" s="1815"/>
      <c r="Y18" s="3188"/>
      <c r="Z18" s="1816"/>
      <c r="AA18" s="1813">
        <v>1</v>
      </c>
      <c r="AB18" s="1813">
        <v>1</v>
      </c>
      <c r="AC18" s="1813">
        <v>1</v>
      </c>
    </row>
    <row r="19" spans="1:29" ht="42.75">
      <c r="A19" s="428"/>
      <c r="B19" s="451" t="s">
        <v>2608</v>
      </c>
      <c r="C19" s="2613" t="str">
        <f>估价对象房地状况!C7</f>
        <v>估价对象所在区域公共配套设施齐备度较好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35"/>
      <c r="Q20" s="1812"/>
      <c r="R20" s="774"/>
      <c r="S20" s="775"/>
      <c r="T20" s="774"/>
      <c r="U20" s="775"/>
      <c r="V20" s="774"/>
      <c r="W20" s="775"/>
      <c r="X20" s="1815"/>
      <c r="Y20" s="3188"/>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35"/>
      <c r="Q22" s="1812"/>
      <c r="R22" s="774"/>
      <c r="S22" s="775"/>
      <c r="T22" s="774"/>
      <c r="U22" s="775"/>
      <c r="V22" s="774"/>
      <c r="W22" s="775"/>
      <c r="X22" s="1815"/>
      <c r="Y22" s="3188"/>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2" t="str">
        <f>B23</f>
        <v>自然及人文环境</v>
      </c>
      <c r="R23" s="774" t="s">
        <v>17</v>
      </c>
      <c r="S23" s="775">
        <f>F23</f>
        <v>100</v>
      </c>
      <c r="T23" s="774" t="s">
        <v>17</v>
      </c>
      <c r="U23" s="775">
        <f>H23</f>
        <v>100</v>
      </c>
      <c r="V23" s="774" t="s">
        <v>17</v>
      </c>
      <c r="W23" s="775">
        <f>J23</f>
        <v>100</v>
      </c>
      <c r="X23" s="1815"/>
      <c r="Y23" s="318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35"/>
      <c r="Q24" s="1812"/>
      <c r="R24" s="774"/>
      <c r="S24" s="775"/>
      <c r="T24" s="774"/>
      <c r="U24" s="775"/>
      <c r="V24" s="774"/>
      <c r="W24" s="775"/>
      <c r="X24" s="1815"/>
      <c r="Y24" s="3188"/>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2" t="str">
        <f t="shared" ref="Q25:Q46" si="11">B25</f>
        <v>临街状况</v>
      </c>
      <c r="R25" s="774" t="s">
        <v>17</v>
      </c>
      <c r="S25" s="775">
        <f>F25</f>
        <v>100</v>
      </c>
      <c r="T25" s="774" t="s">
        <v>17</v>
      </c>
      <c r="U25" s="775">
        <f>H25</f>
        <v>100</v>
      </c>
      <c r="V25" s="774" t="s">
        <v>17</v>
      </c>
      <c r="W25" s="775">
        <f>J25</f>
        <v>100</v>
      </c>
      <c r="X25" s="1815"/>
      <c r="Y25" s="3188"/>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2" t="str">
        <f t="shared" si="11"/>
        <v>平面位置/可视性</v>
      </c>
      <c r="R26" s="774" t="s">
        <v>17</v>
      </c>
      <c r="S26" s="775">
        <f>F26</f>
        <v>100</v>
      </c>
      <c r="T26" s="774" t="s">
        <v>17</v>
      </c>
      <c r="U26" s="775">
        <f>H26</f>
        <v>100</v>
      </c>
      <c r="V26" s="774" t="s">
        <v>17</v>
      </c>
      <c r="W26" s="775">
        <f>J26</f>
        <v>100</v>
      </c>
      <c r="X26" s="1815"/>
      <c r="Y26" s="3188"/>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5"/>
      <c r="Q27" s="1797" t="str">
        <f t="shared" si="11"/>
        <v>人流量</v>
      </c>
      <c r="R27" s="770" t="s">
        <v>17</v>
      </c>
      <c r="S27" s="771">
        <f>F27</f>
        <v>100</v>
      </c>
      <c r="T27" s="770" t="s">
        <v>17</v>
      </c>
      <c r="U27" s="771">
        <f>H27</f>
        <v>100</v>
      </c>
      <c r="V27" s="770" t="s">
        <v>17</v>
      </c>
      <c r="W27" s="771">
        <f>J27</f>
        <v>100</v>
      </c>
      <c r="X27" s="772"/>
      <c r="Y27" s="3188"/>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2">
        <f t="shared" si="11"/>
        <v>111</v>
      </c>
      <c r="R29" s="774" t="s">
        <v>17</v>
      </c>
      <c r="S29" s="775">
        <f t="shared" si="12"/>
        <v>100</v>
      </c>
      <c r="T29" s="774" t="s">
        <v>17</v>
      </c>
      <c r="U29" s="775">
        <f t="shared" si="13"/>
        <v>100</v>
      </c>
      <c r="V29" s="774" t="s">
        <v>17</v>
      </c>
      <c r="W29" s="775">
        <f t="shared" si="14"/>
        <v>100</v>
      </c>
      <c r="X29" s="1815"/>
      <c r="Y29" s="318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0" t="s">
        <v>2520</v>
      </c>
      <c r="Q32" s="1812" t="str">
        <f t="shared" si="11"/>
        <v>商业类型</v>
      </c>
      <c r="R32" s="774" t="s">
        <v>17</v>
      </c>
      <c r="S32" s="775">
        <f t="shared" si="12"/>
        <v>100</v>
      </c>
      <c r="T32" s="774" t="s">
        <v>17</v>
      </c>
      <c r="U32" s="775">
        <f t="shared" si="13"/>
        <v>100</v>
      </c>
      <c r="V32" s="774" t="s">
        <v>17</v>
      </c>
      <c r="W32" s="775">
        <f t="shared" si="14"/>
        <v>100</v>
      </c>
      <c r="X32" s="1815"/>
      <c r="Y32" s="3190"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1"/>
      <c r="Q34" s="1812" t="str">
        <f t="shared" si="11"/>
        <v>建筑结构</v>
      </c>
      <c r="R34" s="774" t="s">
        <v>17</v>
      </c>
      <c r="S34" s="775">
        <f t="shared" si="12"/>
        <v>100</v>
      </c>
      <c r="T34" s="774" t="s">
        <v>17</v>
      </c>
      <c r="U34" s="775">
        <f t="shared" si="13"/>
        <v>100</v>
      </c>
      <c r="V34" s="774" t="s">
        <v>17</v>
      </c>
      <c r="W34" s="775">
        <f t="shared" si="14"/>
        <v>100</v>
      </c>
      <c r="X34" s="1815"/>
      <c r="Y34" s="3190"/>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1"/>
      <c r="Q35" s="1812" t="str">
        <f t="shared" si="11"/>
        <v>公共部分装修</v>
      </c>
      <c r="R35" s="774" t="s">
        <v>17</v>
      </c>
      <c r="S35" s="775">
        <f t="shared" si="12"/>
        <v>100</v>
      </c>
      <c r="T35" s="774" t="s">
        <v>17</v>
      </c>
      <c r="U35" s="775">
        <f t="shared" si="13"/>
        <v>100</v>
      </c>
      <c r="V35" s="774" t="s">
        <v>17</v>
      </c>
      <c r="W35" s="775">
        <f t="shared" si="14"/>
        <v>100</v>
      </c>
      <c r="X35" s="1815"/>
      <c r="Y35" s="3190"/>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2" t="str">
        <f t="shared" si="11"/>
        <v>成新度</v>
      </c>
      <c r="R36" s="774" t="s">
        <v>17</v>
      </c>
      <c r="S36" s="775" t="e">
        <f t="shared" si="12"/>
        <v>#N/A</v>
      </c>
      <c r="T36" s="774" t="s">
        <v>17</v>
      </c>
      <c r="U36" s="775" t="e">
        <f t="shared" si="13"/>
        <v>#N/A</v>
      </c>
      <c r="V36" s="774" t="s">
        <v>17</v>
      </c>
      <c r="W36" s="775" t="e">
        <f t="shared" si="14"/>
        <v>#N/A</v>
      </c>
      <c r="X36" s="1815"/>
      <c r="Y36" s="3190"/>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1"/>
      <c r="Q37" s="1797"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1" t="s">
        <v>2520</v>
      </c>
      <c r="Q38" s="1812" t="str">
        <f t="shared" si="11"/>
        <v>业态</v>
      </c>
      <c r="R38" s="774" t="s">
        <v>17</v>
      </c>
      <c r="S38" s="775">
        <f t="shared" si="12"/>
        <v>100</v>
      </c>
      <c r="T38" s="774" t="s">
        <v>17</v>
      </c>
      <c r="U38" s="775">
        <f t="shared" si="13"/>
        <v>100</v>
      </c>
      <c r="V38" s="774" t="s">
        <v>17</v>
      </c>
      <c r="W38" s="775">
        <f t="shared" si="14"/>
        <v>100</v>
      </c>
      <c r="X38" s="1815"/>
      <c r="Y38" s="3190"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1"/>
      <c r="Q39" s="1812" t="str">
        <f t="shared" si="11"/>
        <v>层高</v>
      </c>
      <c r="R39" s="774" t="s">
        <v>17</v>
      </c>
      <c r="S39" s="775">
        <f t="shared" si="12"/>
        <v>100</v>
      </c>
      <c r="T39" s="774" t="s">
        <v>17</v>
      </c>
      <c r="U39" s="775">
        <f t="shared" si="13"/>
        <v>100</v>
      </c>
      <c r="V39" s="774" t="s">
        <v>17</v>
      </c>
      <c r="W39" s="775">
        <f t="shared" si="14"/>
        <v>100</v>
      </c>
      <c r="X39" s="1815"/>
      <c r="Y39" s="3190"/>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2" t="str">
        <f t="shared" si="11"/>
        <v>单套建筑面积</v>
      </c>
      <c r="R40" s="774" t="s">
        <v>17</v>
      </c>
      <c r="S40" s="775">
        <f t="shared" si="12"/>
        <v>100</v>
      </c>
      <c r="T40" s="774" t="s">
        <v>17</v>
      </c>
      <c r="U40" s="775">
        <f t="shared" si="13"/>
        <v>100</v>
      </c>
      <c r="V40" s="774" t="s">
        <v>17</v>
      </c>
      <c r="W40" s="775">
        <f t="shared" si="14"/>
        <v>100</v>
      </c>
      <c r="X40" s="1815"/>
      <c r="Y40" s="3190"/>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1"/>
      <c r="Q42" s="1812" t="str">
        <f t="shared" si="11"/>
        <v>内部装修</v>
      </c>
      <c r="R42" s="774" t="s">
        <v>17</v>
      </c>
      <c r="S42" s="775">
        <f t="shared" si="12"/>
        <v>100</v>
      </c>
      <c r="T42" s="774" t="s">
        <v>17</v>
      </c>
      <c r="U42" s="775">
        <f t="shared" si="13"/>
        <v>100</v>
      </c>
      <c r="V42" s="774" t="s">
        <v>17</v>
      </c>
      <c r="W42" s="775">
        <f t="shared" si="14"/>
        <v>100</v>
      </c>
      <c r="X42" s="1815"/>
      <c r="Y42" s="3190"/>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1"/>
      <c r="Q43" s="1812" t="str">
        <f t="shared" si="11"/>
        <v>内部装修维护情况</v>
      </c>
      <c r="R43" s="774" t="s">
        <v>17</v>
      </c>
      <c r="S43" s="775">
        <f t="shared" si="12"/>
        <v>100</v>
      </c>
      <c r="T43" s="774" t="s">
        <v>17</v>
      </c>
      <c r="U43" s="775">
        <f t="shared" si="13"/>
        <v>100</v>
      </c>
      <c r="V43" s="774" t="s">
        <v>17</v>
      </c>
      <c r="W43" s="775">
        <f t="shared" si="14"/>
        <v>100</v>
      </c>
      <c r="X43" s="1815"/>
      <c r="Y43" s="319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7">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2">
        <f t="shared" si="11"/>
        <v>111</v>
      </c>
      <c r="R45" s="774" t="s">
        <v>17</v>
      </c>
      <c r="S45" s="775">
        <f t="shared" si="12"/>
        <v>100</v>
      </c>
      <c r="T45" s="774" t="s">
        <v>17</v>
      </c>
      <c r="U45" s="775">
        <f t="shared" si="13"/>
        <v>100</v>
      </c>
      <c r="V45" s="774" t="s">
        <v>17</v>
      </c>
      <c r="W45" s="775">
        <f t="shared" si="14"/>
        <v>100</v>
      </c>
      <c r="X45" s="1815"/>
      <c r="Y45" s="319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233"/>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172" t="str">
        <f>A47</f>
        <v>成交单价（元/平方米）</v>
      </c>
      <c r="Q47" s="3172"/>
      <c r="R47" s="3185">
        <f>E47</f>
        <v>0</v>
      </c>
      <c r="S47" s="3185"/>
      <c r="T47" s="3185">
        <f>G47</f>
        <v>0</v>
      </c>
      <c r="U47" s="3185"/>
      <c r="V47" s="3185">
        <f>I47</f>
        <v>0</v>
      </c>
      <c r="W47" s="3185"/>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172" t="str">
        <f>A48</f>
        <v>比较价值（元/平方米）</v>
      </c>
      <c r="Q48" s="3172"/>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192" t="str">
        <f>A49</f>
        <v>估价对象XX用房的比较价值（楼面单价，元/平方米）</v>
      </c>
      <c r="Q49" s="3193"/>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2021.11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242" t="s">
        <v>2605</v>
      </c>
      <c r="Q4" s="3243"/>
      <c r="R4" s="3237" t="s">
        <v>2601</v>
      </c>
      <c r="S4" s="3238"/>
      <c r="T4" s="3237" t="s">
        <v>2602</v>
      </c>
      <c r="U4" s="3238"/>
      <c r="V4" s="3246" t="s">
        <v>2603</v>
      </c>
      <c r="W4" s="3246"/>
      <c r="X4" s="2676"/>
      <c r="Y4" s="3237" t="s">
        <v>2605</v>
      </c>
      <c r="Z4" s="3238"/>
      <c r="AA4" s="3236" t="s">
        <v>2601</v>
      </c>
      <c r="AB4" s="3236" t="s">
        <v>2602</v>
      </c>
      <c r="AC4" s="3239" t="s">
        <v>2603</v>
      </c>
    </row>
    <row r="5" spans="1:29" ht="15">
      <c r="A5" s="404"/>
      <c r="B5" s="405"/>
      <c r="C5" s="3169" t="s">
        <v>2497</v>
      </c>
      <c r="D5" s="3166"/>
      <c r="E5" s="3163" t="s">
        <v>2498</v>
      </c>
      <c r="F5" s="3164"/>
      <c r="G5" s="3169" t="s">
        <v>2499</v>
      </c>
      <c r="H5" s="3166"/>
      <c r="I5" s="3169" t="s">
        <v>2500</v>
      </c>
      <c r="J5" s="3166"/>
      <c r="K5" s="610"/>
      <c r="L5" s="1133"/>
      <c r="M5" s="1134"/>
      <c r="N5" s="1134"/>
      <c r="O5" s="1134"/>
      <c r="P5" s="3244"/>
      <c r="Q5" s="3180"/>
      <c r="R5" s="3161"/>
      <c r="S5" s="3162"/>
      <c r="T5" s="3161"/>
      <c r="U5" s="3162"/>
      <c r="V5" s="3185"/>
      <c r="W5" s="3185"/>
      <c r="X5" s="1815"/>
      <c r="Y5" s="3161"/>
      <c r="Z5" s="3162"/>
      <c r="AA5" s="3155"/>
      <c r="AB5" s="3155"/>
      <c r="AC5" s="3240"/>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245"/>
      <c r="Q6" s="3182"/>
      <c r="R6" s="3161"/>
      <c r="S6" s="3162"/>
      <c r="T6" s="3183"/>
      <c r="U6" s="3184"/>
      <c r="V6" s="3185"/>
      <c r="W6" s="3185"/>
      <c r="X6" s="1815"/>
      <c r="Y6" s="3183"/>
      <c r="Z6" s="3184"/>
      <c r="AA6" s="3156"/>
      <c r="AB6" s="3156"/>
      <c r="AC6" s="3241"/>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2507</v>
      </c>
      <c r="Q8" s="3158"/>
      <c r="R8" s="770" t="s">
        <v>17</v>
      </c>
      <c r="S8" s="771">
        <f t="shared" si="0"/>
        <v>0</v>
      </c>
      <c r="T8" s="770" t="s">
        <v>17</v>
      </c>
      <c r="U8" s="771">
        <f t="shared" si="1"/>
        <v>0</v>
      </c>
      <c r="V8" s="770" t="s">
        <v>17</v>
      </c>
      <c r="W8" s="771">
        <f t="shared" si="2"/>
        <v>0</v>
      </c>
      <c r="X8" s="772"/>
      <c r="Y8" s="3157" t="s">
        <v>2507</v>
      </c>
      <c r="Z8" s="3158"/>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2515</v>
      </c>
      <c r="Q15" s="1812" t="str">
        <f t="shared" si="6"/>
        <v>办公集聚程度</v>
      </c>
      <c r="R15" s="774" t="s">
        <v>17</v>
      </c>
      <c r="S15" s="775">
        <f t="shared" si="0"/>
        <v>100</v>
      </c>
      <c r="T15" s="774" t="s">
        <v>17</v>
      </c>
      <c r="U15" s="775">
        <f t="shared" si="1"/>
        <v>100</v>
      </c>
      <c r="V15" s="774" t="s">
        <v>17</v>
      </c>
      <c r="W15" s="775">
        <f t="shared" si="2"/>
        <v>100</v>
      </c>
      <c r="X15" s="1815"/>
      <c r="Y15" s="3187"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35"/>
      <c r="Q16" s="1812"/>
      <c r="R16" s="774"/>
      <c r="S16" s="775"/>
      <c r="T16" s="774"/>
      <c r="U16" s="775"/>
      <c r="V16" s="774"/>
      <c r="W16" s="775"/>
      <c r="X16" s="1815"/>
      <c r="Y16" s="3188"/>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5"/>
      <c r="Q18" s="1812"/>
      <c r="R18" s="774"/>
      <c r="S18" s="775"/>
      <c r="T18" s="774"/>
      <c r="U18" s="775"/>
      <c r="V18" s="774"/>
      <c r="W18" s="775"/>
      <c r="X18" s="1815"/>
      <c r="Y18" s="3188"/>
      <c r="Z18" s="1816"/>
      <c r="AA18" s="1813">
        <v>1</v>
      </c>
      <c r="AB18" s="1813">
        <v>1</v>
      </c>
      <c r="AC18" s="2680">
        <v>1</v>
      </c>
    </row>
    <row r="19" spans="1:29" ht="42.75">
      <c r="A19" s="428"/>
      <c r="B19" s="631" t="s">
        <v>2642</v>
      </c>
      <c r="C19" s="2681" t="str">
        <f>估价对象房地状况!C7</f>
        <v>估价对象所在区域公共配套设施齐备度较好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5"/>
      <c r="Q20" s="1812"/>
      <c r="R20" s="774"/>
      <c r="S20" s="775"/>
      <c r="T20" s="774"/>
      <c r="U20" s="775"/>
      <c r="V20" s="774"/>
      <c r="W20" s="775"/>
      <c r="X20" s="1815"/>
      <c r="Y20" s="3188"/>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5"/>
      <c r="Q22" s="1812"/>
      <c r="R22" s="774"/>
      <c r="S22" s="775"/>
      <c r="T22" s="774"/>
      <c r="U22" s="775"/>
      <c r="V22" s="774"/>
      <c r="W22" s="775"/>
      <c r="X22" s="1815"/>
      <c r="Y22" s="3188"/>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5"/>
      <c r="Q24" s="1812"/>
      <c r="R24" s="774"/>
      <c r="S24" s="775"/>
      <c r="T24" s="774"/>
      <c r="U24" s="775"/>
      <c r="V24" s="774"/>
      <c r="W24" s="775"/>
      <c r="X24" s="1815"/>
      <c r="Y24" s="3188"/>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5"/>
      <c r="Q25" s="1812" t="str">
        <f>B25</f>
        <v>毗邻道路的类型与等级</v>
      </c>
      <c r="R25" s="774" t="s">
        <v>17</v>
      </c>
      <c r="S25" s="775">
        <f>F25</f>
        <v>100</v>
      </c>
      <c r="T25" s="774" t="s">
        <v>17</v>
      </c>
      <c r="U25" s="775">
        <f>H25</f>
        <v>100</v>
      </c>
      <c r="V25" s="774" t="s">
        <v>17</v>
      </c>
      <c r="W25" s="775">
        <f>J25</f>
        <v>100</v>
      </c>
      <c r="X25" s="1815"/>
      <c r="Y25" s="318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35"/>
      <c r="Q26" s="1812"/>
      <c r="R26" s="774"/>
      <c r="S26" s="775"/>
      <c r="T26" s="774"/>
      <c r="U26" s="775"/>
      <c r="V26" s="774"/>
      <c r="W26" s="775"/>
      <c r="X26" s="1815"/>
      <c r="Y26" s="3188"/>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2" t="str">
        <f t="shared" ref="Q27:Q47" si="11">B27</f>
        <v>楼层</v>
      </c>
      <c r="R27" s="774" t="s">
        <v>17</v>
      </c>
      <c r="S27" s="775">
        <f>F27</f>
        <v>100</v>
      </c>
      <c r="T27" s="774" t="s">
        <v>17</v>
      </c>
      <c r="U27" s="775">
        <f>H27</f>
        <v>100</v>
      </c>
      <c r="V27" s="774" t="s">
        <v>17</v>
      </c>
      <c r="W27" s="775">
        <f>J27</f>
        <v>100</v>
      </c>
      <c r="X27" s="1815"/>
      <c r="Y27" s="3188"/>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5"/>
      <c r="Q28" s="1797" t="str">
        <f t="shared" si="11"/>
        <v>朝向</v>
      </c>
      <c r="R28" s="770" t="s">
        <v>17</v>
      </c>
      <c r="S28" s="771">
        <f>F28</f>
        <v>100</v>
      </c>
      <c r="T28" s="770" t="s">
        <v>17</v>
      </c>
      <c r="U28" s="771">
        <f>H28</f>
        <v>100</v>
      </c>
      <c r="V28" s="770" t="s">
        <v>17</v>
      </c>
      <c r="W28" s="771">
        <f>J28</f>
        <v>100</v>
      </c>
      <c r="X28" s="772"/>
      <c r="Y28" s="318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5"/>
      <c r="Q29" s="1812">
        <f t="shared" si="11"/>
        <v>111</v>
      </c>
      <c r="R29" s="774" t="s">
        <v>17</v>
      </c>
      <c r="S29" s="775">
        <f t="shared" ref="S29:S47" si="12">F29</f>
        <v>100</v>
      </c>
      <c r="T29" s="774" t="s">
        <v>17</v>
      </c>
      <c r="U29" s="775">
        <f t="shared" ref="U29:U47" si="13">H29</f>
        <v>100</v>
      </c>
      <c r="V29" s="774" t="s">
        <v>17</v>
      </c>
      <c r="W29" s="775">
        <f t="shared" ref="W29:W47" si="14">J29</f>
        <v>100</v>
      </c>
      <c r="X29" s="1815"/>
      <c r="Y29" s="318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5"/>
      <c r="Q32" s="1812">
        <f t="shared" si="11"/>
        <v>111</v>
      </c>
      <c r="R32" s="774" t="s">
        <v>17</v>
      </c>
      <c r="S32" s="775">
        <f t="shared" si="12"/>
        <v>100</v>
      </c>
      <c r="T32" s="774" t="s">
        <v>17</v>
      </c>
      <c r="U32" s="775">
        <f t="shared" si="13"/>
        <v>100</v>
      </c>
      <c r="V32" s="774" t="s">
        <v>17</v>
      </c>
      <c r="W32" s="775">
        <f t="shared" si="14"/>
        <v>100</v>
      </c>
      <c r="X32" s="1815"/>
      <c r="Y32" s="3188"/>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0" t="s">
        <v>2520</v>
      </c>
      <c r="Q33" s="1812" t="str">
        <f t="shared" si="11"/>
        <v>建筑类型</v>
      </c>
      <c r="R33" s="774" t="s">
        <v>17</v>
      </c>
      <c r="S33" s="775">
        <f t="shared" si="12"/>
        <v>100</v>
      </c>
      <c r="T33" s="774" t="s">
        <v>17</v>
      </c>
      <c r="U33" s="775">
        <f t="shared" si="13"/>
        <v>100</v>
      </c>
      <c r="V33" s="774" t="s">
        <v>17</v>
      </c>
      <c r="W33" s="775">
        <f t="shared" si="14"/>
        <v>100</v>
      </c>
      <c r="X33" s="1815"/>
      <c r="Y33" s="3190"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2" t="str">
        <f t="shared" si="11"/>
        <v>建筑结构</v>
      </c>
      <c r="R35" s="774" t="s">
        <v>17</v>
      </c>
      <c r="S35" s="775">
        <f t="shared" si="12"/>
        <v>100</v>
      </c>
      <c r="T35" s="774" t="s">
        <v>17</v>
      </c>
      <c r="U35" s="775">
        <f t="shared" si="13"/>
        <v>100</v>
      </c>
      <c r="V35" s="774" t="s">
        <v>17</v>
      </c>
      <c r="W35" s="775">
        <f t="shared" si="14"/>
        <v>100</v>
      </c>
      <c r="X35" s="1815"/>
      <c r="Y35" s="3190"/>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2" t="str">
        <f t="shared" si="11"/>
        <v>公共部分装修</v>
      </c>
      <c r="R36" s="774" t="s">
        <v>17</v>
      </c>
      <c r="S36" s="775">
        <f t="shared" si="12"/>
        <v>100</v>
      </c>
      <c r="T36" s="774" t="s">
        <v>17</v>
      </c>
      <c r="U36" s="775">
        <f t="shared" si="13"/>
        <v>100</v>
      </c>
      <c r="V36" s="774" t="s">
        <v>17</v>
      </c>
      <c r="W36" s="775">
        <f t="shared" si="14"/>
        <v>100</v>
      </c>
      <c r="X36" s="1815"/>
      <c r="Y36" s="3190"/>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2" t="str">
        <f t="shared" si="11"/>
        <v>成新度</v>
      </c>
      <c r="R37" s="774" t="s">
        <v>17</v>
      </c>
      <c r="S37" s="775" t="e">
        <f t="shared" si="12"/>
        <v>#N/A</v>
      </c>
      <c r="T37" s="774" t="s">
        <v>17</v>
      </c>
      <c r="U37" s="775" t="e">
        <f t="shared" si="13"/>
        <v>#N/A</v>
      </c>
      <c r="V37" s="774" t="s">
        <v>17</v>
      </c>
      <c r="W37" s="775" t="e">
        <f t="shared" si="14"/>
        <v>#N/A</v>
      </c>
      <c r="X37" s="1815"/>
      <c r="Y37" s="3190"/>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7"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2520</v>
      </c>
      <c r="Q39" s="1812" t="str">
        <f t="shared" si="11"/>
        <v>物业管理</v>
      </c>
      <c r="R39" s="774" t="s">
        <v>17</v>
      </c>
      <c r="S39" s="775">
        <f t="shared" si="12"/>
        <v>100</v>
      </c>
      <c r="T39" s="774" t="s">
        <v>17</v>
      </c>
      <c r="U39" s="775">
        <f t="shared" si="13"/>
        <v>100</v>
      </c>
      <c r="V39" s="774" t="s">
        <v>17</v>
      </c>
      <c r="W39" s="775">
        <f t="shared" si="14"/>
        <v>100</v>
      </c>
      <c r="X39" s="1815"/>
      <c r="Y39" s="3190"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2" t="str">
        <f t="shared" si="11"/>
        <v>市政基础设施</v>
      </c>
      <c r="R40" s="774" t="s">
        <v>17</v>
      </c>
      <c r="S40" s="775">
        <f t="shared" si="12"/>
        <v>100</v>
      </c>
      <c r="T40" s="774" t="s">
        <v>17</v>
      </c>
      <c r="U40" s="775">
        <f t="shared" si="13"/>
        <v>100</v>
      </c>
      <c r="V40" s="774" t="s">
        <v>17</v>
      </c>
      <c r="W40" s="775">
        <f t="shared" si="14"/>
        <v>100</v>
      </c>
      <c r="X40" s="1815"/>
      <c r="Y40" s="3190"/>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2" t="str">
        <f t="shared" si="11"/>
        <v>层高</v>
      </c>
      <c r="R41" s="774" t="s">
        <v>17</v>
      </c>
      <c r="S41" s="775">
        <f t="shared" si="12"/>
        <v>100</v>
      </c>
      <c r="T41" s="774" t="s">
        <v>17</v>
      </c>
      <c r="U41" s="775">
        <f t="shared" si="13"/>
        <v>100</v>
      </c>
      <c r="V41" s="774" t="s">
        <v>17</v>
      </c>
      <c r="W41" s="775">
        <f t="shared" si="14"/>
        <v>100</v>
      </c>
      <c r="X41" s="1815"/>
      <c r="Y41" s="3190"/>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2" t="str">
        <f t="shared" si="11"/>
        <v>内部装修</v>
      </c>
      <c r="R43" s="774" t="s">
        <v>17</v>
      </c>
      <c r="S43" s="775">
        <f t="shared" si="12"/>
        <v>100</v>
      </c>
      <c r="T43" s="774" t="s">
        <v>17</v>
      </c>
      <c r="U43" s="775">
        <f t="shared" si="13"/>
        <v>100</v>
      </c>
      <c r="V43" s="774" t="s">
        <v>17</v>
      </c>
      <c r="W43" s="775">
        <f t="shared" si="14"/>
        <v>100</v>
      </c>
      <c r="X43" s="1815"/>
      <c r="Y43" s="3190"/>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1"/>
      <c r="Q44" s="1812" t="str">
        <f t="shared" si="11"/>
        <v>内部装修维护情况</v>
      </c>
      <c r="R44" s="774" t="s">
        <v>17</v>
      </c>
      <c r="S44" s="775">
        <f t="shared" si="12"/>
        <v>100</v>
      </c>
      <c r="T44" s="774" t="s">
        <v>17</v>
      </c>
      <c r="U44" s="775">
        <f t="shared" si="13"/>
        <v>100</v>
      </c>
      <c r="V44" s="774" t="s">
        <v>17</v>
      </c>
      <c r="W44" s="775">
        <f t="shared" si="14"/>
        <v>100</v>
      </c>
      <c r="X44" s="1815"/>
      <c r="Y44" s="319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7">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19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2">
        <f t="shared" si="11"/>
        <v>111</v>
      </c>
      <c r="R47" s="774" t="s">
        <v>17</v>
      </c>
      <c r="S47" s="775">
        <f t="shared" si="12"/>
        <v>100</v>
      </c>
      <c r="T47" s="774" t="s">
        <v>17</v>
      </c>
      <c r="U47" s="775">
        <f t="shared" si="13"/>
        <v>100</v>
      </c>
      <c r="V47" s="774" t="s">
        <v>17</v>
      </c>
      <c r="W47" s="775">
        <f t="shared" si="14"/>
        <v>100</v>
      </c>
      <c r="X47" s="1815"/>
      <c r="Y47" s="3233"/>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196" t="str">
        <f>A48</f>
        <v>成交单价（元/平方米）</v>
      </c>
      <c r="Q48" s="3172"/>
      <c r="R48" s="3229">
        <f>E48</f>
        <v>0</v>
      </c>
      <c r="S48" s="3229"/>
      <c r="T48" s="3229">
        <f>G48</f>
        <v>0</v>
      </c>
      <c r="U48" s="3229"/>
      <c r="V48" s="3229">
        <f>I48</f>
        <v>0</v>
      </c>
      <c r="W48" s="3229"/>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72"/>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兴汝城房地产开发有限公司所有。根据《国土证》，估价对象（分摊）出让国有建设用地使用权面积为544.62平方米，建筑面积为2021.11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兴汝城房地产开发有限公司开发建设的居住项目，该项目尚在开发建设中。根据《国土证》，估价对象（分摊）出让国有建设用地使用权面积为544.62平方米，规划建筑面积为2021.11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2021.11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2"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2"/>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2"/>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2"/>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2515</v>
      </c>
      <c r="Q15" s="1812" t="str">
        <f t="shared" si="6"/>
        <v>产业集聚程度</v>
      </c>
      <c r="R15" s="774" t="s">
        <v>17</v>
      </c>
      <c r="S15" s="775">
        <f t="shared" si="0"/>
        <v>100</v>
      </c>
      <c r="T15" s="774" t="s">
        <v>17</v>
      </c>
      <c r="U15" s="775">
        <f t="shared" si="1"/>
        <v>100</v>
      </c>
      <c r="V15" s="774" t="s">
        <v>17</v>
      </c>
      <c r="W15" s="775">
        <f t="shared" si="2"/>
        <v>100</v>
      </c>
      <c r="X15" s="1815"/>
      <c r="Y15" s="3187"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8"/>
      <c r="Q16" s="1812"/>
      <c r="R16" s="774"/>
      <c r="S16" s="775"/>
      <c r="T16" s="774"/>
      <c r="U16" s="775"/>
      <c r="V16" s="774"/>
      <c r="W16" s="775"/>
      <c r="X16" s="1815"/>
      <c r="Y16" s="3188"/>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8"/>
      <c r="Q18" s="1812"/>
      <c r="R18" s="774"/>
      <c r="S18" s="775"/>
      <c r="T18" s="774"/>
      <c r="U18" s="775"/>
      <c r="V18" s="774"/>
      <c r="W18" s="775"/>
      <c r="X18" s="1815"/>
      <c r="Y18" s="3188"/>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8"/>
      <c r="Q20" s="1812"/>
      <c r="R20" s="774"/>
      <c r="S20" s="775"/>
      <c r="T20" s="774"/>
      <c r="U20" s="775"/>
      <c r="V20" s="774"/>
      <c r="W20" s="775"/>
      <c r="X20" s="1815"/>
      <c r="Y20" s="3188"/>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8"/>
      <c r="Q22" s="1812"/>
      <c r="R22" s="774"/>
      <c r="S22" s="775"/>
      <c r="T22" s="774"/>
      <c r="U22" s="775"/>
      <c r="V22" s="774"/>
      <c r="W22" s="775"/>
      <c r="X22" s="1815"/>
      <c r="Y22" s="3188"/>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8"/>
      <c r="Q24" s="1812"/>
      <c r="R24" s="774"/>
      <c r="S24" s="775"/>
      <c r="T24" s="774"/>
      <c r="U24" s="775"/>
      <c r="V24" s="774"/>
      <c r="W24" s="775"/>
      <c r="X24" s="1815"/>
      <c r="Y24" s="318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2">
        <f>B25</f>
        <v>111</v>
      </c>
      <c r="R25" s="774" t="s">
        <v>17</v>
      </c>
      <c r="S25" s="775">
        <f>F25</f>
        <v>100</v>
      </c>
      <c r="T25" s="774" t="s">
        <v>17</v>
      </c>
      <c r="U25" s="775">
        <f>H25</f>
        <v>100</v>
      </c>
      <c r="V25" s="774" t="s">
        <v>17</v>
      </c>
      <c r="W25" s="775">
        <f>J25</f>
        <v>100</v>
      </c>
      <c r="X25" s="1815"/>
      <c r="Y25" s="318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2">
        <f t="shared" ref="Q26:Q40" si="11">B26</f>
        <v>111</v>
      </c>
      <c r="R26" s="774" t="s">
        <v>17</v>
      </c>
      <c r="S26" s="775">
        <f>F26</f>
        <v>100</v>
      </c>
      <c r="T26" s="774" t="s">
        <v>17</v>
      </c>
      <c r="U26" s="775">
        <f>H26</f>
        <v>100</v>
      </c>
      <c r="V26" s="774" t="s">
        <v>17</v>
      </c>
      <c r="W26" s="775">
        <f>J26</f>
        <v>100</v>
      </c>
      <c r="X26" s="1815"/>
      <c r="Y26" s="318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7">
        <f t="shared" si="11"/>
        <v>111</v>
      </c>
      <c r="R27" s="770" t="s">
        <v>17</v>
      </c>
      <c r="S27" s="771">
        <f>F27</f>
        <v>100</v>
      </c>
      <c r="T27" s="770" t="s">
        <v>17</v>
      </c>
      <c r="U27" s="771">
        <f>H27</f>
        <v>100</v>
      </c>
      <c r="V27" s="770" t="s">
        <v>17</v>
      </c>
      <c r="W27" s="771">
        <f>J27</f>
        <v>100</v>
      </c>
      <c r="X27" s="772"/>
      <c r="Y27" s="318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2">
        <f t="shared" si="11"/>
        <v>111</v>
      </c>
      <c r="R28" s="774" t="s">
        <v>17</v>
      </c>
      <c r="S28" s="775">
        <f t="shared" ref="S28:S40" si="12">F28</f>
        <v>100</v>
      </c>
      <c r="T28" s="774" t="s">
        <v>17</v>
      </c>
      <c r="U28" s="775">
        <f t="shared" ref="U28:U40" si="13">H28</f>
        <v>100</v>
      </c>
      <c r="V28" s="774" t="s">
        <v>17</v>
      </c>
      <c r="W28" s="775">
        <f t="shared" ref="W28:W40" si="14">J28</f>
        <v>100</v>
      </c>
      <c r="X28" s="1815"/>
      <c r="Y28" s="3188"/>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9" t="s">
        <v>2520</v>
      </c>
      <c r="Q29" s="1812" t="str">
        <f t="shared" si="11"/>
        <v>建筑类型</v>
      </c>
      <c r="R29" s="774" t="s">
        <v>17</v>
      </c>
      <c r="S29" s="775">
        <f t="shared" si="12"/>
        <v>100</v>
      </c>
      <c r="T29" s="774" t="s">
        <v>17</v>
      </c>
      <c r="U29" s="775">
        <f t="shared" si="13"/>
        <v>100</v>
      </c>
      <c r="V29" s="774" t="s">
        <v>17</v>
      </c>
      <c r="W29" s="775">
        <f t="shared" si="14"/>
        <v>100</v>
      </c>
      <c r="X29" s="1815"/>
      <c r="Y29" s="3190"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0"/>
      <c r="Q31" s="1812" t="str">
        <f t="shared" si="11"/>
        <v>建筑结构</v>
      </c>
      <c r="R31" s="774" t="s">
        <v>17</v>
      </c>
      <c r="S31" s="775">
        <f t="shared" si="12"/>
        <v>100</v>
      </c>
      <c r="T31" s="774" t="s">
        <v>17</v>
      </c>
      <c r="U31" s="775">
        <f t="shared" si="13"/>
        <v>100</v>
      </c>
      <c r="V31" s="774" t="s">
        <v>17</v>
      </c>
      <c r="W31" s="775">
        <f t="shared" si="14"/>
        <v>100</v>
      </c>
      <c r="X31" s="1815"/>
      <c r="Y31" s="3190"/>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0"/>
      <c r="Q32" s="1812" t="str">
        <f t="shared" si="11"/>
        <v>公共部分装修</v>
      </c>
      <c r="R32" s="774" t="s">
        <v>17</v>
      </c>
      <c r="S32" s="775">
        <f t="shared" si="12"/>
        <v>100</v>
      </c>
      <c r="T32" s="774" t="s">
        <v>17</v>
      </c>
      <c r="U32" s="775">
        <f t="shared" si="13"/>
        <v>100</v>
      </c>
      <c r="V32" s="774" t="s">
        <v>17</v>
      </c>
      <c r="W32" s="775">
        <f t="shared" si="14"/>
        <v>100</v>
      </c>
      <c r="X32" s="1815"/>
      <c r="Y32" s="3190"/>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0"/>
      <c r="Q33" s="1812" t="str">
        <f t="shared" si="11"/>
        <v>成新度</v>
      </c>
      <c r="R33" s="774" t="s">
        <v>17</v>
      </c>
      <c r="S33" s="775" t="e">
        <f t="shared" si="12"/>
        <v>#N/A</v>
      </c>
      <c r="T33" s="774" t="s">
        <v>17</v>
      </c>
      <c r="U33" s="775" t="e">
        <f t="shared" si="13"/>
        <v>#N/A</v>
      </c>
      <c r="V33" s="774" t="s">
        <v>17</v>
      </c>
      <c r="W33" s="775" t="e">
        <f t="shared" si="14"/>
        <v>#N/A</v>
      </c>
      <c r="X33" s="1815"/>
      <c r="Y33" s="3190"/>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0"/>
      <c r="Q34" s="1797"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0" t="s">
        <v>2520</v>
      </c>
      <c r="Q35" s="1812" t="str">
        <f t="shared" si="11"/>
        <v>市政基础设施</v>
      </c>
      <c r="R35" s="774" t="s">
        <v>17</v>
      </c>
      <c r="S35" s="775">
        <f t="shared" si="12"/>
        <v>100</v>
      </c>
      <c r="T35" s="774" t="s">
        <v>17</v>
      </c>
      <c r="U35" s="775">
        <f t="shared" si="13"/>
        <v>100</v>
      </c>
      <c r="V35" s="774" t="s">
        <v>17</v>
      </c>
      <c r="W35" s="775">
        <f t="shared" si="14"/>
        <v>100</v>
      </c>
      <c r="X35" s="1815"/>
      <c r="Y35" s="3190"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0"/>
      <c r="Q36" s="1812" t="str">
        <f t="shared" si="11"/>
        <v>内部装修</v>
      </c>
      <c r="R36" s="774" t="s">
        <v>17</v>
      </c>
      <c r="S36" s="775">
        <f t="shared" si="12"/>
        <v>100</v>
      </c>
      <c r="T36" s="774" t="s">
        <v>17</v>
      </c>
      <c r="U36" s="775">
        <f t="shared" si="13"/>
        <v>100</v>
      </c>
      <c r="V36" s="774" t="s">
        <v>17</v>
      </c>
      <c r="W36" s="775">
        <f t="shared" si="14"/>
        <v>100</v>
      </c>
      <c r="X36" s="1815"/>
      <c r="Y36" s="3190"/>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0"/>
      <c r="Q37" s="1812" t="str">
        <f t="shared" si="11"/>
        <v>内部装修状况</v>
      </c>
      <c r="R37" s="774" t="s">
        <v>17</v>
      </c>
      <c r="S37" s="775">
        <f t="shared" si="12"/>
        <v>100</v>
      </c>
      <c r="T37" s="774" t="s">
        <v>17</v>
      </c>
      <c r="U37" s="775">
        <f t="shared" si="13"/>
        <v>100</v>
      </c>
      <c r="V37" s="774" t="s">
        <v>17</v>
      </c>
      <c r="W37" s="775">
        <f t="shared" si="14"/>
        <v>100</v>
      </c>
      <c r="X37" s="1815"/>
      <c r="Y37" s="319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0"/>
      <c r="Q39" s="1812">
        <f t="shared" si="11"/>
        <v>111</v>
      </c>
      <c r="R39" s="774" t="s">
        <v>17</v>
      </c>
      <c r="S39" s="775">
        <f t="shared" si="12"/>
        <v>100</v>
      </c>
      <c r="T39" s="774" t="s">
        <v>17</v>
      </c>
      <c r="U39" s="775">
        <f t="shared" si="13"/>
        <v>100</v>
      </c>
      <c r="V39" s="774" t="s">
        <v>17</v>
      </c>
      <c r="W39" s="775">
        <f t="shared" si="14"/>
        <v>100</v>
      </c>
      <c r="X39" s="1815"/>
      <c r="Y39" s="319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2">
        <f t="shared" si="11"/>
        <v>111</v>
      </c>
      <c r="R40" s="774" t="s">
        <v>17</v>
      </c>
      <c r="S40" s="775">
        <f t="shared" si="12"/>
        <v>100</v>
      </c>
      <c r="T40" s="774" t="s">
        <v>17</v>
      </c>
      <c r="U40" s="775">
        <f t="shared" si="13"/>
        <v>100</v>
      </c>
      <c r="V40" s="774" t="s">
        <v>17</v>
      </c>
      <c r="W40" s="775">
        <f t="shared" si="14"/>
        <v>100</v>
      </c>
      <c r="X40" s="1815"/>
      <c r="Y40" s="3233"/>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172" t="str">
        <f>A41</f>
        <v>成交单价（元/平方米）</v>
      </c>
      <c r="Q41" s="3172"/>
      <c r="R41" s="3229">
        <f>E41</f>
        <v>0</v>
      </c>
      <c r="S41" s="3229"/>
      <c r="T41" s="3229">
        <f>G41</f>
        <v>0</v>
      </c>
      <c r="U41" s="3229"/>
      <c r="V41" s="3229">
        <f>I41</f>
        <v>0</v>
      </c>
      <c r="W41" s="3229"/>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172" t="str">
        <f>A42</f>
        <v>比较价值（元/平方米）</v>
      </c>
      <c r="Q42" s="3172"/>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192" t="str">
        <f>A43</f>
        <v>估价对象XX用房的比较价值（楼面单价，元/平方米）</v>
      </c>
      <c r="Q43" s="3193"/>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2504</v>
      </c>
      <c r="Q7" s="3186"/>
      <c r="R7" s="770" t="s">
        <v>17</v>
      </c>
      <c r="S7" s="771">
        <f t="shared" ref="S7:S14" si="0">F7</f>
        <v>0</v>
      </c>
      <c r="T7" s="770" t="s">
        <v>17</v>
      </c>
      <c r="U7" s="771">
        <f t="shared" ref="U7:U14" si="1">H7</f>
        <v>0</v>
      </c>
      <c r="V7" s="770" t="s">
        <v>17</v>
      </c>
      <c r="W7" s="771">
        <f t="shared" ref="W7:W14" si="2">J7</f>
        <v>0</v>
      </c>
      <c r="X7" s="772"/>
      <c r="Y7" s="3157" t="s">
        <v>2504</v>
      </c>
      <c r="Z7" s="3158"/>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2" t="s">
        <v>2510</v>
      </c>
      <c r="Q9" s="1797" t="str">
        <f t="shared" ref="Q9:Q14" si="6">B9</f>
        <v>用途</v>
      </c>
      <c r="R9" s="770" t="s">
        <v>17</v>
      </c>
      <c r="S9" s="771">
        <f t="shared" si="0"/>
        <v>100</v>
      </c>
      <c r="T9" s="770" t="s">
        <v>17</v>
      </c>
      <c r="U9" s="771">
        <f t="shared" si="1"/>
        <v>100</v>
      </c>
      <c r="V9" s="770" t="s">
        <v>17</v>
      </c>
      <c r="W9" s="771">
        <f t="shared" si="2"/>
        <v>100</v>
      </c>
      <c r="X9" s="772"/>
      <c r="Y9" s="303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2"/>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2"/>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2515</v>
      </c>
      <c r="Q14" s="1812" t="str">
        <f t="shared" si="6"/>
        <v>交通便捷度</v>
      </c>
      <c r="R14" s="774" t="s">
        <v>17</v>
      </c>
      <c r="S14" s="775">
        <f t="shared" si="0"/>
        <v>100</v>
      </c>
      <c r="T14" s="774" t="s">
        <v>17</v>
      </c>
      <c r="U14" s="775">
        <f t="shared" si="1"/>
        <v>100</v>
      </c>
      <c r="V14" s="774" t="s">
        <v>17</v>
      </c>
      <c r="W14" s="775">
        <f t="shared" si="2"/>
        <v>100</v>
      </c>
      <c r="X14" s="1815"/>
      <c r="Y14" s="3187"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8"/>
      <c r="Q15" s="1812"/>
      <c r="R15" s="774"/>
      <c r="S15" s="775"/>
      <c r="T15" s="774"/>
      <c r="U15" s="775"/>
      <c r="V15" s="774"/>
      <c r="W15" s="775"/>
      <c r="X15" s="1815"/>
      <c r="Y15" s="3188"/>
      <c r="Z15" s="1816"/>
      <c r="AA15" s="1813">
        <v>1</v>
      </c>
      <c r="AB15" s="1813">
        <v>1</v>
      </c>
      <c r="AC15" s="1813">
        <v>1</v>
      </c>
    </row>
    <row r="16" spans="1:29" ht="42.75">
      <c r="A16" s="404"/>
      <c r="B16" s="631" t="s">
        <v>2642</v>
      </c>
      <c r="C16" s="2613" t="str">
        <f>IF(B1="工业",估价对象房地状况!G5,估价对象房地状况!C7)</f>
        <v>估价对象所在区域公共配套设施齐备度较好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8"/>
      <c r="Q17" s="1812"/>
      <c r="R17" s="774"/>
      <c r="S17" s="775"/>
      <c r="T17" s="774"/>
      <c r="U17" s="775"/>
      <c r="V17" s="774"/>
      <c r="W17" s="775"/>
      <c r="X17" s="1815"/>
      <c r="Y17" s="3188"/>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8"/>
      <c r="Q19" s="1812"/>
      <c r="R19" s="774"/>
      <c r="S19" s="775"/>
      <c r="T19" s="774"/>
      <c r="U19" s="775"/>
      <c r="V19" s="774"/>
      <c r="W19" s="775"/>
      <c r="X19" s="1815"/>
      <c r="Y19" s="3188"/>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8"/>
      <c r="Q21" s="1812"/>
      <c r="R21" s="774"/>
      <c r="S21" s="775"/>
      <c r="T21" s="774"/>
      <c r="U21" s="775"/>
      <c r="V21" s="774"/>
      <c r="W21" s="775"/>
      <c r="X21" s="1815"/>
      <c r="Y21" s="3188"/>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2">
        <f t="shared" ref="Q24:Q36"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9"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0"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0"/>
      <c r="Q28" s="1812" t="str">
        <f t="shared" si="11"/>
        <v>公共部分装修</v>
      </c>
      <c r="R28" s="774" t="s">
        <v>17</v>
      </c>
      <c r="S28" s="775">
        <f t="shared" si="12"/>
        <v>100</v>
      </c>
      <c r="T28" s="774" t="s">
        <v>17</v>
      </c>
      <c r="U28" s="775">
        <f t="shared" si="13"/>
        <v>100</v>
      </c>
      <c r="V28" s="774" t="s">
        <v>17</v>
      </c>
      <c r="W28" s="775">
        <f t="shared" si="14"/>
        <v>100</v>
      </c>
      <c r="X28" s="1815"/>
      <c r="Y28" s="3190"/>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0"/>
      <c r="Q29" s="1812" t="str">
        <f t="shared" si="11"/>
        <v>成新率</v>
      </c>
      <c r="R29" s="774" t="s">
        <v>17</v>
      </c>
      <c r="S29" s="775" t="e">
        <f t="shared" si="12"/>
        <v>#N/A</v>
      </c>
      <c r="T29" s="774" t="s">
        <v>17</v>
      </c>
      <c r="U29" s="775" t="e">
        <f t="shared" si="13"/>
        <v>#N/A</v>
      </c>
      <c r="V29" s="774" t="s">
        <v>17</v>
      </c>
      <c r="W29" s="775" t="e">
        <f t="shared" si="14"/>
        <v>#N/A</v>
      </c>
      <c r="X29" s="1815"/>
      <c r="Y29" s="3190"/>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0"/>
      <c r="Q30" s="1812" t="str">
        <f t="shared" si="11"/>
        <v>物业等级</v>
      </c>
      <c r="R30" s="774" t="s">
        <v>17</v>
      </c>
      <c r="S30" s="775">
        <f t="shared" si="12"/>
        <v>100</v>
      </c>
      <c r="T30" s="774" t="s">
        <v>17</v>
      </c>
      <c r="U30" s="775">
        <f t="shared" si="13"/>
        <v>100</v>
      </c>
      <c r="V30" s="774" t="s">
        <v>17</v>
      </c>
      <c r="W30" s="775">
        <f t="shared" si="14"/>
        <v>100</v>
      </c>
      <c r="X30" s="1815"/>
      <c r="Y30" s="3190"/>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0"/>
      <c r="Q31" s="1797"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0" t="s">
        <v>2520</v>
      </c>
      <c r="Q32" s="1812" t="str">
        <f t="shared" si="11"/>
        <v>车位类型</v>
      </c>
      <c r="R32" s="774" t="s">
        <v>17</v>
      </c>
      <c r="S32" s="775">
        <f t="shared" si="12"/>
        <v>100</v>
      </c>
      <c r="T32" s="774" t="s">
        <v>17</v>
      </c>
      <c r="U32" s="775">
        <f t="shared" si="13"/>
        <v>100</v>
      </c>
      <c r="V32" s="774" t="s">
        <v>17</v>
      </c>
      <c r="W32" s="775">
        <f t="shared" si="14"/>
        <v>100</v>
      </c>
      <c r="X32" s="1815"/>
      <c r="Y32" s="3190"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0"/>
      <c r="Q33" s="1812" t="str">
        <f t="shared" si="11"/>
        <v>是否直接入户</v>
      </c>
      <c r="R33" s="774" t="s">
        <v>17</v>
      </c>
      <c r="S33" s="775">
        <f t="shared" si="12"/>
        <v>100</v>
      </c>
      <c r="T33" s="774" t="s">
        <v>17</v>
      </c>
      <c r="U33" s="775">
        <f t="shared" si="13"/>
        <v>100</v>
      </c>
      <c r="V33" s="774" t="s">
        <v>17</v>
      </c>
      <c r="W33" s="775">
        <f t="shared" si="14"/>
        <v>100</v>
      </c>
      <c r="X33" s="1815"/>
      <c r="Y33" s="319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0"/>
      <c r="Q34" s="1812">
        <f t="shared" si="11"/>
        <v>111</v>
      </c>
      <c r="R34" s="774" t="s">
        <v>17</v>
      </c>
      <c r="S34" s="775">
        <f t="shared" si="12"/>
        <v>100</v>
      </c>
      <c r="T34" s="774" t="s">
        <v>17</v>
      </c>
      <c r="U34" s="775">
        <f t="shared" si="13"/>
        <v>100</v>
      </c>
      <c r="V34" s="774" t="s">
        <v>17</v>
      </c>
      <c r="W34" s="775">
        <f t="shared" si="14"/>
        <v>100</v>
      </c>
      <c r="X34" s="1815"/>
      <c r="Y34" s="319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0"/>
      <c r="Q36" s="1812">
        <f t="shared" si="11"/>
        <v>111</v>
      </c>
      <c r="R36" s="774" t="s">
        <v>17</v>
      </c>
      <c r="S36" s="775">
        <f t="shared" si="12"/>
        <v>100</v>
      </c>
      <c r="T36" s="774" t="s">
        <v>17</v>
      </c>
      <c r="U36" s="775">
        <f t="shared" si="13"/>
        <v>100</v>
      </c>
      <c r="V36" s="774" t="s">
        <v>17</v>
      </c>
      <c r="W36" s="775">
        <f t="shared" si="14"/>
        <v>100</v>
      </c>
      <c r="X36" s="1815"/>
      <c r="Y36" s="3190"/>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172" t="str">
        <f>A37</f>
        <v>成交单价</v>
      </c>
      <c r="Q37" s="3172"/>
      <c r="R37" s="3229">
        <f>E37</f>
        <v>0</v>
      </c>
      <c r="S37" s="3229"/>
      <c r="T37" s="3229">
        <f>G37</f>
        <v>0</v>
      </c>
      <c r="U37" s="3229"/>
      <c r="V37" s="3229">
        <f>I37</f>
        <v>0</v>
      </c>
      <c r="W37" s="3229"/>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2" t="str">
        <f>A38</f>
        <v>比较价值（元/平方米）</v>
      </c>
      <c r="Q38" s="3172"/>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192" t="str">
        <f>A39</f>
        <v>估价对象XX用房的比较价值（楼面单价，元/平方米）</v>
      </c>
      <c r="Q39" s="3193"/>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167" t="s">
        <v>2501</v>
      </c>
      <c r="D6" s="3168"/>
      <c r="E6" s="3170" t="s">
        <v>2501</v>
      </c>
      <c r="F6" s="3171"/>
      <c r="G6" s="3167" t="s">
        <v>2501</v>
      </c>
      <c r="H6" s="3168"/>
      <c r="I6" s="3167" t="s">
        <v>2501</v>
      </c>
      <c r="J6" s="3168"/>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7" t="s">
        <v>2504</v>
      </c>
      <c r="Q7" s="3186"/>
      <c r="R7" s="770" t="s">
        <v>17</v>
      </c>
      <c r="S7" s="771">
        <f t="shared" ref="S7:S14" si="0">F7</f>
        <v>0</v>
      </c>
      <c r="T7" s="770" t="s">
        <v>17</v>
      </c>
      <c r="U7" s="771">
        <f t="shared" ref="U7:U14" si="1">H7</f>
        <v>0</v>
      </c>
      <c r="V7" s="770" t="s">
        <v>17</v>
      </c>
      <c r="W7" s="771">
        <f t="shared" ref="W7:W14" si="2">J7</f>
        <v>0</v>
      </c>
      <c r="X7" s="772"/>
      <c r="Y7" s="3157" t="s">
        <v>2504</v>
      </c>
      <c r="Z7" s="3158"/>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2" t="s">
        <v>2510</v>
      </c>
      <c r="Q9" s="1797" t="str">
        <f t="shared" ref="Q9:Q14" si="6">B9</f>
        <v>用途</v>
      </c>
      <c r="R9" s="770" t="s">
        <v>17</v>
      </c>
      <c r="S9" s="771">
        <f t="shared" si="0"/>
        <v>100</v>
      </c>
      <c r="T9" s="770" t="s">
        <v>17</v>
      </c>
      <c r="U9" s="771">
        <f t="shared" si="1"/>
        <v>100</v>
      </c>
      <c r="V9" s="770" t="s">
        <v>17</v>
      </c>
      <c r="W9" s="771">
        <f t="shared" si="2"/>
        <v>100</v>
      </c>
      <c r="X9" s="772"/>
      <c r="Y9" s="303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2"/>
      <c r="Q10" s="1797"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2"/>
      <c r="Q11" s="1797">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2515</v>
      </c>
      <c r="Q14" s="1812" t="str">
        <f t="shared" si="6"/>
        <v>交通便捷度</v>
      </c>
      <c r="R14" s="774" t="s">
        <v>17</v>
      </c>
      <c r="S14" s="775">
        <f t="shared" si="0"/>
        <v>100</v>
      </c>
      <c r="T14" s="774" t="s">
        <v>17</v>
      </c>
      <c r="U14" s="775">
        <f t="shared" si="1"/>
        <v>100</v>
      </c>
      <c r="V14" s="774" t="s">
        <v>17</v>
      </c>
      <c r="W14" s="775">
        <f t="shared" si="2"/>
        <v>100</v>
      </c>
      <c r="X14" s="1815"/>
      <c r="Y14" s="3187"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8"/>
      <c r="Q15" s="1812"/>
      <c r="R15" s="774"/>
      <c r="S15" s="775"/>
      <c r="T15" s="774"/>
      <c r="U15" s="775"/>
      <c r="V15" s="774"/>
      <c r="W15" s="775"/>
      <c r="X15" s="1815"/>
      <c r="Y15" s="3188"/>
      <c r="Z15" s="1816"/>
      <c r="AA15" s="1813">
        <v>1</v>
      </c>
      <c r="AB15" s="1813">
        <v>1</v>
      </c>
      <c r="AC15" s="1813">
        <v>1</v>
      </c>
    </row>
    <row r="16" spans="1:29" ht="42.75">
      <c r="A16" s="428"/>
      <c r="B16" s="451" t="s">
        <v>2642</v>
      </c>
      <c r="C16" s="2613" t="str">
        <f>IF(B1="工业",估价对象房地状况!G5,估价对象房地状况!C7)</f>
        <v>估价对象所在区域公共配套设施齐备度较好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8"/>
      <c r="Q17" s="1812"/>
      <c r="R17" s="774"/>
      <c r="S17" s="775"/>
      <c r="T17" s="774"/>
      <c r="U17" s="775"/>
      <c r="V17" s="774"/>
      <c r="W17" s="775"/>
      <c r="X17" s="1815"/>
      <c r="Y17" s="3188"/>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8"/>
      <c r="Q19" s="1812"/>
      <c r="R19" s="774"/>
      <c r="S19" s="775"/>
      <c r="T19" s="774"/>
      <c r="U19" s="775"/>
      <c r="V19" s="774"/>
      <c r="W19" s="775"/>
      <c r="X19" s="1815"/>
      <c r="Y19" s="3188"/>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8"/>
      <c r="Q21" s="1812"/>
      <c r="R21" s="774"/>
      <c r="S21" s="775"/>
      <c r="T21" s="774"/>
      <c r="U21" s="775"/>
      <c r="V21" s="774"/>
      <c r="W21" s="775"/>
      <c r="X21" s="1815"/>
      <c r="Y21" s="3188"/>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2">
        <f t="shared" ref="Q24:Q34"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9"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0"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0"/>
      <c r="Q28" s="1812" t="str">
        <f t="shared" si="11"/>
        <v>物业等级</v>
      </c>
      <c r="R28" s="774" t="s">
        <v>17</v>
      </c>
      <c r="S28" s="775">
        <f t="shared" si="12"/>
        <v>100</v>
      </c>
      <c r="T28" s="774" t="s">
        <v>17</v>
      </c>
      <c r="U28" s="775">
        <f t="shared" si="13"/>
        <v>100</v>
      </c>
      <c r="V28" s="774" t="s">
        <v>17</v>
      </c>
      <c r="W28" s="775">
        <f t="shared" si="14"/>
        <v>100</v>
      </c>
      <c r="X28" s="1815"/>
      <c r="Y28" s="3190"/>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0"/>
      <c r="Q29" s="1812" t="str">
        <f t="shared" si="11"/>
        <v>有无电梯</v>
      </c>
      <c r="R29" s="774" t="s">
        <v>17</v>
      </c>
      <c r="S29" s="775">
        <f t="shared" si="12"/>
        <v>100</v>
      </c>
      <c r="T29" s="774" t="s">
        <v>17</v>
      </c>
      <c r="U29" s="775">
        <f t="shared" si="13"/>
        <v>100</v>
      </c>
      <c r="V29" s="774" t="s">
        <v>17</v>
      </c>
      <c r="W29" s="775">
        <f t="shared" si="14"/>
        <v>100</v>
      </c>
      <c r="X29" s="1815"/>
      <c r="Y29" s="3190"/>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0"/>
      <c r="Q30" s="1812" t="str">
        <f t="shared" si="11"/>
        <v>建筑面积</v>
      </c>
      <c r="R30" s="774" t="s">
        <v>17</v>
      </c>
      <c r="S30" s="775" t="e">
        <f t="shared" si="12"/>
        <v>#N/A</v>
      </c>
      <c r="T30" s="774" t="s">
        <v>17</v>
      </c>
      <c r="U30" s="775" t="e">
        <f t="shared" si="13"/>
        <v>#N/A</v>
      </c>
      <c r="V30" s="774" t="s">
        <v>17</v>
      </c>
      <c r="W30" s="775" t="e">
        <f t="shared" si="14"/>
        <v>#N/A</v>
      </c>
      <c r="X30" s="1815"/>
      <c r="Y30" s="3190"/>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0"/>
      <c r="Q31" s="1797"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0" t="s">
        <v>2520</v>
      </c>
      <c r="Q32" s="1812">
        <f t="shared" si="11"/>
        <v>111</v>
      </c>
      <c r="R32" s="774" t="s">
        <v>17</v>
      </c>
      <c r="S32" s="775">
        <f t="shared" si="12"/>
        <v>100</v>
      </c>
      <c r="T32" s="774" t="s">
        <v>17</v>
      </c>
      <c r="U32" s="775">
        <f t="shared" si="13"/>
        <v>100</v>
      </c>
      <c r="V32" s="774" t="s">
        <v>17</v>
      </c>
      <c r="W32" s="775">
        <f t="shared" si="14"/>
        <v>100</v>
      </c>
      <c r="X32" s="1815"/>
      <c r="Y32" s="3190"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0"/>
      <c r="Q33" s="1812">
        <f t="shared" si="11"/>
        <v>111</v>
      </c>
      <c r="R33" s="774" t="s">
        <v>17</v>
      </c>
      <c r="S33" s="775">
        <f t="shared" si="12"/>
        <v>100</v>
      </c>
      <c r="T33" s="774" t="s">
        <v>17</v>
      </c>
      <c r="U33" s="775">
        <f t="shared" si="13"/>
        <v>100</v>
      </c>
      <c r="V33" s="774" t="s">
        <v>17</v>
      </c>
      <c r="W33" s="775">
        <f t="shared" si="14"/>
        <v>100</v>
      </c>
      <c r="X33" s="1815"/>
      <c r="Y33" s="319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0"/>
      <c r="Q34" s="1812">
        <f t="shared" si="11"/>
        <v>111</v>
      </c>
      <c r="R34" s="774" t="s">
        <v>17</v>
      </c>
      <c r="S34" s="775">
        <f t="shared" si="12"/>
        <v>100</v>
      </c>
      <c r="T34" s="774" t="s">
        <v>17</v>
      </c>
      <c r="U34" s="775">
        <f t="shared" si="13"/>
        <v>100</v>
      </c>
      <c r="V34" s="774" t="s">
        <v>17</v>
      </c>
      <c r="W34" s="775">
        <f t="shared" si="14"/>
        <v>100</v>
      </c>
      <c r="X34" s="1815"/>
      <c r="Y34" s="3190"/>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172" t="str">
        <f>A35</f>
        <v>成交单价（元/平方米）</v>
      </c>
      <c r="Q35" s="3172"/>
      <c r="R35" s="3229">
        <f>E35</f>
        <v>0</v>
      </c>
      <c r="S35" s="3229"/>
      <c r="T35" s="3229">
        <f>G35</f>
        <v>0</v>
      </c>
      <c r="U35" s="3229"/>
      <c r="V35" s="3229">
        <f>I35</f>
        <v>0</v>
      </c>
      <c r="W35" s="3229"/>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172" t="str">
        <f>A36</f>
        <v>比较价值（元/平方米）</v>
      </c>
      <c r="Q36" s="3172"/>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192" t="str">
        <f>A37</f>
        <v>估价对象XX用房的比较价值（楼面单价，元/平方米）</v>
      </c>
      <c r="Q37" s="3193"/>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3" t="s">
        <v>2600</v>
      </c>
      <c r="D4" s="3174"/>
      <c r="E4" s="3175" t="s">
        <v>2601</v>
      </c>
      <c r="F4" s="3176"/>
      <c r="G4" s="3173" t="s">
        <v>2602</v>
      </c>
      <c r="H4" s="3174"/>
      <c r="I4" s="3173" t="s">
        <v>2603</v>
      </c>
      <c r="J4" s="3174"/>
      <c r="K4" s="610" t="s">
        <v>2604</v>
      </c>
      <c r="L4" s="1133"/>
      <c r="M4" s="1134"/>
      <c r="N4" s="1134"/>
      <c r="O4" s="1134"/>
      <c r="P4" s="3177" t="s">
        <v>2605</v>
      </c>
      <c r="Q4" s="3178"/>
      <c r="R4" s="3159" t="s">
        <v>2601</v>
      </c>
      <c r="S4" s="3160"/>
      <c r="T4" s="3159" t="s">
        <v>2602</v>
      </c>
      <c r="U4" s="3160"/>
      <c r="V4" s="3185" t="s">
        <v>2603</v>
      </c>
      <c r="W4" s="3185"/>
      <c r="X4" s="1815"/>
      <c r="Y4" s="3159" t="s">
        <v>2605</v>
      </c>
      <c r="Z4" s="3160"/>
      <c r="AA4" s="3154" t="s">
        <v>2601</v>
      </c>
      <c r="AB4" s="3155" t="s">
        <v>2602</v>
      </c>
      <c r="AC4" s="3154" t="s">
        <v>2603</v>
      </c>
    </row>
    <row r="5" spans="1:29" ht="15">
      <c r="A5" s="404"/>
      <c r="B5" s="405"/>
      <c r="C5" s="3169" t="s">
        <v>2497</v>
      </c>
      <c r="D5" s="3166"/>
      <c r="E5" s="3163" t="s">
        <v>2498</v>
      </c>
      <c r="F5" s="3164"/>
      <c r="G5" s="3169" t="s">
        <v>2499</v>
      </c>
      <c r="H5" s="3166"/>
      <c r="I5" s="3169" t="s">
        <v>2500</v>
      </c>
      <c r="J5" s="3166"/>
      <c r="K5" s="610"/>
      <c r="L5" s="1133"/>
      <c r="M5" s="1134"/>
      <c r="N5" s="1134"/>
      <c r="O5" s="1134"/>
      <c r="P5" s="3179"/>
      <c r="Q5" s="3180"/>
      <c r="R5" s="3161"/>
      <c r="S5" s="3162"/>
      <c r="T5" s="3161"/>
      <c r="U5" s="3162"/>
      <c r="V5" s="3185"/>
      <c r="W5" s="3185"/>
      <c r="X5" s="1815"/>
      <c r="Y5" s="3161"/>
      <c r="Z5" s="3162"/>
      <c r="AA5" s="3155"/>
      <c r="AB5" s="3155"/>
      <c r="AC5" s="3155"/>
    </row>
    <row r="6" spans="1:29" ht="15.75" thickBot="1">
      <c r="A6" s="406"/>
      <c r="B6" s="407"/>
      <c r="C6" s="3251" t="s">
        <v>2750</v>
      </c>
      <c r="D6" s="3252"/>
      <c r="E6" s="3253" t="s">
        <v>2750</v>
      </c>
      <c r="F6" s="3254"/>
      <c r="G6" s="3251" t="s">
        <v>2750</v>
      </c>
      <c r="H6" s="3252"/>
      <c r="I6" s="3251" t="s">
        <v>2750</v>
      </c>
      <c r="J6" s="3252"/>
      <c r="K6" s="610" t="s">
        <v>2502</v>
      </c>
      <c r="L6" s="1133"/>
      <c r="M6" s="1134"/>
      <c r="N6" s="1134"/>
      <c r="O6" s="1134"/>
      <c r="P6" s="3181"/>
      <c r="Q6" s="3182"/>
      <c r="R6" s="3161"/>
      <c r="S6" s="3162"/>
      <c r="T6" s="3183"/>
      <c r="U6" s="3184"/>
      <c r="V6" s="3185"/>
      <c r="W6" s="3185"/>
      <c r="X6" s="1815"/>
      <c r="Y6" s="3183"/>
      <c r="Z6" s="3184"/>
      <c r="AA6" s="3156"/>
      <c r="AB6" s="3156"/>
      <c r="AC6" s="3156"/>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7" t="s">
        <v>2504</v>
      </c>
      <c r="Q7" s="3186"/>
      <c r="R7" s="770" t="s">
        <v>17</v>
      </c>
      <c r="S7" s="771">
        <f t="shared" ref="S7:S15" si="0">F7</f>
        <v>0</v>
      </c>
      <c r="T7" s="770" t="s">
        <v>17</v>
      </c>
      <c r="U7" s="771">
        <f t="shared" ref="U7:U15" si="1">H7</f>
        <v>0</v>
      </c>
      <c r="V7" s="770" t="s">
        <v>17</v>
      </c>
      <c r="W7" s="771">
        <f t="shared" ref="W7:W15" si="2">J7</f>
        <v>0</v>
      </c>
      <c r="X7" s="772"/>
      <c r="Y7" s="3157" t="s">
        <v>2504</v>
      </c>
      <c r="Z7" s="3158"/>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7" t="s">
        <v>2507</v>
      </c>
      <c r="Q8" s="3158"/>
      <c r="R8" s="770" t="s">
        <v>17</v>
      </c>
      <c r="S8" s="771">
        <f t="shared" si="0"/>
        <v>0</v>
      </c>
      <c r="T8" s="770" t="s">
        <v>17</v>
      </c>
      <c r="U8" s="771">
        <f t="shared" si="1"/>
        <v>0</v>
      </c>
      <c r="V8" s="770" t="s">
        <v>17</v>
      </c>
      <c r="W8" s="771">
        <f t="shared" si="2"/>
        <v>0</v>
      </c>
      <c r="X8" s="772"/>
      <c r="Y8" s="3157" t="s">
        <v>2507</v>
      </c>
      <c r="Z8" s="3158"/>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2" t="s">
        <v>2510</v>
      </c>
      <c r="Q9" s="1797" t="str">
        <f t="shared" ref="Q9:Q15" si="6">B9</f>
        <v>用途</v>
      </c>
      <c r="R9" s="770" t="s">
        <v>17</v>
      </c>
      <c r="S9" s="771">
        <f t="shared" si="0"/>
        <v>100</v>
      </c>
      <c r="T9" s="770" t="s">
        <v>17</v>
      </c>
      <c r="U9" s="771">
        <f t="shared" si="1"/>
        <v>100</v>
      </c>
      <c r="V9" s="770" t="s">
        <v>17</v>
      </c>
      <c r="W9" s="771">
        <f t="shared" si="2"/>
        <v>100</v>
      </c>
      <c r="X9" s="772"/>
      <c r="Y9" s="303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72"/>
      <c r="Q10" s="1797" t="str">
        <f t="shared" si="6"/>
        <v>土地使用年限（年）</v>
      </c>
      <c r="R10" s="770" t="s">
        <v>17</v>
      </c>
      <c r="S10" s="771">
        <f t="shared" si="0"/>
        <v>113</v>
      </c>
      <c r="T10" s="770" t="s">
        <v>17</v>
      </c>
      <c r="U10" s="771">
        <f t="shared" si="1"/>
        <v>113</v>
      </c>
      <c r="V10" s="770" t="s">
        <v>17</v>
      </c>
      <c r="W10" s="771">
        <f t="shared" si="2"/>
        <v>113</v>
      </c>
      <c r="X10" s="772"/>
      <c r="Y10" s="3034"/>
      <c r="Z10" s="55" t="str">
        <f t="shared" si="7"/>
        <v>土地使用年限（年）</v>
      </c>
      <c r="AA10" s="773">
        <f t="shared" si="3"/>
        <v>0.88495575221238942</v>
      </c>
      <c r="AB10" s="773">
        <f t="shared" si="4"/>
        <v>0.88495575221238942</v>
      </c>
      <c r="AC10" s="773">
        <f t="shared" si="5"/>
        <v>0.88495575221238942</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2"/>
      <c r="Q11" s="1797"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2"/>
      <c r="Q12" s="1797">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2"/>
      <c r="Q13" s="1797">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2"/>
      <c r="Q14" s="1797">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2515</v>
      </c>
      <c r="Q15" s="1812" t="str">
        <f t="shared" si="6"/>
        <v>产业集聚程度</v>
      </c>
      <c r="R15" s="774" t="s">
        <v>17</v>
      </c>
      <c r="S15" s="775">
        <f t="shared" si="0"/>
        <v>100</v>
      </c>
      <c r="T15" s="774" t="s">
        <v>17</v>
      </c>
      <c r="U15" s="775">
        <f t="shared" si="1"/>
        <v>100</v>
      </c>
      <c r="V15" s="774" t="s">
        <v>17</v>
      </c>
      <c r="W15" s="775">
        <f t="shared" si="2"/>
        <v>100</v>
      </c>
      <c r="X15" s="1815"/>
      <c r="Y15" s="3187"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2" t="str">
        <f t="shared" ref="Q19:Q33" si="8">B19</f>
        <v>区域土地利用方向</v>
      </c>
      <c r="R19" s="774" t="s">
        <v>17</v>
      </c>
      <c r="S19" s="775">
        <f>F19</f>
        <v>100</v>
      </c>
      <c r="T19" s="774" t="s">
        <v>17</v>
      </c>
      <c r="U19" s="775">
        <f>H19</f>
        <v>100</v>
      </c>
      <c r="V19" s="774" t="s">
        <v>17</v>
      </c>
      <c r="W19" s="775">
        <f>J19</f>
        <v>100</v>
      </c>
      <c r="X19" s="1815"/>
      <c r="Y19" s="318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8"/>
      <c r="Q20" s="1812"/>
      <c r="R20" s="774"/>
      <c r="S20" s="775"/>
      <c r="T20" s="774"/>
      <c r="U20" s="775"/>
      <c r="V20" s="774"/>
      <c r="W20" s="775"/>
      <c r="X20" s="1815"/>
      <c r="Y20" s="3188"/>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2" t="str">
        <f t="shared" si="8"/>
        <v>环境状况</v>
      </c>
      <c r="R21" s="774" t="s">
        <v>17</v>
      </c>
      <c r="S21" s="775">
        <f>F21</f>
        <v>100</v>
      </c>
      <c r="T21" s="774" t="s">
        <v>17</v>
      </c>
      <c r="U21" s="775">
        <f>H21</f>
        <v>100</v>
      </c>
      <c r="V21" s="774" t="s">
        <v>17</v>
      </c>
      <c r="W21" s="775">
        <f>J21</f>
        <v>100</v>
      </c>
      <c r="X21" s="1815"/>
      <c r="Y21" s="318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7" t="str">
        <f t="shared" si="8"/>
        <v>公共配套设施</v>
      </c>
      <c r="R23" s="770" t="s">
        <v>17</v>
      </c>
      <c r="S23" s="771">
        <f>F23</f>
        <v>100</v>
      </c>
      <c r="T23" s="770" t="s">
        <v>17</v>
      </c>
      <c r="U23" s="771">
        <f>H23</f>
        <v>100</v>
      </c>
      <c r="V23" s="770" t="s">
        <v>17</v>
      </c>
      <c r="W23" s="771">
        <f>J23</f>
        <v>100</v>
      </c>
      <c r="X23" s="772"/>
      <c r="Y23" s="318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8"/>
      <c r="Q24" s="1797"/>
      <c r="R24" s="770"/>
      <c r="S24" s="771"/>
      <c r="T24" s="770"/>
      <c r="U24" s="771"/>
      <c r="V24" s="770"/>
      <c r="W24" s="771"/>
      <c r="X24" s="772"/>
      <c r="Y24" s="3188"/>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7"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8"/>
      <c r="Q26" s="1797"/>
      <c r="R26" s="770"/>
      <c r="S26" s="771"/>
      <c r="T26" s="770"/>
      <c r="U26" s="771"/>
      <c r="V26" s="770"/>
      <c r="W26" s="771"/>
      <c r="X26" s="772"/>
      <c r="Y26" s="3188"/>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8"/>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2" t="str">
        <f t="shared" si="8"/>
        <v>毗邻道路的类型与等级</v>
      </c>
      <c r="R28" s="774" t="s">
        <v>17</v>
      </c>
      <c r="S28" s="775">
        <f t="shared" si="10"/>
        <v>100</v>
      </c>
      <c r="T28" s="774" t="s">
        <v>17</v>
      </c>
      <c r="U28" s="775">
        <f t="shared" si="11"/>
        <v>100</v>
      </c>
      <c r="V28" s="774" t="s">
        <v>17</v>
      </c>
      <c r="W28" s="775">
        <f t="shared" si="12"/>
        <v>100</v>
      </c>
      <c r="X28" s="1815"/>
      <c r="Y28" s="318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8"/>
      <c r="Q29" s="1812"/>
      <c r="R29" s="774"/>
      <c r="S29" s="775"/>
      <c r="T29" s="774"/>
      <c r="U29" s="775"/>
      <c r="V29" s="774"/>
      <c r="W29" s="775"/>
      <c r="X29" s="1815"/>
      <c r="Y29" s="3188"/>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2" t="str">
        <f t="shared" si="8"/>
        <v>土地级别</v>
      </c>
      <c r="R30" s="774" t="s">
        <v>17</v>
      </c>
      <c r="S30" s="775">
        <f t="shared" si="10"/>
        <v>100</v>
      </c>
      <c r="T30" s="774" t="s">
        <v>17</v>
      </c>
      <c r="U30" s="775">
        <f t="shared" si="11"/>
        <v>100</v>
      </c>
      <c r="V30" s="774" t="s">
        <v>17</v>
      </c>
      <c r="W30" s="775">
        <f t="shared" si="12"/>
        <v>100</v>
      </c>
      <c r="X30" s="1815"/>
      <c r="Y30" s="318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2">
        <f t="shared" si="8"/>
        <v>111</v>
      </c>
      <c r="R31" s="774" t="s">
        <v>17</v>
      </c>
      <c r="S31" s="775">
        <f t="shared" si="10"/>
        <v>100</v>
      </c>
      <c r="T31" s="774" t="s">
        <v>17</v>
      </c>
      <c r="U31" s="775">
        <f t="shared" si="11"/>
        <v>100</v>
      </c>
      <c r="V31" s="774" t="s">
        <v>17</v>
      </c>
      <c r="W31" s="775">
        <f t="shared" si="12"/>
        <v>100</v>
      </c>
      <c r="X31" s="1815"/>
      <c r="Y31" s="318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9" t="s">
        <v>2520</v>
      </c>
      <c r="Q32" s="1812">
        <f t="shared" si="8"/>
        <v>111</v>
      </c>
      <c r="R32" s="774" t="s">
        <v>17</v>
      </c>
      <c r="S32" s="775">
        <f t="shared" si="10"/>
        <v>100</v>
      </c>
      <c r="T32" s="774" t="s">
        <v>17</v>
      </c>
      <c r="U32" s="775">
        <f t="shared" si="11"/>
        <v>100</v>
      </c>
      <c r="V32" s="774" t="s">
        <v>17</v>
      </c>
      <c r="W32" s="775">
        <f t="shared" si="12"/>
        <v>100</v>
      </c>
      <c r="X32" s="1815"/>
      <c r="Y32" s="3190"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0"/>
      <c r="Q33" s="1812">
        <f t="shared" si="8"/>
        <v>111</v>
      </c>
      <c r="R33" s="777" t="s">
        <v>17</v>
      </c>
      <c r="S33" s="778">
        <f t="shared" si="10"/>
        <v>100</v>
      </c>
      <c r="T33" s="777" t="s">
        <v>17</v>
      </c>
      <c r="U33" s="778">
        <f t="shared" si="11"/>
        <v>100</v>
      </c>
      <c r="V33" s="777" t="s">
        <v>17</v>
      </c>
      <c r="W33" s="778">
        <f t="shared" si="12"/>
        <v>100</v>
      </c>
      <c r="X33" s="779"/>
      <c r="Y33" s="3190"/>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0"/>
      <c r="Q34" s="1812" t="str">
        <f>B34</f>
        <v>宗地面积</v>
      </c>
      <c r="R34" s="774" t="s">
        <v>17</v>
      </c>
      <c r="S34" s="775" t="e">
        <f t="shared" si="10"/>
        <v>#N/A</v>
      </c>
      <c r="T34" s="774" t="s">
        <v>17</v>
      </c>
      <c r="U34" s="775" t="e">
        <f t="shared" si="11"/>
        <v>#N/A</v>
      </c>
      <c r="V34" s="774" t="s">
        <v>17</v>
      </c>
      <c r="W34" s="775" t="e">
        <f t="shared" si="12"/>
        <v>#N/A</v>
      </c>
      <c r="X34" s="1815"/>
      <c r="Y34" s="3190"/>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0"/>
      <c r="Q35" s="1812" t="str">
        <f t="shared" ref="Q35:Q40" si="14">B35</f>
        <v>宗地形状</v>
      </c>
      <c r="R35" s="774" t="s">
        <v>17</v>
      </c>
      <c r="S35" s="775">
        <f t="shared" si="10"/>
        <v>100</v>
      </c>
      <c r="T35" s="774" t="s">
        <v>17</v>
      </c>
      <c r="U35" s="775">
        <f t="shared" si="11"/>
        <v>100</v>
      </c>
      <c r="V35" s="774" t="s">
        <v>17</v>
      </c>
      <c r="W35" s="775">
        <f t="shared" si="12"/>
        <v>100</v>
      </c>
      <c r="X35" s="1815"/>
      <c r="Y35" s="3190"/>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0"/>
      <c r="Q36" s="1812"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0" t="s">
        <v>2520</v>
      </c>
      <c r="Q37" s="1812" t="str">
        <f t="shared" si="14"/>
        <v>工程地质条件</v>
      </c>
      <c r="R37" s="774" t="s">
        <v>17</v>
      </c>
      <c r="S37" s="775">
        <f t="shared" si="10"/>
        <v>100</v>
      </c>
      <c r="T37" s="774" t="s">
        <v>17</v>
      </c>
      <c r="U37" s="775">
        <f t="shared" si="11"/>
        <v>100</v>
      </c>
      <c r="V37" s="774" t="s">
        <v>17</v>
      </c>
      <c r="W37" s="775">
        <f t="shared" si="12"/>
        <v>100</v>
      </c>
      <c r="X37" s="1815"/>
      <c r="Y37" s="3190"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0"/>
      <c r="Q38" s="1812">
        <f t="shared" si="14"/>
        <v>111</v>
      </c>
      <c r="R38" s="774" t="s">
        <v>17</v>
      </c>
      <c r="S38" s="775">
        <f t="shared" si="10"/>
        <v>100</v>
      </c>
      <c r="T38" s="774" t="s">
        <v>17</v>
      </c>
      <c r="U38" s="775">
        <f t="shared" si="11"/>
        <v>100</v>
      </c>
      <c r="V38" s="774" t="s">
        <v>17</v>
      </c>
      <c r="W38" s="775">
        <f t="shared" si="12"/>
        <v>100</v>
      </c>
      <c r="X38" s="1815"/>
      <c r="Y38" s="319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0"/>
      <c r="Q39" s="1812">
        <f t="shared" si="14"/>
        <v>111</v>
      </c>
      <c r="R39" s="774" t="s">
        <v>17</v>
      </c>
      <c r="S39" s="775">
        <f t="shared" si="10"/>
        <v>100</v>
      </c>
      <c r="T39" s="774" t="s">
        <v>17</v>
      </c>
      <c r="U39" s="775">
        <f t="shared" si="11"/>
        <v>100</v>
      </c>
      <c r="V39" s="774" t="s">
        <v>17</v>
      </c>
      <c r="W39" s="775">
        <f t="shared" si="12"/>
        <v>100</v>
      </c>
      <c r="X39" s="1815"/>
      <c r="Y39" s="319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0"/>
      <c r="Q40" s="1812">
        <f t="shared" si="14"/>
        <v>111</v>
      </c>
      <c r="R40" s="777" t="s">
        <v>17</v>
      </c>
      <c r="S40" s="778">
        <f t="shared" si="10"/>
        <v>100</v>
      </c>
      <c r="T40" s="777" t="s">
        <v>17</v>
      </c>
      <c r="U40" s="778">
        <f t="shared" si="11"/>
        <v>100</v>
      </c>
      <c r="V40" s="777" t="s">
        <v>17</v>
      </c>
      <c r="W40" s="778">
        <f t="shared" si="12"/>
        <v>100</v>
      </c>
      <c r="X40" s="779"/>
      <c r="Y40" s="3190"/>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172" t="str">
        <f>A41</f>
        <v>成交单价</v>
      </c>
      <c r="Q41" s="3172"/>
      <c r="R41" s="3185">
        <f>E41</f>
        <v>0</v>
      </c>
      <c r="S41" s="3185"/>
      <c r="T41" s="3185">
        <f>G41</f>
        <v>0</v>
      </c>
      <c r="U41" s="3185"/>
      <c r="V41" s="3185">
        <f>I41</f>
        <v>0</v>
      </c>
      <c r="W41" s="3185"/>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172" t="str">
        <f>A42</f>
        <v>比较价值（元/平方米）</v>
      </c>
      <c r="Q42" s="3172"/>
      <c r="R42" s="3191" t="e">
        <f>ROUND(PRODUCT(R41,AA7:AA40),0)</f>
        <v>#DIV/0!</v>
      </c>
      <c r="S42" s="3191"/>
      <c r="T42" s="3191" t="e">
        <f>ROUND(PRODUCT(T41,AB7:AB40),0)</f>
        <v>#DIV/0!</v>
      </c>
      <c r="U42" s="3191"/>
      <c r="V42" s="3191" t="e">
        <f>ROUND(PRODUCT(V41,AC7:AC40),0)</f>
        <v>#DIV/0!</v>
      </c>
      <c r="W42" s="3191"/>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192" t="str">
        <f>A43</f>
        <v>估价对象XX用房的比较价值（楼面单价，元/平方米）</v>
      </c>
      <c r="Q43" s="3193"/>
      <c r="R43" s="3194" t="e">
        <f>ROUND(AVERAGE(R42:V42),0)</f>
        <v>#DIV/0!</v>
      </c>
      <c r="S43" s="3194"/>
      <c r="T43" s="3194"/>
      <c r="U43" s="3194"/>
      <c r="V43" s="3194"/>
      <c r="W43" s="319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173" t="s">
        <v>2717</v>
      </c>
      <c r="H50" s="3195"/>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2021.11</v>
      </c>
      <c r="F51" s="691" t="e">
        <f t="shared" ref="F51:F60" si="15">ROUND(B51*E51/10000,0)</f>
        <v>#DIV/0!</v>
      </c>
      <c r="G51" s="3196"/>
      <c r="H51" s="3172"/>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197"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197"/>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197"/>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197"/>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544.62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3.71</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9"/>
      <c r="B4" s="3270"/>
      <c r="C4" s="3270"/>
      <c r="D4" s="3271"/>
      <c r="E4" s="3271"/>
      <c r="F4" s="3271"/>
      <c r="G4" s="3271"/>
      <c r="H4" s="3271"/>
      <c r="I4" s="3271"/>
      <c r="J4" s="3272"/>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5"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3.71</v>
      </c>
      <c r="AA7" s="1608"/>
      <c r="AB7" s="1608"/>
      <c r="AC7" s="1609"/>
      <c r="AD7" s="1610"/>
      <c r="AE7" s="1610"/>
      <c r="AF7" s="1610"/>
      <c r="AG7" s="1610"/>
      <c r="AH7" s="1610"/>
      <c r="AI7" s="1610"/>
      <c r="AJ7" s="1611"/>
    </row>
    <row r="8" spans="1:36" ht="15">
      <c r="A8" s="3256"/>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6" t="s">
        <v>2793</v>
      </c>
      <c r="X8" s="3267"/>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256"/>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8"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8" t="s">
        <v>2817</v>
      </c>
      <c r="X11" s="1616" t="s">
        <v>2818</v>
      </c>
      <c r="Y11" s="1617">
        <f>$G$3</f>
        <v>3.71</v>
      </c>
      <c r="Z11" s="1617">
        <f t="shared" ref="Z11:AJ11" si="3">$G$3</f>
        <v>3.71</v>
      </c>
      <c r="AA11" s="1617">
        <f t="shared" si="3"/>
        <v>3.71</v>
      </c>
      <c r="AB11" s="1617">
        <f t="shared" si="3"/>
        <v>3.71</v>
      </c>
      <c r="AC11" s="1617">
        <f t="shared" si="3"/>
        <v>3.71</v>
      </c>
      <c r="AD11" s="1617">
        <f t="shared" si="3"/>
        <v>3.71</v>
      </c>
      <c r="AE11" s="1617">
        <f t="shared" si="3"/>
        <v>3.71</v>
      </c>
      <c r="AF11" s="1617">
        <f t="shared" si="3"/>
        <v>3.71</v>
      </c>
      <c r="AG11" s="1617">
        <f t="shared" si="3"/>
        <v>3.71</v>
      </c>
      <c r="AH11" s="1617">
        <f t="shared" si="3"/>
        <v>3.71</v>
      </c>
      <c r="AI11" s="1617">
        <f t="shared" si="3"/>
        <v>3.71</v>
      </c>
      <c r="AJ11" s="1617">
        <f t="shared" si="3"/>
        <v>3.71</v>
      </c>
    </row>
    <row r="12" spans="1:36" ht="25.5" thickBot="1">
      <c r="A12" s="3255"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8"/>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3"/>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268"/>
      <c r="X13" s="1618"/>
      <c r="Y13" s="1615">
        <f>(-0.163*(Y12^2)-0.59*Y12+7617)*(10^(-4))/Y11</f>
        <v>0.2053099730458221</v>
      </c>
      <c r="Z13" s="1615">
        <f t="shared" ref="Z13:AJ13" si="5">(-0.163*(Z12^2)-0.59*Z12+7617)*(10^(-4))/Z11</f>
        <v>0.2053099730458221</v>
      </c>
      <c r="AA13" s="1615">
        <f t="shared" si="5"/>
        <v>0.2053099730458221</v>
      </c>
      <c r="AB13" s="1615">
        <f t="shared" si="5"/>
        <v>0.2053099730458221</v>
      </c>
      <c r="AC13" s="1615">
        <f t="shared" si="5"/>
        <v>0.2053099730458221</v>
      </c>
      <c r="AD13" s="1615">
        <f t="shared" si="5"/>
        <v>0.2053099730458221</v>
      </c>
      <c r="AE13" s="1615">
        <f t="shared" si="5"/>
        <v>0.2053099730458221</v>
      </c>
      <c r="AF13" s="1615">
        <f t="shared" si="5"/>
        <v>0.2053099730458221</v>
      </c>
      <c r="AG13" s="1615">
        <f t="shared" si="5"/>
        <v>0.2053099730458221</v>
      </c>
      <c r="AH13" s="1615">
        <f t="shared" si="5"/>
        <v>0.2053099730458221</v>
      </c>
      <c r="AI13" s="1615">
        <f t="shared" si="5"/>
        <v>0.2053099730458221</v>
      </c>
      <c r="AJ13" s="1615">
        <f t="shared" si="5"/>
        <v>0.2053099730458221</v>
      </c>
    </row>
    <row r="14" spans="1:36" ht="15">
      <c r="A14" s="3273"/>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4"/>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3.7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3"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5"/>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城市次干道——新姚南路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估价对象所在区域公共配套设施齐备度较好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城市次干道——新姚南路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估价对象所在区域公共配套设施齐备度较好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估价对象周边居住用地比例较高、居住小区规模和社区发展完善程度较好，周边1公里内有碧水春城等住宅项目，综合评价居住社区成熟度较好</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城市次干道——新姚南路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估价对象所在区域公共配套设施齐备度较好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7" t="s">
        <v>2927</v>
      </c>
      <c r="B90" s="3257"/>
      <c r="C90" s="3257"/>
      <c r="D90" s="3257"/>
      <c r="E90" s="3257"/>
      <c r="F90" s="3257"/>
      <c r="G90" s="3257"/>
      <c r="H90" s="3257"/>
      <c r="I90" s="3257"/>
      <c r="J90" s="3257"/>
      <c r="K90" s="2898"/>
      <c r="L90" s="2898"/>
      <c r="M90" s="2898"/>
      <c r="N90" s="2898"/>
    </row>
    <row r="91" spans="1:37">
      <c r="A91" s="3259" t="s">
        <v>2928</v>
      </c>
      <c r="B91" s="3259" t="s">
        <v>2929</v>
      </c>
      <c r="C91" s="2852" t="s">
        <v>2930</v>
      </c>
      <c r="D91" s="2853"/>
      <c r="E91" s="2853"/>
      <c r="F91" s="2853"/>
      <c r="G91" s="2853"/>
      <c r="H91" s="2853"/>
      <c r="I91" s="2853"/>
      <c r="J91" s="2899"/>
      <c r="K91" s="2900"/>
      <c r="L91" s="2900"/>
      <c r="M91" s="2900"/>
      <c r="N91" s="2900"/>
    </row>
    <row r="92" spans="1:37">
      <c r="A92" s="3259"/>
      <c r="B92" s="3259"/>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260"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1"/>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0" t="s">
        <v>2932</v>
      </c>
      <c r="B101" s="2905" t="s">
        <v>2933</v>
      </c>
      <c r="C101" s="2906">
        <f>$G$3</f>
        <v>3.71</v>
      </c>
      <c r="D101" s="2906">
        <f t="shared" ref="D101:N101" si="31">$G$3</f>
        <v>3.71</v>
      </c>
      <c r="E101" s="2906">
        <f t="shared" si="31"/>
        <v>3.71</v>
      </c>
      <c r="F101" s="2906">
        <f t="shared" si="31"/>
        <v>3.71</v>
      </c>
      <c r="G101" s="2906">
        <f t="shared" si="31"/>
        <v>3.71</v>
      </c>
      <c r="H101" s="2906">
        <f t="shared" si="31"/>
        <v>3.71</v>
      </c>
      <c r="I101" s="2906">
        <f t="shared" si="31"/>
        <v>3.71</v>
      </c>
      <c r="J101" s="2906">
        <f t="shared" si="31"/>
        <v>3.71</v>
      </c>
      <c r="K101" s="2906">
        <f t="shared" si="31"/>
        <v>3.71</v>
      </c>
      <c r="L101" s="2906">
        <f t="shared" si="31"/>
        <v>3.71</v>
      </c>
      <c r="M101" s="2906">
        <f t="shared" si="31"/>
        <v>3.71</v>
      </c>
      <c r="N101" s="2906">
        <f t="shared" si="31"/>
        <v>3.71</v>
      </c>
    </row>
    <row r="102" spans="1:14">
      <c r="A102" s="3261"/>
      <c r="B102" s="2901">
        <v>1</v>
      </c>
      <c r="C102" s="2902">
        <f>1.9362/C101</f>
        <v>0.52188679245283021</v>
      </c>
      <c r="D102" s="2902">
        <f>1.9362/D101</f>
        <v>0.52188679245283021</v>
      </c>
      <c r="E102" s="2902">
        <f>1.8629/E101</f>
        <v>0.50212938005390839</v>
      </c>
      <c r="F102" s="2902">
        <f>1.8629/F101</f>
        <v>0.50212938005390839</v>
      </c>
      <c r="G102" s="2902">
        <f>1.8629/G101</f>
        <v>0.50212938005390839</v>
      </c>
      <c r="H102" s="2902">
        <f>1.8629/H101</f>
        <v>0.50212938005390839</v>
      </c>
      <c r="I102" s="2902">
        <f>1.8629/I101</f>
        <v>0.50212938005390839</v>
      </c>
      <c r="J102" s="2902">
        <f>1.942/J101</f>
        <v>0.52345013477088953</v>
      </c>
      <c r="K102" s="2902">
        <f>1.942/K101</f>
        <v>0.52345013477088953</v>
      </c>
      <c r="L102" s="2902">
        <f>1.942/L101</f>
        <v>0.52345013477088953</v>
      </c>
      <c r="M102" s="2902">
        <f>1.942/M101</f>
        <v>0.52345013477088953</v>
      </c>
      <c r="N102" s="2902">
        <f>1.942/N101</f>
        <v>0.52345013477088953</v>
      </c>
    </row>
    <row r="103" spans="1:14">
      <c r="A103" s="3261"/>
      <c r="B103" s="2901">
        <v>2</v>
      </c>
      <c r="C103" s="2902">
        <f>1.4198/C101</f>
        <v>0.38269541778975741</v>
      </c>
      <c r="D103" s="2902">
        <f>1.4198/D101</f>
        <v>0.38269541778975741</v>
      </c>
      <c r="E103" s="2902">
        <f>1.3372/E101</f>
        <v>0.36043126684636118</v>
      </c>
      <c r="F103" s="2902">
        <f>1.3372/F101</f>
        <v>0.36043126684636118</v>
      </c>
      <c r="G103" s="2902">
        <f>1.3372/G101</f>
        <v>0.36043126684636118</v>
      </c>
      <c r="H103" s="2902">
        <f>1.3372/H101</f>
        <v>0.36043126684636118</v>
      </c>
      <c r="I103" s="2902">
        <f>1.3372/I101</f>
        <v>0.36043126684636118</v>
      </c>
      <c r="J103" s="2902">
        <f>1.2799/J101</f>
        <v>0.34498652291105125</v>
      </c>
      <c r="K103" s="2902">
        <f>1.2799/K101</f>
        <v>0.34498652291105125</v>
      </c>
      <c r="L103" s="2902">
        <f>1.2799/L101</f>
        <v>0.34498652291105125</v>
      </c>
      <c r="M103" s="2902">
        <f>1.2799/M101</f>
        <v>0.34498652291105125</v>
      </c>
      <c r="N103" s="2902">
        <f>1.2799/N101</f>
        <v>0.34498652291105125</v>
      </c>
    </row>
    <row r="104" spans="1:14">
      <c r="A104" s="3261"/>
      <c r="B104" s="2901">
        <v>3</v>
      </c>
      <c r="C104" s="2902">
        <f>1.1594/C101</f>
        <v>0.31250673854447442</v>
      </c>
      <c r="D104" s="2902">
        <f>1.1594/D101</f>
        <v>0.31250673854447442</v>
      </c>
      <c r="E104" s="2902">
        <f>1.0788/E101</f>
        <v>0.29078167115902964</v>
      </c>
      <c r="F104" s="2902">
        <f>1.0788/F101</f>
        <v>0.29078167115902964</v>
      </c>
      <c r="G104" s="2902">
        <f>1.0788/G101</f>
        <v>0.29078167115902964</v>
      </c>
      <c r="H104" s="2902">
        <f>1.0788/H101</f>
        <v>0.29078167115902964</v>
      </c>
      <c r="I104" s="2902">
        <f>1.0788/I101</f>
        <v>0.29078167115902964</v>
      </c>
      <c r="J104" s="2902">
        <f>1.0072/J101</f>
        <v>0.27148247978436663</v>
      </c>
      <c r="K104" s="2902">
        <f>1.0072/K101</f>
        <v>0.27148247978436663</v>
      </c>
      <c r="L104" s="2902">
        <f>1.0072/L101</f>
        <v>0.27148247978436663</v>
      </c>
      <c r="M104" s="2902">
        <f>1.0072/M101</f>
        <v>0.27148247978436663</v>
      </c>
      <c r="N104" s="2902">
        <f>1.0072/N101</f>
        <v>0.27148247978436663</v>
      </c>
    </row>
    <row r="105" spans="1:14">
      <c r="A105" s="3261"/>
      <c r="B105" s="2901">
        <v>4</v>
      </c>
      <c r="C105" s="2902">
        <f>0.9622/C101</f>
        <v>0.25935309973045823</v>
      </c>
      <c r="D105" s="2902">
        <f>0.9622/D101</f>
        <v>0.25935309973045823</v>
      </c>
      <c r="E105" s="2902">
        <f>0.8656/E101</f>
        <v>0.23331536388140162</v>
      </c>
      <c r="F105" s="2902">
        <f>0.8656/F101</f>
        <v>0.23331536388140162</v>
      </c>
      <c r="G105" s="2902">
        <f>0.8656/G101</f>
        <v>0.23331536388140162</v>
      </c>
      <c r="H105" s="2902">
        <f>0.8656/H101</f>
        <v>0.23331536388140162</v>
      </c>
      <c r="I105" s="2902">
        <f>0.8656/I101</f>
        <v>0.23331536388140162</v>
      </c>
      <c r="J105" s="2902">
        <f>0.7525/J101</f>
        <v>0.20283018867924527</v>
      </c>
      <c r="K105" s="2902">
        <f>0.7525/K101</f>
        <v>0.20283018867924527</v>
      </c>
      <c r="L105" s="2902">
        <f>0.7525/L101</f>
        <v>0.20283018867924527</v>
      </c>
      <c r="M105" s="2902">
        <f>0.7525/M101</f>
        <v>0.20283018867924527</v>
      </c>
      <c r="N105" s="2902">
        <f>0.7525/N101</f>
        <v>0.20283018867924527</v>
      </c>
    </row>
    <row r="106" spans="1:14">
      <c r="A106" s="3261"/>
      <c r="B106" s="2901">
        <v>5</v>
      </c>
      <c r="C106" s="2902">
        <f>0.8417/C101</f>
        <v>0.22687331536388142</v>
      </c>
      <c r="D106" s="2902">
        <f>0.8417/D101</f>
        <v>0.22687331536388142</v>
      </c>
      <c r="E106" s="2902">
        <f>0.7371/E101</f>
        <v>0.19867924528301886</v>
      </c>
      <c r="F106" s="2902">
        <f>0.7371/F101</f>
        <v>0.19867924528301886</v>
      </c>
      <c r="G106" s="2902">
        <f>0.7371/G101</f>
        <v>0.19867924528301886</v>
      </c>
      <c r="H106" s="2902">
        <f>0.7371/H101</f>
        <v>0.19867924528301886</v>
      </c>
      <c r="I106" s="2902">
        <f>0.7371/I101</f>
        <v>0.19867924528301886</v>
      </c>
      <c r="J106" s="2902">
        <f>0.5659/J101</f>
        <v>0.15253369272237197</v>
      </c>
      <c r="K106" s="2902">
        <f>0.5659/K101</f>
        <v>0.15253369272237197</v>
      </c>
      <c r="L106" s="2902">
        <f>0.5659/L101</f>
        <v>0.15253369272237197</v>
      </c>
      <c r="M106" s="2902">
        <f>0.5659/M101</f>
        <v>0.15253369272237197</v>
      </c>
      <c r="N106" s="2902">
        <f>0.5659/N101</f>
        <v>0.15253369272237197</v>
      </c>
    </row>
    <row r="107" spans="1:14">
      <c r="A107" s="3261"/>
      <c r="B107" s="2901">
        <v>6</v>
      </c>
      <c r="C107" s="2902">
        <f>0.7608/C101</f>
        <v>0.20506738544474395</v>
      </c>
      <c r="D107" s="2902">
        <f>0.7608/D101</f>
        <v>0.20506738544474395</v>
      </c>
      <c r="E107" s="2902">
        <f>0.6482/E101</f>
        <v>0.17471698113207548</v>
      </c>
      <c r="F107" s="2902">
        <f>0.6482/F101</f>
        <v>0.17471698113207548</v>
      </c>
      <c r="G107" s="2902">
        <f>0.6482/G101</f>
        <v>0.17471698113207548</v>
      </c>
      <c r="H107" s="2902">
        <f>0.6482/H101</f>
        <v>0.17471698113207548</v>
      </c>
      <c r="I107" s="2902">
        <f>0.6482/I101</f>
        <v>0.17471698113207548</v>
      </c>
      <c r="J107" s="2902">
        <f>0.4525/J101</f>
        <v>0.12196765498652291</v>
      </c>
      <c r="K107" s="2902">
        <f>0.4525/K101</f>
        <v>0.12196765498652291</v>
      </c>
      <c r="L107" s="2902">
        <f>0.4525/L101</f>
        <v>0.12196765498652291</v>
      </c>
      <c r="M107" s="2902">
        <f>0.4525/M101</f>
        <v>0.12196765498652291</v>
      </c>
      <c r="N107" s="2902">
        <f>0.4525/N101</f>
        <v>0.12196765498652291</v>
      </c>
    </row>
    <row r="108" spans="1:14">
      <c r="A108" s="3261"/>
      <c r="B108" s="3088"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2"/>
      <c r="B109" s="3089"/>
      <c r="C109" s="2904">
        <f>(-0.163*(C108^2)-0.59*C108+7617)*(10^(-4))/C101</f>
        <v>0.2053099730458221</v>
      </c>
      <c r="D109" s="2904">
        <f>(-0.163*(D108^2)-0.59*D108+7617)*(10^(-4))/D101</f>
        <v>0.2053099730458221</v>
      </c>
      <c r="E109" s="2904">
        <f>(-0.161*(E108^2)-7.509*E108+6533)*(10^(-4))/E101</f>
        <v>0.17609164420485174</v>
      </c>
      <c r="F109" s="2904">
        <f>(-0.161*(F108^2)-7.509*F108+6533)*(10^(-4))/F101</f>
        <v>0.17609164420485174</v>
      </c>
      <c r="G109" s="2904">
        <f>(-0.161*(G108^2)-7.509*G108+6533)*(10^(-4))/G101</f>
        <v>0.17609164420485174</v>
      </c>
      <c r="H109" s="2904">
        <f>(-0.161*(H108^2)-7.509*H108+6533)*(10^(-4))/H101</f>
        <v>0.17609164420485174</v>
      </c>
      <c r="I109" s="2904">
        <f>(-0.161*(I108^2)-7.509*I108+6533)*(10^(-4))/I101</f>
        <v>0.17609164420485174</v>
      </c>
      <c r="J109" s="2904">
        <f>(-0.214*(J108^2)-21.991*J108+4665)*(10^(-4))/J101</f>
        <v>0.1257412398921833</v>
      </c>
      <c r="K109" s="2904">
        <f>(-0.214*(K108^2)-21.991*K108+4665)*(10^(-4))/K101</f>
        <v>0.1257412398921833</v>
      </c>
      <c r="L109" s="2904">
        <f>(-0.214*(L108^2)-21.991*L108+4665)*(10^(-4))/L101</f>
        <v>0.1257412398921833</v>
      </c>
      <c r="M109" s="2904">
        <f>(-0.214*(M108^2)-21.991*M108+4665)*(10^(-4))/M101</f>
        <v>0.1257412398921833</v>
      </c>
      <c r="N109" s="2904">
        <f>(-0.214*(N108^2)-21.991*N108+4665)*(10^(-4))/N101</f>
        <v>0.1257412398921833</v>
      </c>
    </row>
    <row r="110" spans="1:14">
      <c r="A110" s="3258" t="s">
        <v>2935</v>
      </c>
      <c r="B110" s="3258"/>
      <c r="C110" s="3258"/>
      <c r="D110" s="3258"/>
      <c r="E110" s="3258"/>
      <c r="F110" s="3258"/>
      <c r="G110" s="3258"/>
      <c r="H110" s="3258"/>
      <c r="I110" s="3258"/>
      <c r="J110" s="3258"/>
      <c r="K110" s="2907"/>
      <c r="L110" s="2907"/>
      <c r="M110" s="2907"/>
      <c r="N110" s="2907"/>
    </row>
    <row r="112" spans="1:14" ht="13.5" thickBot="1"/>
    <row r="113" spans="1:13" ht="25.5" thickBot="1">
      <c r="A113" s="903" t="s">
        <v>2936</v>
      </c>
      <c r="B113" s="1290">
        <f>G3</f>
        <v>3.71</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0.89859999999999995</v>
      </c>
      <c r="C115" s="910">
        <f>B115</f>
        <v>0.89859999999999995</v>
      </c>
      <c r="D115" s="910">
        <f>ROUND(0.8331-0.0109*B113,4)</f>
        <v>0.79269999999999996</v>
      </c>
      <c r="E115" s="910">
        <f>D115</f>
        <v>0.79269999999999996</v>
      </c>
      <c r="F115" s="910">
        <f>E115</f>
        <v>0.79269999999999996</v>
      </c>
      <c r="G115" s="910">
        <f>F115</f>
        <v>0.79269999999999996</v>
      </c>
      <c r="H115" s="910">
        <f>G115</f>
        <v>0.79269999999999996</v>
      </c>
      <c r="I115" s="910">
        <f>ROUND(0.689-0.0155*B113,4)</f>
        <v>0.63149999999999995</v>
      </c>
      <c r="J115" s="910">
        <f t="shared" ref="J115:M118" si="33">I115</f>
        <v>0.63149999999999995</v>
      </c>
      <c r="K115" s="910">
        <f t="shared" si="33"/>
        <v>0.63149999999999995</v>
      </c>
      <c r="L115" s="910">
        <f t="shared" si="33"/>
        <v>0.63149999999999995</v>
      </c>
      <c r="M115" s="911">
        <f t="shared" si="33"/>
        <v>0.63149999999999995</v>
      </c>
    </row>
    <row r="116" spans="1:13">
      <c r="A116" s="909" t="s">
        <v>2833</v>
      </c>
      <c r="B116" s="910">
        <f>ROUND(0.949-0.012*B113,4)</f>
        <v>0.90449999999999997</v>
      </c>
      <c r="C116" s="910">
        <f>B116</f>
        <v>0.90449999999999997</v>
      </c>
      <c r="D116" s="910">
        <f>ROUND(0.8567-0.013*B113,4)</f>
        <v>0.8085</v>
      </c>
      <c r="E116" s="910">
        <f t="shared" ref="E116:H117" si="34">D116</f>
        <v>0.8085</v>
      </c>
      <c r="F116" s="910">
        <f t="shared" si="34"/>
        <v>0.8085</v>
      </c>
      <c r="G116" s="910">
        <f t="shared" si="34"/>
        <v>0.8085</v>
      </c>
      <c r="H116" s="910">
        <f t="shared" si="34"/>
        <v>0.8085</v>
      </c>
      <c r="I116" s="910">
        <f>ROUND(0.7694-0.014*B113,4)</f>
        <v>0.71750000000000003</v>
      </c>
      <c r="J116" s="910">
        <f t="shared" si="33"/>
        <v>0.71750000000000003</v>
      </c>
      <c r="K116" s="910">
        <f t="shared" si="33"/>
        <v>0.71750000000000003</v>
      </c>
      <c r="L116" s="910">
        <f t="shared" si="33"/>
        <v>0.71750000000000003</v>
      </c>
      <c r="M116" s="911">
        <f t="shared" si="33"/>
        <v>0.71750000000000003</v>
      </c>
    </row>
    <row r="117" spans="1:13">
      <c r="A117" s="909" t="s">
        <v>2834</v>
      </c>
      <c r="B117" s="910">
        <f>ROUND(0.8808-0.006*B113,4)</f>
        <v>0.85850000000000004</v>
      </c>
      <c r="C117" s="910">
        <f>B117</f>
        <v>0.85850000000000004</v>
      </c>
      <c r="D117" s="910">
        <f>ROUND(0.8748-0.008*B113,4)</f>
        <v>0.84509999999999996</v>
      </c>
      <c r="E117" s="910">
        <f t="shared" si="34"/>
        <v>0.84509999999999996</v>
      </c>
      <c r="F117" s="910">
        <f t="shared" si="34"/>
        <v>0.84509999999999996</v>
      </c>
      <c r="G117" s="910">
        <f t="shared" si="34"/>
        <v>0.84509999999999996</v>
      </c>
      <c r="H117" s="910">
        <f t="shared" si="34"/>
        <v>0.84509999999999996</v>
      </c>
      <c r="I117" s="910">
        <f>ROUND(0.7412-0.0095*B113,4)</f>
        <v>0.70599999999999996</v>
      </c>
      <c r="J117" s="910">
        <f t="shared" si="33"/>
        <v>0.70599999999999996</v>
      </c>
      <c r="K117" s="910">
        <f t="shared" si="33"/>
        <v>0.70599999999999996</v>
      </c>
      <c r="L117" s="910">
        <f t="shared" si="33"/>
        <v>0.70599999999999996</v>
      </c>
      <c r="M117" s="911">
        <f t="shared" si="33"/>
        <v>0.70599999999999996</v>
      </c>
    </row>
    <row r="118" spans="1:13" ht="13.5" thickBot="1">
      <c r="A118" s="714" t="s">
        <v>2835</v>
      </c>
      <c r="B118" s="912">
        <f>ROUND(0.7275-0.01*B113,4)</f>
        <v>0.69040000000000001</v>
      </c>
      <c r="C118" s="912">
        <f>B118</f>
        <v>0.69040000000000001</v>
      </c>
      <c r="D118" s="912">
        <f>ROUND(0.7043-0.012*B113,4)</f>
        <v>0.65980000000000005</v>
      </c>
      <c r="E118" s="912">
        <f>D118</f>
        <v>0.65980000000000005</v>
      </c>
      <c r="F118" s="912">
        <f>E118</f>
        <v>0.65980000000000005</v>
      </c>
      <c r="G118" s="912">
        <f>ROUND(0.6299-0.0122*B113,4)</f>
        <v>0.58460000000000001</v>
      </c>
      <c r="H118" s="912">
        <f>G118</f>
        <v>0.58460000000000001</v>
      </c>
      <c r="I118" s="912">
        <f>ROUND(0.5667-0.0136*B113,4)</f>
        <v>0.51619999999999999</v>
      </c>
      <c r="J118" s="912">
        <f t="shared" si="33"/>
        <v>0.51619999999999999</v>
      </c>
      <c r="K118" s="912">
        <f t="shared" si="33"/>
        <v>0.51619999999999999</v>
      </c>
      <c r="L118" s="912">
        <f t="shared" si="33"/>
        <v>0.51619999999999999</v>
      </c>
      <c r="M118" s="913">
        <f t="shared" si="33"/>
        <v>0.51619999999999999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1146</v>
      </c>
      <c r="C1" s="3281"/>
      <c r="D1" s="3281"/>
      <c r="E1" s="3281"/>
      <c r="F1" s="3281"/>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28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28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28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27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27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27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28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27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27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28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27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27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28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27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27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28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27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27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28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27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27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28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27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27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28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27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27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28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27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27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28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278">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279">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279">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280">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278">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279">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279">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280">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287" t="s">
        <v>2961</v>
      </c>
      <c r="D1" s="3288"/>
      <c r="E1" s="3288"/>
      <c r="F1" s="3288"/>
      <c r="G1" s="3288"/>
      <c r="H1" s="3288"/>
      <c r="I1" s="3288"/>
      <c r="J1" s="3288"/>
      <c r="K1" s="3288"/>
      <c r="L1" s="3288"/>
      <c r="M1" s="3288"/>
      <c r="N1" s="3288"/>
      <c r="O1" s="3288"/>
      <c r="P1" s="3288"/>
      <c r="Q1" s="3288"/>
      <c r="R1" s="3288"/>
      <c r="S1" s="3289"/>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069" t="s">
        <v>33</v>
      </c>
      <c r="D22" s="3070"/>
      <c r="E22" s="3070"/>
      <c r="F22" s="3070"/>
      <c r="G22" s="3070"/>
      <c r="H22" s="3070"/>
      <c r="I22" s="3070"/>
      <c r="J22" s="3070"/>
      <c r="K22" s="3070"/>
      <c r="L22" s="3070"/>
      <c r="M22" s="3070"/>
      <c r="N22" s="3070"/>
      <c r="O22" s="3070"/>
      <c r="P22" s="3070"/>
      <c r="Q22" s="3286"/>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1626</v>
      </c>
      <c r="C4" s="2972"/>
      <c r="D4" s="2972"/>
      <c r="E4" s="1963"/>
    </row>
    <row r="5" spans="1:5" ht="16.5" thickTop="1">
      <c r="A5" s="1961"/>
      <c r="B5" s="2970" t="s">
        <v>1618</v>
      </c>
      <c r="C5" s="1964" t="s">
        <v>1619</v>
      </c>
      <c r="D5" s="1043">
        <f ca="1">结果表!H101</f>
        <v>2124</v>
      </c>
      <c r="E5" s="1961"/>
    </row>
    <row r="6" spans="1:5" ht="15.75">
      <c r="A6" s="1961"/>
      <c r="B6" s="2970"/>
      <c r="C6" s="1964" t="s">
        <v>1620</v>
      </c>
      <c r="D6" s="1043" t="str">
        <f ca="1">NUMBERSTRING(INT(D5*10000),2)&amp;"元整"</f>
        <v>贰仟壹佰贰拾肆万元整</v>
      </c>
      <c r="E6" s="1961"/>
    </row>
    <row r="7" spans="1:5" ht="15.75">
      <c r="A7" s="1961"/>
      <c r="B7" s="2975"/>
      <c r="C7" s="1965" t="s">
        <v>1621</v>
      </c>
      <c r="D7" s="1044">
        <f ca="1">结果表!H102</f>
        <v>10509</v>
      </c>
      <c r="E7" s="1961"/>
    </row>
    <row r="8" spans="1:5" ht="15.75">
      <c r="A8" s="1961"/>
      <c r="B8" s="2976" t="str">
        <f>结果表!E103</f>
        <v>2.估价师知悉的法定优先受偿款</v>
      </c>
      <c r="C8" s="1966" t="s">
        <v>1622</v>
      </c>
      <c r="D8" s="1044">
        <f>结果表!H103</f>
        <v>0</v>
      </c>
      <c r="E8" s="1961"/>
    </row>
    <row r="9" spans="1:5" ht="15.75">
      <c r="A9" s="1961"/>
      <c r="B9" s="2978"/>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9" t="str">
        <f>结果表!E107</f>
        <v>3.房地产抵押价值</v>
      </c>
      <c r="C13" s="1969" t="s">
        <v>1619</v>
      </c>
      <c r="D13" s="1046">
        <f ca="1">结果表!H107</f>
        <v>2124</v>
      </c>
      <c r="E13" s="1961"/>
    </row>
    <row r="14" spans="1:5" ht="15.75">
      <c r="A14" s="1961"/>
      <c r="B14" s="2970"/>
      <c r="C14" s="1964" t="s">
        <v>1620</v>
      </c>
      <c r="D14" s="1043" t="str">
        <f ca="1">NUMBERSTRING(INT(D13*10000),2)&amp;"元整"</f>
        <v>贰仟壹佰贰拾肆万元整</v>
      </c>
      <c r="E14" s="1961"/>
    </row>
    <row r="15" spans="1:5" ht="15">
      <c r="A15" s="1961"/>
      <c r="B15" s="2975"/>
      <c r="C15" s="1965" t="s">
        <v>1630</v>
      </c>
      <c r="D15" s="1055">
        <f ca="1">结果表!H108</f>
        <v>10509</v>
      </c>
      <c r="E15" s="1961"/>
    </row>
    <row r="16" spans="1:5" ht="15">
      <c r="A16" s="1961"/>
      <c r="B16" s="2976" t="str">
        <f>结果表!E109</f>
        <v>——</v>
      </c>
      <c r="C16" s="1969" t="s">
        <v>1631</v>
      </c>
      <c r="D16" s="1970" t="str">
        <f>结果表!H109</f>
        <v>——</v>
      </c>
      <c r="E16" s="1961"/>
    </row>
    <row r="17" spans="1:5" ht="15.75">
      <c r="A17" s="1961"/>
      <c r="B17" s="2977"/>
      <c r="C17" s="1964" t="s">
        <v>1632</v>
      </c>
      <c r="D17" s="1043" t="e">
        <f>NUMBERSTRING(INT(D16*10000),2)&amp;"元整"</f>
        <v>#VALUE!</v>
      </c>
      <c r="E17" s="1961"/>
    </row>
    <row r="18" spans="1:5" ht="15">
      <c r="A18" s="1961"/>
      <c r="B18" s="2978"/>
      <c r="C18" s="1965" t="s">
        <v>1621</v>
      </c>
      <c r="D18" s="1055" t="str">
        <f>结果表!H110</f>
        <v>——</v>
      </c>
      <c r="E18" s="1961"/>
    </row>
    <row r="19" spans="1:5" ht="15.75">
      <c r="A19" s="1961"/>
      <c r="B19" s="2969" t="str">
        <f>结果表!E111</f>
        <v>——</v>
      </c>
      <c r="C19" s="1969" t="s">
        <v>1619</v>
      </c>
      <c r="D19" s="1044" t="str">
        <f>结果表!H111</f>
        <v>——</v>
      </c>
      <c r="E19" s="1961"/>
    </row>
    <row r="20" spans="1:5" ht="15.75">
      <c r="A20" s="1961"/>
      <c r="B20" s="2970"/>
      <c r="C20" s="1964" t="s">
        <v>1632</v>
      </c>
      <c r="D20" s="1043" t="e">
        <f>NUMBERSTRING(INT(D19*10000),2)&amp;"元整"</f>
        <v>#VALUE!</v>
      </c>
      <c r="E20" s="1961"/>
    </row>
    <row r="21" spans="1:5" ht="15.75" thickBot="1">
      <c r="A21" s="1961"/>
      <c r="B21" s="2971"/>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27553</v>
      </c>
      <c r="C2" s="2" t="s">
        <v>133</v>
      </c>
      <c r="D2" s="243"/>
      <c r="E2" s="243"/>
      <c r="F2" s="243"/>
      <c r="G2" s="243"/>
    </row>
    <row r="3" spans="1:7" s="244" customFormat="1" ht="18" customHeight="1" thickBot="1">
      <c r="A3" s="247" t="s">
        <v>85</v>
      </c>
      <c r="B3" s="248">
        <f ca="1">ROUND(B2*10000/'数据-汇总表'!E3,0)</f>
        <v>136326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120</v>
      </c>
      <c r="F9" s="265"/>
      <c r="G9" s="270"/>
    </row>
    <row r="10" spans="1:7" s="258" customFormat="1" ht="13.5" customHeight="1">
      <c r="A10" s="953" t="s">
        <v>800</v>
      </c>
      <c r="B10" s="268" t="s">
        <v>94</v>
      </c>
      <c r="C10" s="269">
        <f>ROUND(D10*E10/10000,0)</f>
        <v>32</v>
      </c>
      <c r="D10" s="1035">
        <f>'数据-汇总表'!E6</f>
        <v>2021.11</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30</v>
      </c>
      <c r="D19" s="1039">
        <f>'数据-汇总表'!E3</f>
        <v>2021.11</v>
      </c>
      <c r="E19" s="255">
        <f>'数据-取费表'!B31</f>
        <v>150</v>
      </c>
      <c r="F19" s="275"/>
      <c r="G19" s="1" t="s">
        <v>1073</v>
      </c>
    </row>
    <row r="20" spans="1:7" s="258" customFormat="1" ht="13.5" customHeight="1">
      <c r="A20" s="951" t="s">
        <v>1056</v>
      </c>
      <c r="B20" s="254" t="s">
        <v>104</v>
      </c>
      <c r="C20" s="276">
        <f>ROUND((C5+C19)*F20,0)</f>
        <v>417</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1206</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1192</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2</v>
      </c>
      <c r="D24" s="282"/>
      <c r="E24" s="282"/>
      <c r="F24" s="283"/>
      <c r="G24" s="284" t="s">
        <v>109</v>
      </c>
    </row>
    <row r="25" spans="1:7" s="258" customFormat="1" ht="24">
      <c r="A25" s="954" t="s">
        <v>792</v>
      </c>
      <c r="B25" s="259" t="s">
        <v>1057</v>
      </c>
      <c r="C25" s="1358">
        <f ca="1">ROUND(IF('数据-取费表'!B22&lt;=1,C20*F22*'数据-取费表'!B23/2,C20*(POWER((1+F22),'数据-取费表'!B23/2)-1)),0)</f>
        <v>12</v>
      </c>
      <c r="D25" s="282"/>
      <c r="E25" s="285"/>
      <c r="F25" s="283"/>
      <c r="G25" s="286" t="s">
        <v>110</v>
      </c>
    </row>
    <row r="26" spans="1:7" s="258" customFormat="1">
      <c r="A26" s="954" t="s">
        <v>794</v>
      </c>
      <c r="B26" s="259" t="s">
        <v>1059</v>
      </c>
      <c r="C26" s="282">
        <f ca="1">ROUND(IF('数据-取费表'!B22&lt;=1,F21*F22*'数据-取费表'!B23/2,F21*(POWER((1+F22),'数据-取费表'!B23/2)-1)),4)</f>
        <v>5.9999999999999995E-4</v>
      </c>
      <c r="D26" s="282"/>
      <c r="E26" s="285"/>
      <c r="F26" s="283"/>
      <c r="G26" s="287"/>
    </row>
    <row r="27" spans="1:7" s="258" customFormat="1" ht="24.75">
      <c r="A27" s="951" t="s">
        <v>786</v>
      </c>
      <c r="B27" s="288" t="s">
        <v>112</v>
      </c>
      <c r="C27" s="289">
        <f>C28</f>
        <v>2551</v>
      </c>
      <c r="D27" s="279">
        <f>C29</f>
        <v>2.3999999999999998E-3</v>
      </c>
      <c r="E27" s="280" t="s">
        <v>126</v>
      </c>
      <c r="F27" s="290">
        <f>'数据-取费表'!Q16</f>
        <v>0.2</v>
      </c>
      <c r="G27" s="291" t="s">
        <v>1068</v>
      </c>
    </row>
    <row r="28" spans="1:7" s="258" customFormat="1" ht="13.5" customHeight="1">
      <c r="A28" s="954" t="s">
        <v>793</v>
      </c>
      <c r="B28" s="292" t="s">
        <v>1061</v>
      </c>
      <c r="C28" s="293">
        <f>ROUND((C5+C19+C20)*F27*'数据-取费表'!B21/'数据-取费表'!B20,0)</f>
        <v>2551</v>
      </c>
      <c r="D28" s="279"/>
      <c r="E28" s="280"/>
      <c r="F28" s="290"/>
      <c r="G28" s="291"/>
    </row>
    <row r="29" spans="1:7" s="258" customFormat="1" ht="13.5" customHeight="1">
      <c r="A29" s="954" t="s">
        <v>791</v>
      </c>
      <c r="B29" s="292" t="s">
        <v>1062</v>
      </c>
      <c r="C29" s="282">
        <f>ROUND(C21*F27*'数据-取费表'!B21/'数据-取费表'!B20,4)</f>
        <v>2.3999999999999998E-3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27081</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347</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303</v>
      </c>
      <c r="D34" s="261"/>
      <c r="E34" s="264"/>
      <c r="F34" s="301">
        <f>IF('数据-取费表'!B24=0,1,'数据-取费表'!N16)</f>
        <v>0.6</v>
      </c>
      <c r="G34" s="263" t="s">
        <v>116</v>
      </c>
    </row>
    <row r="35" spans="1:7" ht="13.5" customHeight="1">
      <c r="A35" s="954" t="s">
        <v>795</v>
      </c>
      <c r="B35" s="259" t="s">
        <v>60</v>
      </c>
      <c r="C35" s="264">
        <f>ROUND(C34*F35,0)</f>
        <v>15</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797</v>
      </c>
      <c r="B37" s="259" t="s">
        <v>118</v>
      </c>
      <c r="C37" s="293">
        <f>ROUND(E37*D37*F34/10000,0)</f>
        <v>24</v>
      </c>
      <c r="D37" s="261">
        <f>'数据-汇总表'!E3</f>
        <v>2021.11</v>
      </c>
      <c r="E37" s="293">
        <f>'数据-取费表'!B35</f>
        <v>200</v>
      </c>
      <c r="F37" s="303"/>
      <c r="G37" s="305" t="s">
        <v>119</v>
      </c>
    </row>
    <row r="38" spans="1:7" ht="13.5" customHeight="1">
      <c r="A38" s="954" t="s">
        <v>798</v>
      </c>
      <c r="B38" s="259" t="s">
        <v>63</v>
      </c>
      <c r="C38" s="264">
        <f>ROUND(C34*F38,0)</f>
        <v>5</v>
      </c>
      <c r="D38" s="264"/>
      <c r="E38" s="264"/>
      <c r="F38" s="303">
        <f>'数据-取费表'!B36</f>
        <v>1.4999999999999999E-2</v>
      </c>
      <c r="G38" s="263" t="s">
        <v>117</v>
      </c>
    </row>
    <row r="39" spans="1:7" s="258" customFormat="1" ht="13.5" customHeight="1">
      <c r="A39" s="951" t="s">
        <v>782</v>
      </c>
      <c r="B39" s="254" t="s">
        <v>104</v>
      </c>
      <c r="C39" s="276">
        <f>ROUND(C33*F20,0)</f>
        <v>7</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v>
      </c>
      <c r="D41" s="279">
        <f ca="1">C44</f>
        <v>5.9999999999999995E-4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10</v>
      </c>
      <c r="D42" s="282"/>
      <c r="E42" s="282"/>
      <c r="F42" s="283"/>
      <c r="G42" s="3198" t="s">
        <v>121</v>
      </c>
    </row>
    <row r="43" spans="1:7" ht="13.5" customHeight="1">
      <c r="A43" s="954" t="s">
        <v>791</v>
      </c>
      <c r="B43" s="259" t="s">
        <v>1063</v>
      </c>
      <c r="C43" s="282">
        <f ca="1">ROUND(IF('数据-取费表'!B22&lt;=1,C39*F22*'数据-取费表'!B21/2,C39*(POWER((1+F22),'数据-取费表'!B21/2)-1)),0)</f>
        <v>0</v>
      </c>
      <c r="D43" s="282"/>
      <c r="E43" s="282"/>
      <c r="F43" s="283"/>
      <c r="G43" s="3199"/>
    </row>
    <row r="44" spans="1:7" ht="13.5" customHeight="1">
      <c r="A44" s="954" t="s">
        <v>792</v>
      </c>
      <c r="B44" s="259" t="s">
        <v>1065</v>
      </c>
      <c r="C44" s="282">
        <f ca="1">ROUND(IF('数据-取费表'!B22&lt;=1,C40*F22*'数据-取费表'!B21/2,C40*(POWER((1+F22),'数据-取费表'!B21/2)-1)),4)</f>
        <v>5.9999999999999995E-4</v>
      </c>
      <c r="D44" s="282"/>
      <c r="E44" s="282"/>
      <c r="F44" s="283"/>
      <c r="G44" s="3200"/>
    </row>
    <row r="45" spans="1:7" s="258" customFormat="1" ht="13.5" customHeight="1">
      <c r="A45" s="951" t="s">
        <v>785</v>
      </c>
      <c r="B45" s="288" t="s">
        <v>112</v>
      </c>
      <c r="C45" s="289">
        <f>C46</f>
        <v>71</v>
      </c>
      <c r="D45" s="279">
        <f>C47</f>
        <v>4.0000000000000001E-3</v>
      </c>
      <c r="E45" s="280" t="s">
        <v>129</v>
      </c>
      <c r="F45" s="290"/>
      <c r="G45" s="291" t="s">
        <v>1071</v>
      </c>
    </row>
    <row r="46" spans="1:7" s="258" customFormat="1" ht="13.5" customHeight="1">
      <c r="A46" s="954" t="s">
        <v>793</v>
      </c>
      <c r="B46" s="292" t="s">
        <v>1064</v>
      </c>
      <c r="C46" s="293">
        <f>ROUND((C33+C39)*F27,0)</f>
        <v>71</v>
      </c>
      <c r="D46" s="307"/>
      <c r="E46" s="280"/>
      <c r="F46" s="290"/>
      <c r="G46" s="291"/>
    </row>
    <row r="47" spans="1:7" s="258" customFormat="1" ht="13.5" customHeight="1">
      <c r="A47" s="954" t="s">
        <v>791</v>
      </c>
      <c r="B47" s="292" t="s">
        <v>1066</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472</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472</v>
      </c>
      <c r="D51" s="276"/>
      <c r="E51" s="276"/>
      <c r="F51" s="308"/>
      <c r="G51" s="278" t="s">
        <v>64</v>
      </c>
    </row>
    <row r="52" spans="1:7" s="252" customFormat="1" ht="16.5" thickBot="1">
      <c r="A52" s="309" t="s">
        <v>65</v>
      </c>
      <c r="B52" s="310"/>
      <c r="C52" s="311">
        <f ca="1">C31+C51</f>
        <v>27553</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870</v>
      </c>
      <c r="B1" s="3290"/>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J27"/>
  <sheetViews>
    <sheetView topLeftCell="C1" workbookViewId="0">
      <selection activeCell="I32" sqref="I32"/>
    </sheetView>
  </sheetViews>
  <sheetFormatPr defaultRowHeight="13.5"/>
  <sheetData>
    <row r="3" spans="4:10">
      <c r="D3" s="3294" t="s">
        <v>3133</v>
      </c>
      <c r="E3" s="3294"/>
      <c r="F3" s="3294"/>
      <c r="G3" s="3294"/>
      <c r="H3" s="3294"/>
      <c r="I3" s="3294"/>
      <c r="J3" s="3294"/>
    </row>
    <row r="4" spans="4:10">
      <c r="D4" s="2958"/>
      <c r="E4" s="2958"/>
      <c r="F4" s="2958"/>
      <c r="G4" s="2958"/>
      <c r="H4" s="2958"/>
      <c r="I4" s="2958"/>
      <c r="J4" s="2959"/>
    </row>
    <row r="5" spans="4:10">
      <c r="D5" s="2960" t="s">
        <v>3134</v>
      </c>
      <c r="E5" s="2960" t="s">
        <v>3135</v>
      </c>
      <c r="F5" s="2960" t="s">
        <v>3136</v>
      </c>
      <c r="G5" s="2960" t="s">
        <v>3137</v>
      </c>
      <c r="H5" s="2960" t="s">
        <v>3138</v>
      </c>
      <c r="I5" s="2960" t="s">
        <v>3139</v>
      </c>
      <c r="J5" s="2960" t="s">
        <v>3140</v>
      </c>
    </row>
    <row r="6" spans="4:10">
      <c r="D6" s="2960">
        <v>1</v>
      </c>
      <c r="E6" s="2960" t="s">
        <v>3141</v>
      </c>
      <c r="F6" s="2960" t="s">
        <v>1373</v>
      </c>
      <c r="G6" s="2960" t="s">
        <v>3142</v>
      </c>
      <c r="H6" s="2960">
        <v>13</v>
      </c>
      <c r="I6" s="2961">
        <v>101</v>
      </c>
      <c r="J6" s="2961">
        <v>64.75</v>
      </c>
    </row>
    <row r="7" spans="4:10">
      <c r="D7" s="2960">
        <v>2</v>
      </c>
      <c r="E7" s="2960" t="s">
        <v>3141</v>
      </c>
      <c r="F7" s="2960" t="s">
        <v>1373</v>
      </c>
      <c r="G7" s="2962" t="s">
        <v>3142</v>
      </c>
      <c r="H7" s="2962">
        <v>13</v>
      </c>
      <c r="I7" s="2961">
        <v>102</v>
      </c>
      <c r="J7" s="2961">
        <v>151.19</v>
      </c>
    </row>
    <row r="8" spans="4:10">
      <c r="D8" s="2960">
        <v>3</v>
      </c>
      <c r="E8" s="2960" t="s">
        <v>3141</v>
      </c>
      <c r="F8" s="2960" t="s">
        <v>1373</v>
      </c>
      <c r="G8" s="2960" t="s">
        <v>3142</v>
      </c>
      <c r="H8" s="2960">
        <v>13</v>
      </c>
      <c r="I8" s="2961">
        <v>103</v>
      </c>
      <c r="J8" s="2961">
        <v>56.58</v>
      </c>
    </row>
    <row r="9" spans="4:10">
      <c r="D9" s="2960">
        <v>4</v>
      </c>
      <c r="E9" s="2960" t="s">
        <v>3141</v>
      </c>
      <c r="F9" s="2960" t="s">
        <v>1373</v>
      </c>
      <c r="G9" s="2960" t="s">
        <v>3142</v>
      </c>
      <c r="H9" s="2960">
        <v>13</v>
      </c>
      <c r="I9" s="2961">
        <v>104</v>
      </c>
      <c r="J9" s="2961">
        <v>61.69</v>
      </c>
    </row>
    <row r="10" spans="4:10">
      <c r="D10" s="2960">
        <v>5</v>
      </c>
      <c r="E10" s="2960" t="s">
        <v>3141</v>
      </c>
      <c r="F10" s="2960" t="s">
        <v>1373</v>
      </c>
      <c r="G10" s="2960" t="s">
        <v>3142</v>
      </c>
      <c r="H10" s="2960">
        <v>13</v>
      </c>
      <c r="I10" s="2961">
        <v>105</v>
      </c>
      <c r="J10" s="2963">
        <v>147.56</v>
      </c>
    </row>
    <row r="11" spans="4:10">
      <c r="D11" s="2960">
        <v>6</v>
      </c>
      <c r="E11" s="2960" t="s">
        <v>3141</v>
      </c>
      <c r="F11" s="2960" t="s">
        <v>1373</v>
      </c>
      <c r="G11" s="2960" t="s">
        <v>3142</v>
      </c>
      <c r="H11" s="2960">
        <v>13</v>
      </c>
      <c r="I11" s="2961">
        <v>106</v>
      </c>
      <c r="J11" s="2963">
        <v>102.95</v>
      </c>
    </row>
    <row r="12" spans="4:10">
      <c r="D12" s="2960">
        <v>7</v>
      </c>
      <c r="E12" s="2960" t="s">
        <v>3141</v>
      </c>
      <c r="F12" s="2960" t="s">
        <v>1373</v>
      </c>
      <c r="G12" s="2960" t="s">
        <v>3142</v>
      </c>
      <c r="H12" s="2960">
        <v>13</v>
      </c>
      <c r="I12" s="2961">
        <v>107</v>
      </c>
      <c r="J12" s="2963">
        <v>87.53</v>
      </c>
    </row>
    <row r="13" spans="4:10">
      <c r="D13" s="2960">
        <v>8</v>
      </c>
      <c r="E13" s="2960" t="s">
        <v>3141</v>
      </c>
      <c r="F13" s="2960" t="s">
        <v>1373</v>
      </c>
      <c r="G13" s="2960" t="s">
        <v>3142</v>
      </c>
      <c r="H13" s="2960">
        <v>13</v>
      </c>
      <c r="I13" s="2961">
        <v>108</v>
      </c>
      <c r="J13" s="2963">
        <v>107.21</v>
      </c>
    </row>
    <row r="14" spans="4:10">
      <c r="D14" s="2960">
        <v>9</v>
      </c>
      <c r="E14" s="2960" t="s">
        <v>3141</v>
      </c>
      <c r="F14" s="2960" t="s">
        <v>1373</v>
      </c>
      <c r="G14" s="2960" t="s">
        <v>3142</v>
      </c>
      <c r="H14" s="2960">
        <v>13</v>
      </c>
      <c r="I14" s="2961">
        <v>109</v>
      </c>
      <c r="J14" s="2963">
        <v>97</v>
      </c>
    </row>
    <row r="15" spans="4:10">
      <c r="D15" s="2960">
        <v>10</v>
      </c>
      <c r="E15" s="2960" t="s">
        <v>3141</v>
      </c>
      <c r="F15" s="2960" t="s">
        <v>1373</v>
      </c>
      <c r="G15" s="2960" t="s">
        <v>3142</v>
      </c>
      <c r="H15" s="2962">
        <v>13</v>
      </c>
      <c r="I15" s="2961">
        <v>110</v>
      </c>
      <c r="J15" s="2963">
        <v>97.53</v>
      </c>
    </row>
    <row r="16" spans="4:10">
      <c r="D16" s="2960">
        <v>11</v>
      </c>
      <c r="E16" s="2960" t="s">
        <v>3141</v>
      </c>
      <c r="F16" s="2960" t="s">
        <v>1373</v>
      </c>
      <c r="G16" s="2960" t="s">
        <v>3142</v>
      </c>
      <c r="H16" s="2960">
        <v>13</v>
      </c>
      <c r="I16" s="2961">
        <v>111</v>
      </c>
      <c r="J16" s="2963">
        <v>86.69</v>
      </c>
    </row>
    <row r="17" spans="4:10">
      <c r="D17" s="2960">
        <v>12</v>
      </c>
      <c r="E17" s="2960" t="s">
        <v>3141</v>
      </c>
      <c r="F17" s="2960" t="s">
        <v>1373</v>
      </c>
      <c r="G17" s="2960" t="s">
        <v>3142</v>
      </c>
      <c r="H17" s="2960">
        <v>13</v>
      </c>
      <c r="I17" s="2961">
        <v>112</v>
      </c>
      <c r="J17" s="2963">
        <v>128.88</v>
      </c>
    </row>
    <row r="18" spans="4:10">
      <c r="D18" s="2960">
        <v>13</v>
      </c>
      <c r="E18" s="2960" t="s">
        <v>3141</v>
      </c>
      <c r="F18" s="2960" t="s">
        <v>1373</v>
      </c>
      <c r="G18" s="2960" t="s">
        <v>3142</v>
      </c>
      <c r="H18" s="2960">
        <v>13</v>
      </c>
      <c r="I18" s="2961">
        <v>114</v>
      </c>
      <c r="J18" s="2963">
        <v>50.12</v>
      </c>
    </row>
    <row r="19" spans="4:10">
      <c r="D19" s="2960">
        <v>14</v>
      </c>
      <c r="E19" s="2960" t="s">
        <v>3141</v>
      </c>
      <c r="F19" s="2960" t="s">
        <v>1373</v>
      </c>
      <c r="G19" s="2960" t="s">
        <v>3142</v>
      </c>
      <c r="H19" s="2960">
        <v>13</v>
      </c>
      <c r="I19" s="2961">
        <v>115</v>
      </c>
      <c r="J19" s="2961">
        <v>140.5</v>
      </c>
    </row>
    <row r="20" spans="4:10">
      <c r="D20" s="2960">
        <v>15</v>
      </c>
      <c r="E20" s="2960" t="s">
        <v>3141</v>
      </c>
      <c r="F20" s="2960" t="s">
        <v>1373</v>
      </c>
      <c r="G20" s="2960" t="s">
        <v>3142</v>
      </c>
      <c r="H20" s="2960">
        <v>13</v>
      </c>
      <c r="I20" s="2961">
        <v>116</v>
      </c>
      <c r="J20" s="2961">
        <v>81.93</v>
      </c>
    </row>
    <row r="21" spans="4:10">
      <c r="D21" s="2960">
        <v>16</v>
      </c>
      <c r="E21" s="2960" t="s">
        <v>3141</v>
      </c>
      <c r="F21" s="2960" t="s">
        <v>1373</v>
      </c>
      <c r="G21" s="2960" t="s">
        <v>3142</v>
      </c>
      <c r="H21" s="2960">
        <v>14</v>
      </c>
      <c r="I21" s="2961">
        <v>102</v>
      </c>
      <c r="J21" s="2966">
        <v>122.43</v>
      </c>
    </row>
    <row r="22" spans="4:10">
      <c r="D22" s="2960">
        <v>17</v>
      </c>
      <c r="E22" s="2960" t="s">
        <v>3141</v>
      </c>
      <c r="F22" s="2960" t="s">
        <v>1373</v>
      </c>
      <c r="G22" s="2960" t="s">
        <v>3142</v>
      </c>
      <c r="H22" s="2960">
        <v>14</v>
      </c>
      <c r="I22" s="2961">
        <v>108</v>
      </c>
      <c r="J22" s="2966">
        <v>88.69</v>
      </c>
    </row>
    <row r="23" spans="4:10">
      <c r="D23" s="2960">
        <v>18</v>
      </c>
      <c r="E23" s="2960" t="s">
        <v>3141</v>
      </c>
      <c r="F23" s="2960" t="s">
        <v>1373</v>
      </c>
      <c r="G23" s="2960" t="s">
        <v>3142</v>
      </c>
      <c r="H23" s="2960">
        <v>14</v>
      </c>
      <c r="I23" s="2961">
        <v>109</v>
      </c>
      <c r="J23" s="2966">
        <v>77.44</v>
      </c>
    </row>
    <row r="24" spans="4:10">
      <c r="D24" s="2960">
        <v>19</v>
      </c>
      <c r="E24" s="2960" t="s">
        <v>3141</v>
      </c>
      <c r="F24" s="2960" t="s">
        <v>1373</v>
      </c>
      <c r="G24" s="2960" t="s">
        <v>3142</v>
      </c>
      <c r="H24" s="2960">
        <v>14</v>
      </c>
      <c r="I24" s="2961">
        <v>110</v>
      </c>
      <c r="J24" s="2966">
        <v>79.64</v>
      </c>
    </row>
    <row r="25" spans="4:10">
      <c r="D25" s="2960">
        <v>20</v>
      </c>
      <c r="E25" s="2960" t="s">
        <v>3141</v>
      </c>
      <c r="F25" s="2960" t="s">
        <v>1373</v>
      </c>
      <c r="G25" s="2960" t="s">
        <v>3142</v>
      </c>
      <c r="H25" s="2960">
        <v>14</v>
      </c>
      <c r="I25" s="2961">
        <v>115</v>
      </c>
      <c r="J25" s="2967">
        <v>83.67</v>
      </c>
    </row>
    <row r="26" spans="4:10">
      <c r="D26" s="2960">
        <v>21</v>
      </c>
      <c r="E26" s="2960" t="s">
        <v>3141</v>
      </c>
      <c r="F26" s="2960" t="s">
        <v>1373</v>
      </c>
      <c r="G26" s="2960" t="s">
        <v>3142</v>
      </c>
      <c r="H26" s="2960">
        <v>14</v>
      </c>
      <c r="I26" s="2961">
        <v>116</v>
      </c>
      <c r="J26" s="2966">
        <v>65.349999999999994</v>
      </c>
    </row>
    <row r="27" spans="4:10">
      <c r="D27" s="2960">
        <v>22</v>
      </c>
      <c r="E27" s="2960" t="s">
        <v>3141</v>
      </c>
      <c r="F27" s="2960" t="s">
        <v>1373</v>
      </c>
      <c r="G27" s="2960" t="s">
        <v>3142</v>
      </c>
      <c r="H27" s="2960">
        <v>14</v>
      </c>
      <c r="I27" s="2961">
        <v>118</v>
      </c>
      <c r="J27" s="2966">
        <v>41.78</v>
      </c>
    </row>
  </sheetData>
  <mergeCells count="1">
    <mergeCell ref="D3:J3"/>
  </mergeCells>
  <phoneticPr fontId="142" type="noConversion"/>
  <dataValidations count="2">
    <dataValidation type="list" allowBlank="1" showInputMessage="1" showErrorMessage="1" sqref="G6:G27">
      <formula1>"一期,二期,三期,四期"</formula1>
    </dataValidation>
    <dataValidation type="list" allowBlank="1" showInputMessage="1" showErrorMessage="1" sqref="F6:F27">
      <formula1>"住宅,公寓,洋房,别墅,商业,写字楼,车位"</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I14"/>
  <sheetViews>
    <sheetView workbookViewId="0">
      <selection activeCell="I19" sqref="I19"/>
    </sheetView>
  </sheetViews>
  <sheetFormatPr defaultRowHeight="13.5"/>
  <cols>
    <col min="6" max="6" width="14.25" customWidth="1"/>
    <col min="7" max="7" width="14" customWidth="1"/>
    <col min="8" max="8" width="10.875" customWidth="1"/>
    <col min="9" max="9" width="20.875" customWidth="1"/>
  </cols>
  <sheetData>
    <row r="4" spans="6:9" ht="17.25" customHeight="1">
      <c r="F4" s="2964" t="s">
        <v>3153</v>
      </c>
      <c r="G4" s="2965"/>
      <c r="H4" s="2965"/>
      <c r="I4" s="2965"/>
    </row>
    <row r="5" spans="6:9">
      <c r="F5" s="2964" t="s">
        <v>3154</v>
      </c>
      <c r="G5" s="2964" t="s">
        <v>3155</v>
      </c>
      <c r="H5" s="2964" t="s">
        <v>3157</v>
      </c>
      <c r="I5" s="2964" t="s">
        <v>3158</v>
      </c>
    </row>
    <row r="6" spans="6:9">
      <c r="F6" s="2965">
        <v>3220.4</v>
      </c>
      <c r="G6" s="2965">
        <v>15719.93</v>
      </c>
      <c r="H6" s="2965">
        <f>'数据-基础表'!I13</f>
        <v>1462.11</v>
      </c>
      <c r="I6" s="2965">
        <f>ROUND(H6/G6*F6,2)</f>
        <v>299.52999999999997</v>
      </c>
    </row>
    <row r="7" spans="6:9">
      <c r="F7" s="2965"/>
      <c r="G7" s="2965"/>
      <c r="H7" s="2965"/>
      <c r="I7" s="2965"/>
    </row>
    <row r="8" spans="6:9">
      <c r="F8" s="2965"/>
      <c r="G8" s="2965"/>
      <c r="H8" s="2965"/>
      <c r="I8" s="2965"/>
    </row>
    <row r="9" spans="6:9">
      <c r="F9" s="2965"/>
      <c r="G9" s="2965"/>
      <c r="H9" s="2965"/>
      <c r="I9" s="2965"/>
    </row>
    <row r="10" spans="6:9">
      <c r="F10" s="2964" t="s">
        <v>3156</v>
      </c>
      <c r="G10" s="2965"/>
      <c r="H10" s="2965"/>
      <c r="I10" s="2965"/>
    </row>
    <row r="11" spans="6:9">
      <c r="F11" s="2964" t="s">
        <v>3154</v>
      </c>
      <c r="G11" s="2964" t="s">
        <v>3155</v>
      </c>
      <c r="H11" s="2964" t="s">
        <v>3157</v>
      </c>
      <c r="I11" s="2964" t="s">
        <v>3158</v>
      </c>
    </row>
    <row r="12" spans="6:9">
      <c r="F12" s="2965">
        <f>12950.49-951.04-333.14</f>
        <v>11666.310000000001</v>
      </c>
      <c r="G12" s="2965">
        <f>15541.51+11066.79</f>
        <v>26608.300000000003</v>
      </c>
      <c r="H12" s="2965">
        <f>'数据-基础表'!I14</f>
        <v>559</v>
      </c>
      <c r="I12" s="2965">
        <f>ROUND(H12/G12*F12,2)</f>
        <v>245.09</v>
      </c>
    </row>
    <row r="14" spans="6:9">
      <c r="I14">
        <f>I12+I6</f>
        <v>544.62</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2021.11</v>
      </c>
      <c r="C4" s="1047">
        <f>项目基本情况!C18</f>
        <v>544.62</v>
      </c>
      <c r="D4" s="1047">
        <f ca="1">结果表!D118</f>
        <v>1582</v>
      </c>
      <c r="E4" s="1047">
        <f ca="1">结果表!E118</f>
        <v>7827</v>
      </c>
      <c r="F4" s="1047">
        <f ca="1">结果表!F118</f>
        <v>542</v>
      </c>
      <c r="G4" s="1047">
        <f ca="1">结果表!G118</f>
        <v>2682</v>
      </c>
      <c r="H4" s="1047">
        <f ca="1">结果表!H118</f>
        <v>2124</v>
      </c>
      <c r="I4" s="1047">
        <f ca="1">结果表!I118</f>
        <v>10509</v>
      </c>
    </row>
    <row r="5" spans="1:9" ht="30" customHeight="1">
      <c r="A5" s="2981" t="s">
        <v>1636</v>
      </c>
      <c r="B5" s="2981"/>
      <c r="C5" s="2981"/>
      <c r="D5" s="2982" t="str">
        <f ca="1">结果表!D119</f>
        <v>壹仟伍佰捌拾贰万元整</v>
      </c>
      <c r="E5" s="2982"/>
      <c r="F5" s="2982" t="str">
        <f ca="1">结果表!F119</f>
        <v>伍佰肆拾贰万元整</v>
      </c>
      <c r="G5" s="2982"/>
      <c r="H5" s="2982" t="str">
        <f ca="1">结果表!H119</f>
        <v>贰仟壹佰贰拾肆万元整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2124</v>
      </c>
      <c r="E8" s="2983"/>
      <c r="F8" s="2983"/>
      <c r="G8" s="2983"/>
      <c r="H8" s="2983"/>
      <c r="I8" s="2983"/>
    </row>
    <row r="9" spans="1:9" ht="15">
      <c r="A9" s="2981" t="s">
        <v>1636</v>
      </c>
      <c r="B9" s="2981"/>
      <c r="C9" s="2981"/>
      <c r="D9" s="2982" t="str">
        <f ca="1">结果表!D123</f>
        <v>贰仟壹佰贰拾肆万元整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0" t="s">
        <v>1658</v>
      </c>
      <c r="B1" s="2990"/>
      <c r="C1" s="2990"/>
      <c r="D1" s="2990"/>
    </row>
    <row r="2" spans="1:4" ht="18">
      <c r="A2" s="2991" t="s">
        <v>1642</v>
      </c>
      <c r="B2" s="2991"/>
      <c r="C2" s="2991"/>
      <c r="D2" s="2991"/>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2991" t="s">
        <v>1648</v>
      </c>
      <c r="B6" s="2991"/>
      <c r="C6" s="2991"/>
      <c r="D6" s="2991"/>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1654</v>
      </c>
      <c r="B22" s="2998"/>
      <c r="C22" s="2998"/>
      <c r="D22" s="2998"/>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4" t="s">
        <v>1665</v>
      </c>
      <c r="B15" s="2999" t="s">
        <v>136</v>
      </c>
      <c r="C15" s="3000"/>
    </row>
    <row r="16" spans="1:7" ht="13.5">
      <c r="A16" s="3005"/>
      <c r="B16" s="2999" t="s">
        <v>69</v>
      </c>
      <c r="C16" s="3000"/>
    </row>
    <row r="17" spans="1:3" ht="13.5">
      <c r="A17" s="3005"/>
      <c r="B17" s="3002" t="s">
        <v>1666</v>
      </c>
      <c r="C17" s="2002" t="s">
        <v>1665</v>
      </c>
    </row>
    <row r="18" spans="1:3" ht="13.5">
      <c r="A18" s="3005"/>
      <c r="B18" s="3002"/>
      <c r="C18" s="2002" t="s">
        <v>1667</v>
      </c>
    </row>
    <row r="19" spans="1:3" ht="13.5">
      <c r="A19" s="3005"/>
      <c r="B19" s="3002"/>
      <c r="C19" s="2002" t="s">
        <v>1668</v>
      </c>
    </row>
    <row r="20" spans="1:3" ht="13.5">
      <c r="A20" s="3006"/>
      <c r="B20" s="3001" t="s">
        <v>1669</v>
      </c>
      <c r="C20" s="3000"/>
    </row>
    <row r="21" spans="1:3" ht="13.5">
      <c r="A21" s="2003" t="s">
        <v>1670</v>
      </c>
      <c r="B21" s="2004"/>
      <c r="C21" s="2005"/>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2002" t="s">
        <v>1676</v>
      </c>
    </row>
    <row r="26" spans="1:3" ht="13.5">
      <c r="A26" s="3003"/>
      <c r="B26" s="3002"/>
      <c r="C26" s="2002" t="s">
        <v>1677</v>
      </c>
    </row>
    <row r="27" spans="1:3" ht="13.5">
      <c r="A27" s="3003"/>
      <c r="B27" s="3002"/>
      <c r="C27" s="2002" t="s">
        <v>1678</v>
      </c>
    </row>
    <row r="28" spans="1:3" ht="13.5">
      <c r="A28" s="3003"/>
      <c r="B28" s="3002"/>
      <c r="C28" s="2002" t="s">
        <v>1679</v>
      </c>
    </row>
    <row r="29" spans="1:3" ht="13.5">
      <c r="A29" s="3003"/>
      <c r="B29" s="3002"/>
      <c r="C29" s="2002" t="s">
        <v>1680</v>
      </c>
    </row>
    <row r="30" spans="1:3" ht="13.5">
      <c r="A30" s="3003"/>
      <c r="B30" s="3002"/>
      <c r="C30" s="2002" t="s">
        <v>1681</v>
      </c>
    </row>
    <row r="31" spans="1:3" ht="13.5">
      <c r="A31" s="3003"/>
      <c r="B31" s="3002"/>
      <c r="C31" s="2002" t="s">
        <v>1682</v>
      </c>
    </row>
    <row r="32" spans="1:3" ht="13.5">
      <c r="A32" s="3003"/>
      <c r="B32" s="3002"/>
      <c r="C32" s="2002" t="s">
        <v>1683</v>
      </c>
    </row>
    <row r="33" spans="1:3" ht="13.5">
      <c r="A33" s="3003"/>
      <c r="B33" s="3002"/>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43329</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07" t="s">
        <v>845</v>
      </c>
      <c r="B25" s="3007"/>
      <c r="C25" s="3007"/>
      <c r="D25" s="3007"/>
      <c r="E25" s="3007"/>
      <c r="F25" s="3007"/>
      <c r="G25" s="3007"/>
    </row>
    <row r="26" spans="1:7" s="1028" customFormat="1" ht="24" customHeight="1">
      <c r="A26" s="3008" t="s">
        <v>846</v>
      </c>
      <c r="B26" s="3008"/>
      <c r="C26" s="3009"/>
      <c r="D26" s="3010" t="s">
        <v>847</v>
      </c>
      <c r="E26" s="3008"/>
      <c r="F26" s="3008"/>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抵押清单</vt:lpstr>
      <vt:lpstr>土地面积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2018-08-17T08:38:57Z</dcterms:modified>
</cp:coreProperties>
</file>