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741"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出租）" sheetId="82" r:id="rId23"/>
    <sheet name="收益法（自用）" sheetId="15" r:id="rId24"/>
    <sheet name="收益法 (元)" sheetId="67" state="hidden" r:id="rId25"/>
    <sheet name="收益法（汇总）" sheetId="70" r:id="rId26"/>
    <sheet name="酒店收入计算" sheetId="66" state="hidden" r:id="rId27"/>
    <sheet name="比较法-商业" sheetId="33"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 sheetId="80" r:id="rId49"/>
    <sheet name="租金表" sheetId="81" r:id="rId50"/>
  </sheets>
  <externalReferences>
    <externalReference r:id="rId51"/>
  </externalReference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'收益法（出租）'!$A$1:$AK$69</definedName>
    <definedName name="_xlnm.Print_Area" localSheetId="23">'收益法（自用）'!$A$1:$AK$69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M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R6" i="1"/>
  <c r="F35" i="82"/>
  <c r="C34" i="82"/>
  <c r="C31" i="82"/>
  <c r="F36" i="82"/>
  <c r="C36" i="82"/>
  <c r="F13" i="82"/>
  <c r="C13" i="82"/>
  <c r="F37" i="82"/>
  <c r="C37" i="82"/>
  <c r="F38" i="82"/>
  <c r="C38" i="82"/>
  <c r="C30" i="82"/>
  <c r="C39" i="82"/>
  <c r="F42" i="82"/>
  <c r="F40" i="82"/>
  <c r="F41" i="82"/>
  <c r="C40" i="82"/>
  <c r="M6" i="82"/>
  <c r="M8" i="82"/>
  <c r="M7" i="82"/>
  <c r="M9" i="82"/>
  <c r="J6" i="82"/>
  <c r="M11" i="82"/>
  <c r="J10" i="82"/>
  <c r="J5" i="82"/>
  <c r="J18" i="82"/>
  <c r="J19" i="82"/>
  <c r="M21" i="82"/>
  <c r="J20" i="82"/>
  <c r="J17" i="82"/>
  <c r="J14" i="82"/>
  <c r="M22" i="82"/>
  <c r="J22" i="82"/>
  <c r="J15" i="82"/>
  <c r="J13" i="82"/>
  <c r="M23" i="82"/>
  <c r="J23" i="82"/>
  <c r="M24" i="82"/>
  <c r="J24" i="82"/>
  <c r="J16" i="82"/>
  <c r="J25" i="82"/>
  <c r="M28" i="82"/>
  <c r="M26" i="82"/>
  <c r="L48" i="82"/>
  <c r="J53" i="82"/>
  <c r="F1" i="82"/>
  <c r="AE6" i="1"/>
  <c r="AG6" i="1"/>
  <c r="M27" i="82"/>
  <c r="J26" i="82"/>
  <c r="J29" i="82"/>
  <c r="J60" i="82"/>
  <c r="L46" i="82"/>
  <c r="B2" i="82"/>
  <c r="AO6" i="1"/>
  <c r="B6" i="70"/>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AO7" i="1"/>
  <c r="B7" i="70"/>
  <c r="AO8" i="1"/>
  <c r="B8" i="70"/>
  <c r="AO9" i="1"/>
  <c r="B9" i="70"/>
  <c r="AO10" i="1"/>
  <c r="B10" i="70"/>
  <c r="AO11" i="1"/>
  <c r="B11" i="70"/>
  <c r="AO12" i="1"/>
  <c r="B12" i="70"/>
  <c r="AO13" i="1"/>
  <c r="B13" i="70"/>
  <c r="B2" i="70"/>
  <c r="B3" i="70"/>
  <c r="D20" i="9"/>
  <c r="G20" i="9"/>
  <c r="D30" i="80"/>
  <c r="D32" i="80"/>
  <c r="A6" i="1"/>
  <c r="G1" i="82"/>
  <c r="H26" i="81"/>
  <c r="H36" i="81"/>
  <c r="F19" i="6"/>
  <c r="E19" i="6"/>
  <c r="K6" i="1"/>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C27" i="80"/>
  <c r="I13" i="3"/>
  <c r="F20"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F15" i="82"/>
  <c r="F17" i="82"/>
  <c r="F18" i="82"/>
  <c r="F20" i="82"/>
  <c r="C1" i="73"/>
  <c r="J1" i="73"/>
  <c r="B22" i="1"/>
  <c r="E1" i="73"/>
  <c r="K1" i="73"/>
  <c r="F23" i="82"/>
  <c r="F21" i="82"/>
  <c r="B43" i="1"/>
  <c r="B41" i="1"/>
  <c r="F28" i="82"/>
  <c r="B2" i="1"/>
  <c r="C42" i="1"/>
  <c r="C28" i="82"/>
  <c r="N6" i="1"/>
  <c r="Y6" i="1"/>
  <c r="K11" i="81"/>
  <c r="K26" i="81"/>
  <c r="K36" i="81"/>
  <c r="U6" i="1"/>
  <c r="L1" i="73"/>
  <c r="F32" i="82"/>
  <c r="F33" i="82"/>
  <c r="B52" i="1"/>
  <c r="F34" i="82"/>
  <c r="A7" i="1"/>
  <c r="D27" i="80"/>
  <c r="A3"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0" i="6"/>
  <c r="K20" i="6"/>
  <c r="L20" i="6"/>
  <c r="M20" i="6"/>
  <c r="I20" i="6"/>
  <c r="H20" i="6"/>
  <c r="R20" i="6"/>
  <c r="D19" i="6"/>
  <c r="L19" i="6"/>
  <c r="M19" i="6"/>
  <c r="I19" i="6"/>
  <c r="H19" i="6"/>
  <c r="R19" i="6"/>
  <c r="G1" i="15"/>
  <c r="E15" i="4"/>
  <c r="F7" i="1"/>
  <c r="J50" i="15"/>
  <c r="J51" i="15"/>
  <c r="M47" i="15"/>
  <c r="C83" i="82"/>
  <c r="C82" i="82"/>
  <c r="C76" i="82"/>
  <c r="C75" i="82"/>
  <c r="C80" i="82"/>
  <c r="C79" i="82"/>
  <c r="C29" i="80"/>
  <c r="C30" i="80"/>
  <c r="Z6" i="1"/>
  <c r="M18" i="82"/>
  <c r="M19" i="82"/>
  <c r="M20" i="82"/>
  <c r="AD6" i="1"/>
  <c r="M47" i="82"/>
  <c r="F6" i="1"/>
  <c r="J50" i="82"/>
  <c r="J51" i="82"/>
  <c r="Q65" i="82"/>
  <c r="L51" i="82"/>
  <c r="L57" i="82"/>
  <c r="D6" i="1"/>
  <c r="L47" i="82"/>
  <c r="L58" i="82"/>
  <c r="L59" i="82"/>
  <c r="L60" i="82"/>
  <c r="Q66" i="82"/>
  <c r="Q75" i="82"/>
  <c r="Q74" i="82"/>
  <c r="K59" i="82"/>
  <c r="P74"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Q67" i="82"/>
  <c r="Q56" i="82"/>
  <c r="Q57" i="82"/>
  <c r="Q62" i="82"/>
  <c r="Q61" i="82"/>
  <c r="P61" i="82"/>
  <c r="Q60" i="82"/>
  <c r="Q59" i="82"/>
  <c r="N59" i="82"/>
  <c r="B24" i="1"/>
  <c r="M59" i="82"/>
  <c r="J59" i="82"/>
  <c r="F59" i="82"/>
  <c r="Q58" i="82"/>
  <c r="J57" i="82"/>
  <c r="J55" i="82"/>
  <c r="J58" i="82"/>
  <c r="L56" i="82"/>
  <c r="I54" i="82"/>
  <c r="Q47" i="82"/>
  <c r="Q48" i="82"/>
  <c r="Q53" i="82"/>
  <c r="Q52" i="82"/>
  <c r="Q51" i="82"/>
  <c r="Q50" i="82"/>
  <c r="Q49" i="82"/>
  <c r="D46" i="82"/>
  <c r="C46" i="82"/>
  <c r="C43" i="82"/>
  <c r="F31" i="82"/>
  <c r="M29" i="82"/>
  <c r="D24" i="82"/>
  <c r="D23" i="82"/>
  <c r="D22" i="82"/>
  <c r="M17" i="82"/>
  <c r="B3" i="82"/>
  <c r="N7" i="1"/>
  <c r="Y7" i="1"/>
  <c r="U7" i="1"/>
  <c r="B29" i="1"/>
  <c r="I20" i="43"/>
  <c r="J20" i="43"/>
  <c r="G2" i="43"/>
  <c r="G17" i="43"/>
  <c r="H17" i="43"/>
  <c r="I17" i="43"/>
  <c r="J17" i="43"/>
  <c r="C17" i="43"/>
  <c r="C16" i="43"/>
  <c r="I2" i="43"/>
  <c r="M2" i="43"/>
  <c r="C6" i="43"/>
  <c r="C7" i="43"/>
  <c r="C5" i="43"/>
  <c r="C18" i="43"/>
  <c r="G19" i="43"/>
  <c r="I5" i="71"/>
  <c r="I4" i="71"/>
  <c r="N4" i="71"/>
  <c r="N5" i="71"/>
  <c r="N6" i="71"/>
  <c r="N7" i="71"/>
  <c r="N8" i="71"/>
  <c r="N9" i="71"/>
  <c r="N10" i="71"/>
  <c r="N11" i="71"/>
  <c r="N12" i="71"/>
  <c r="N13" i="71"/>
  <c r="N14" i="71"/>
  <c r="N15" i="71"/>
  <c r="N16" i="71"/>
  <c r="N17" i="71"/>
  <c r="N18" i="71"/>
  <c r="N19" i="71"/>
  <c r="X3" i="71"/>
  <c r="J5" i="71"/>
  <c r="J4" i="71"/>
  <c r="O4" i="71"/>
  <c r="O5" i="71"/>
  <c r="O6" i="71"/>
  <c r="O7" i="71"/>
  <c r="O8" i="71"/>
  <c r="O9" i="71"/>
  <c r="O10" i="71"/>
  <c r="O11" i="71"/>
  <c r="O12" i="71"/>
  <c r="O13" i="71"/>
  <c r="O14" i="71"/>
  <c r="O15" i="71"/>
  <c r="O16" i="71"/>
  <c r="O17" i="71"/>
  <c r="O18" i="71"/>
  <c r="O19" i="71"/>
  <c r="Y3" i="71"/>
  <c r="Z3" i="71"/>
  <c r="K5" i="71"/>
  <c r="K4" i="71"/>
  <c r="P4" i="71"/>
  <c r="P5" i="71"/>
  <c r="P6" i="71"/>
  <c r="P7" i="71"/>
  <c r="P8" i="71"/>
  <c r="P9" i="71"/>
  <c r="P10" i="71"/>
  <c r="P11" i="71"/>
  <c r="P12" i="71"/>
  <c r="P13" i="71"/>
  <c r="P14" i="71"/>
  <c r="P15" i="71"/>
  <c r="P16" i="71"/>
  <c r="P17" i="71"/>
  <c r="P18" i="71"/>
  <c r="P19" i="71"/>
  <c r="AA3" i="71"/>
  <c r="L5" i="71"/>
  <c r="L4" i="71"/>
  <c r="Q4" i="71"/>
  <c r="Q5" i="71"/>
  <c r="Q6" i="71"/>
  <c r="Q7" i="71"/>
  <c r="Q8" i="71"/>
  <c r="Q9" i="71"/>
  <c r="Q10" i="71"/>
  <c r="Q11" i="71"/>
  <c r="Q12" i="71"/>
  <c r="Q13" i="71"/>
  <c r="Q14" i="71"/>
  <c r="Q15" i="71"/>
  <c r="Q16" i="71"/>
  <c r="Q17" i="71"/>
  <c r="Q18" i="71"/>
  <c r="Q19" i="71"/>
  <c r="AB3" i="71"/>
  <c r="X4" i="71"/>
  <c r="Y4" i="71"/>
  <c r="Z4" i="71"/>
  <c r="AA4" i="71"/>
  <c r="AB4"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C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E22" i="43"/>
  <c r="G22" i="43"/>
  <c r="F22" i="43"/>
  <c r="H22" i="43"/>
  <c r="D22" i="43"/>
  <c r="C21" i="43"/>
  <c r="D48" i="43"/>
  <c r="N2" i="43"/>
  <c r="F48" i="43"/>
  <c r="H49" i="43"/>
  <c r="G49" i="43"/>
  <c r="K49" i="43"/>
  <c r="D49" i="43"/>
  <c r="H50" i="43"/>
  <c r="G50" i="43"/>
  <c r="K50" i="43"/>
  <c r="D50" i="43"/>
  <c r="D51" i="43"/>
  <c r="H52" i="43"/>
  <c r="G52" i="43"/>
  <c r="M52" i="43"/>
  <c r="D52" i="43"/>
  <c r="H53" i="43"/>
  <c r="G53" i="43"/>
  <c r="K53" i="43"/>
  <c r="D53" i="43"/>
  <c r="H54" i="43"/>
  <c r="G54" i="43"/>
  <c r="K54" i="43"/>
  <c r="D54" i="43"/>
  <c r="H55" i="43"/>
  <c r="G55" i="43"/>
  <c r="K55" i="43"/>
  <c r="D55" i="43"/>
  <c r="H56" i="43"/>
  <c r="G56" i="43"/>
  <c r="K56" i="43"/>
  <c r="D56" i="43"/>
  <c r="E48" i="43"/>
  <c r="B46" i="43"/>
  <c r="C24" i="43"/>
  <c r="D29" i="43"/>
  <c r="D5" i="43"/>
  <c r="F33" i="43"/>
  <c r="F34" i="43"/>
  <c r="F35" i="43"/>
  <c r="F36" i="43"/>
  <c r="F37" i="43"/>
  <c r="F38" i="43"/>
  <c r="F39" i="43"/>
  <c r="AH4" i="71"/>
  <c r="AG4" i="71"/>
  <c r="AE4" i="71"/>
  <c r="AF4" i="71"/>
  <c r="AD4" i="71"/>
  <c r="H51" i="43"/>
  <c r="G51" i="43"/>
  <c r="H48" i="43"/>
  <c r="G48" i="43"/>
  <c r="K8" i="81"/>
  <c r="H29" i="81"/>
  <c r="K5" i="81"/>
  <c r="G30"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A8" i="1"/>
  <c r="A9" i="1"/>
  <c r="G1" i="78"/>
  <c r="K9" i="1"/>
  <c r="M9" i="1"/>
  <c r="S9" i="1"/>
  <c r="T9" i="1"/>
  <c r="BB10" i="3"/>
  <c r="BB5" i="3"/>
  <c r="BC10" i="3"/>
  <c r="BD10" i="3"/>
  <c r="BE10" i="3"/>
  <c r="BF10" i="3"/>
  <c r="BG10" i="3"/>
  <c r="BH10" i="3"/>
  <c r="BI10" i="3"/>
  <c r="BJ10" i="3"/>
  <c r="BK10" i="3"/>
  <c r="BC5" i="3"/>
  <c r="BD5" i="3"/>
  <c r="BE5" i="3"/>
  <c r="BF5" i="3"/>
  <c r="BG5" i="3"/>
  <c r="BH5" i="3"/>
  <c r="BI5" i="3"/>
  <c r="BJ5" i="3"/>
  <c r="BK5" i="3"/>
  <c r="E8" i="6"/>
  <c r="F27" i="6"/>
  <c r="K8" i="1"/>
  <c r="M8" i="1"/>
  <c r="S8" i="1"/>
  <c r="T8"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9" i="1"/>
  <c r="R8" i="1"/>
  <c r="F35" i="78"/>
  <c r="C34" i="78"/>
  <c r="C31" i="78"/>
  <c r="F36" i="78"/>
  <c r="C36" i="78"/>
  <c r="F37" i="78"/>
  <c r="C37" i="78"/>
  <c r="F38" i="78"/>
  <c r="C38" i="78"/>
  <c r="C30" i="78"/>
  <c r="C39" i="78"/>
  <c r="F42" i="78"/>
  <c r="F40" i="78"/>
  <c r="AE9" i="1"/>
  <c r="AE8" i="1"/>
  <c r="F41" i="78"/>
  <c r="C40" i="78"/>
  <c r="C83" i="78"/>
  <c r="C82" i="78"/>
  <c r="C76" i="78"/>
  <c r="C75" i="78"/>
  <c r="C80" i="78"/>
  <c r="C79" i="78"/>
  <c r="M6" i="78"/>
  <c r="M8" i="78"/>
  <c r="M7" i="78"/>
  <c r="M9" i="78"/>
  <c r="J6" i="78"/>
  <c r="M11" i="78"/>
  <c r="J10" i="78"/>
  <c r="J5" i="78"/>
  <c r="J26" i="78"/>
  <c r="J29" i="78"/>
  <c r="Q65" i="78"/>
  <c r="M47" i="78"/>
  <c r="F9" i="1"/>
  <c r="F8" i="1"/>
  <c r="L48" i="78"/>
  <c r="J50" i="78"/>
  <c r="J51" i="78"/>
  <c r="L51" i="78"/>
  <c r="L57" i="78"/>
  <c r="D9"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M19" i="9"/>
  <c r="C118" i="9"/>
  <c r="C14" i="74"/>
  <c r="M18" i="9"/>
  <c r="B118" i="9"/>
  <c r="B14" i="74"/>
  <c r="B8" i="71"/>
  <c r="B7" i="71"/>
  <c r="B6" i="71"/>
  <c r="B5" i="71"/>
  <c r="B4" i="71"/>
  <c r="F8" i="71"/>
  <c r="F7" i="71"/>
  <c r="F6" i="71"/>
  <c r="F5" i="71"/>
  <c r="F4" i="71"/>
  <c r="E8" i="71"/>
  <c r="E7" i="71"/>
  <c r="E6" i="71"/>
  <c r="E5" i="71"/>
  <c r="E4" i="71"/>
  <c r="C8" i="71"/>
  <c r="C7" i="71"/>
  <c r="C6"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C18" i="71"/>
  <c r="C19" i="71"/>
  <c r="C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F18" i="71"/>
  <c r="F19" i="71"/>
  <c r="F20" i="71"/>
  <c r="V20" i="71"/>
  <c r="D17" i="71"/>
  <c r="F14" i="71"/>
  <c r="F15" i="71"/>
  <c r="F16" i="71"/>
  <c r="V16" i="71"/>
  <c r="D13" i="71"/>
  <c r="F10" i="71"/>
  <c r="F11" i="71"/>
  <c r="F12" i="71"/>
  <c r="V12" i="71"/>
  <c r="D9" i="71"/>
  <c r="B10" i="71"/>
  <c r="B11" i="71"/>
  <c r="B12" i="71"/>
  <c r="S12" i="71"/>
  <c r="E10" i="71"/>
  <c r="E11" i="71"/>
  <c r="E12" i="71"/>
  <c r="U12" i="71"/>
  <c r="B14" i="71"/>
  <c r="B15" i="71"/>
  <c r="B16" i="71"/>
  <c r="S16" i="71"/>
  <c r="B18" i="71"/>
  <c r="B19" i="71"/>
  <c r="B20" i="71"/>
  <c r="S20" i="71"/>
  <c r="E18" i="71"/>
  <c r="E19" i="71"/>
  <c r="E20" i="71"/>
  <c r="U20" i="71"/>
  <c r="N48" i="71"/>
  <c r="E14" i="71"/>
  <c r="E15" i="71"/>
  <c r="E16" i="71"/>
  <c r="U16" i="71"/>
  <c r="C10" i="71"/>
  <c r="C14" i="71"/>
  <c r="C15" i="71"/>
  <c r="F31" i="71"/>
  <c r="F32" i="71"/>
  <c r="V32" i="71"/>
  <c r="C11" i="71"/>
  <c r="D10" i="71"/>
  <c r="D14"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N52" i="43"/>
  <c r="K52" i="43"/>
  <c r="J52" i="43"/>
  <c r="M51" i="43"/>
  <c r="N51" i="43"/>
  <c r="K51" i="43"/>
  <c r="J51" i="43"/>
  <c r="M50" i="43"/>
  <c r="N50" i="43"/>
  <c r="J50" i="43"/>
  <c r="M49" i="43"/>
  <c r="N49" i="43"/>
  <c r="J49" i="43"/>
  <c r="M48" i="43"/>
  <c r="N48" i="43"/>
  <c r="K48" i="43"/>
  <c r="J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N17"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BO5" i="3"/>
  <c r="BM5" i="3"/>
  <c r="F29" i="6"/>
  <c r="BP5" i="3"/>
  <c r="BN5" i="3"/>
  <c r="U36" i="40"/>
  <c r="N4" i="43"/>
  <c r="F81" i="43"/>
  <c r="H83" i="43"/>
  <c r="H113"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76" i="43"/>
  <c r="H72" i="43"/>
  <c r="H77" i="43"/>
  <c r="E62" i="39"/>
  <c r="E56" i="39"/>
  <c r="E51" i="40"/>
  <c r="B6" i="1"/>
  <c r="E6" i="1"/>
  <c r="K21" i="6"/>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8" i="49"/>
  <c r="E4" i="4"/>
  <c r="B13" i="49"/>
  <c r="E16" i="49"/>
  <c r="B11" i="49"/>
  <c r="E8" i="49"/>
  <c r="E21" i="49"/>
  <c r="E10" i="49"/>
  <c r="E9" i="49"/>
  <c r="E5" i="49"/>
  <c r="B6" i="49"/>
  <c r="B4"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T7" i="1"/>
  <c r="AR7" i="1"/>
  <c r="L59" i="15"/>
  <c r="Q74" i="15"/>
  <c r="C30" i="11"/>
  <c r="E6" i="70"/>
  <c r="K27" i="6"/>
  <c r="A18" i="62"/>
  <c r="B64" i="72"/>
  <c r="B1" i="74"/>
  <c r="D3" i="34"/>
  <c r="D3" i="21"/>
  <c r="D3" i="33"/>
  <c r="G33" i="43"/>
  <c r="I33"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0" i="68"/>
  <c r="C12" i="12"/>
  <c r="C15" i="1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E2" i="68"/>
  <c r="C19" i="9"/>
  <c r="D2" i="36"/>
  <c r="D2" i="21"/>
  <c r="D2" i="34"/>
  <c r="D2" i="33"/>
  <c r="D2" i="37"/>
  <c r="D2" i="35"/>
  <c r="F20" i="31"/>
  <c r="B20" i="31"/>
  <c r="B2" i="36"/>
  <c r="B3" i="36"/>
  <c r="B2" i="35"/>
  <c r="B3" i="35"/>
  <c r="B2" i="37"/>
  <c r="B3" i="37"/>
  <c r="B2" i="34"/>
  <c r="B3" i="34"/>
  <c r="B2" i="21"/>
  <c r="B3" i="21"/>
  <c r="C102" i="9"/>
  <c r="C21" i="9"/>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JERRY DOU</author>
  </authors>
  <commentList>
    <comment ref="E14" authorId="0">
      <text>
        <r>
          <rPr>
            <sz val="9"/>
            <rFont val="宋体"/>
            <family val="3"/>
            <charset val="134"/>
          </rPr>
          <t>Administrator:
流水倒扣</t>
        </r>
      </text>
    </comment>
    <comment ref="F20" authorId="0">
      <text>
        <r>
          <rPr>
            <sz val="9"/>
            <rFont val="宋体"/>
            <family val="3"/>
            <charset val="134"/>
          </rPr>
          <t>Xu Ye:
2013.3.20张林杰转让给北京神山圣湖林杰摄影工作室</t>
        </r>
      </text>
    </comment>
    <comment ref="D26" authorId="0">
      <text>
        <r>
          <rPr>
            <sz val="9"/>
            <rFont val="宋体"/>
            <family val="3"/>
            <charset val="134"/>
          </rPr>
          <t>新签商户2014年1月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<sst xmlns="http://schemas.openxmlformats.org/spreadsheetml/2006/main" count="8982" uniqueCount="3211">
  <si>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</si>
  <si>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</si>
  <si>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</si>
  <si>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</si>
  <si>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</si>
  <si>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</si>
  <si>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</si>
  <si>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</si>
  <si>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</si>
  <si>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</si>
  <si>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</si>
  <si>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</si>
  <si>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</si>
  <si>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</si>
  <si>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</si>
  <si>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</si>
  <si>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</si>
  <si>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</si>
  <si>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</si>
  <si>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</si>
  <si>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</si>
  <si>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</si>
  <si>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</si>
  <si>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</si>
  <si>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</si>
  <si>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</si>
  <si>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</si>
  <si>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</si>
  <si>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</si>
  <si>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</si>
  <si>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</si>
  <si>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</si>
  <si>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</si>
  <si>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</si>
  <si>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</si>
  <si>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</si>
  <si>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</si>
  <si>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</si>
  <si>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</si>
  <si>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</si>
  <si>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</si>
  <si>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</si>
  <si>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</si>
  <si>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</si>
  <si>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</si>
  <si>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</si>
  <si>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</si>
  <si>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</si>
  <si>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</si>
  <si>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</si>
  <si>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</si>
  <si>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</si>
  <si>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</si>
  <si>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</si>
  <si>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</si>
  <si>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</si>
  <si>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</si>
  <si>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</si>
  <si>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</si>
  <si>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</si>
  <si>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</si>
  <si>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</si>
  <si>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</si>
  <si>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</si>
  <si>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</si>
  <si>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</si>
  <si>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</si>
  <si>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</si>
  <si>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</si>
  <si>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</si>
  <si>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</si>
  <si>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</si>
  <si>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</si>
  <si>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</si>
  <si>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</si>
  <si>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</si>
  <si>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</si>
  <si>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</si>
  <si>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</si>
  <si>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</si>
  <si>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</si>
  <si>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</si>
  <si>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</si>
  <si>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</si>
  <si>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</si>
  <si>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</si>
  <si>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</si>
  <si>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</si>
  <si>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</si>
  <si>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</si>
  <si>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</si>
  <si>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</si>
  <si>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</si>
  <si>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</si>
  <si>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</si>
  <si>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</si>
  <si>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</si>
  <si>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</si>
  <si>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</si>
  <si>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</si>
  <si>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</si>
  <si>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</si>
  <si>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</si>
  <si>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</si>
  <si>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</si>
  <si>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</si>
  <si>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</si>
  <si>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</si>
  <si>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</si>
  <si>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</si>
  <si>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</si>
  <si>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</si>
  <si>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</si>
  <si>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</si>
  <si>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</si>
  <si>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</si>
  <si>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</si>
  <si>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</si>
  <si>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</si>
  <si>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</si>
  <si>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</si>
  <si>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</si>
  <si>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</si>
  <si>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</si>
  <si>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</si>
  <si>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</si>
  <si>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</si>
  <si>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</si>
  <si>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</si>
  <si>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</si>
  <si>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</si>
  <si>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</si>
  <si>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</si>
  <si>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</si>
  <si>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</si>
  <si>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</si>
  <si>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</si>
  <si>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</si>
  <si>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</si>
  <si>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</si>
  <si>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</si>
  <si>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</si>
  <si>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</si>
  <si>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</si>
  <si>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</si>
  <si>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</si>
  <si>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</si>
  <si>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</si>
  <si>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</si>
  <si>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</si>
  <si>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</si>
  <si>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</si>
  <si>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</si>
  <si>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</si>
  <si>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</si>
  <si>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</si>
  <si>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</si>
  <si>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</si>
  <si>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</si>
  <si>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</si>
  <si>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</si>
  <si>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</si>
  <si>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</si>
  <si>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</si>
  <si>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</si>
  <si>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</si>
  <si>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</si>
  <si>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</si>
  <si>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</si>
  <si>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</si>
  <si>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</si>
  <si>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</si>
  <si>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</si>
  <si>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</si>
  <si>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</si>
  <si>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</si>
  <si>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</si>
  <si>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</si>
  <si>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</si>
  <si>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</si>
  <si>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</si>
  <si>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</si>
  <si>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</si>
  <si>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</si>
  <si>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</si>
  <si>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</si>
  <si>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</si>
  <si>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</si>
  <si>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</si>
  <si>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</si>
  <si>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</si>
  <si>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</si>
  <si>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</si>
  <si>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</si>
  <si>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</si>
  <si>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</si>
  <si>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</si>
  <si>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</si>
  <si>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</si>
  <si>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</si>
  <si>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</si>
  <si>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</si>
  <si>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</si>
  <si>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</si>
  <si>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</si>
  <si>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</si>
  <si>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</si>
  <si>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</si>
  <si>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</si>
  <si>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</si>
  <si>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</si>
  <si>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</si>
  <si>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</si>
  <si>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</si>
  <si>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</si>
  <si>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</si>
  <si>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</si>
  <si>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</si>
  <si>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</si>
  <si>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</si>
  <si>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</si>
  <si>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</si>
  <si>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</si>
  <si>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</si>
  <si>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</si>
  <si>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</si>
  <si>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</si>
  <si>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</si>
  <si>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</si>
  <si>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</si>
  <si>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</si>
  <si>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</si>
  <si>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</si>
  <si>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</si>
  <si>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</si>
  <si>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</si>
  <si>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</si>
  <si>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</si>
  <si>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</si>
  <si>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</si>
  <si>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</si>
  <si>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</si>
  <si>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</si>
  <si>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</si>
  <si>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</si>
  <si>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</si>
  <si>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</si>
  <si>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</si>
  <si>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</si>
  <si>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</si>
  <si>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</si>
  <si>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</si>
  <si>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</si>
  <si>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</si>
  <si>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</si>
  <si>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</si>
  <si>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</si>
  <si>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</si>
  <si>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</si>
  <si>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</si>
  <si>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</si>
  <si>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</si>
  <si>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</si>
  <si>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</si>
  <si>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</si>
  <si>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</si>
  <si>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</si>
  <si>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</si>
  <si>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</si>
  <si>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</si>
  <si>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</si>
  <si>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</si>
  <si>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</si>
  <si>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</si>
  <si>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</si>
  <si>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</si>
  <si>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</si>
  <si>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</si>
  <si>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</si>
  <si>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</si>
  <si>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</si>
  <si>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</si>
  <si>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</si>
  <si>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</si>
  <si>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</si>
  <si>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</si>
  <si>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</si>
  <si>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</si>
  <si>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</si>
  <si>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</si>
  <si>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</si>
  <si>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</si>
  <si>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</si>
  <si>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</si>
  <si>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</si>
  <si>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</si>
  <si>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</si>
  <si>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</si>
  <si>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</si>
  <si>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</si>
  <si>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</si>
  <si>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</si>
  <si>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</si>
  <si>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</si>
  <si>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</si>
  <si>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</si>
  <si>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</si>
  <si>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</si>
  <si>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</si>
  <si>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</si>
  <si>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</si>
  <si>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</si>
  <si>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</si>
  <si>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</si>
  <si>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</si>
  <si>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</si>
  <si>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</si>
  <si>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</si>
  <si>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</si>
  <si>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</si>
  <si>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</si>
  <si>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</si>
  <si>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</si>
  <si>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</si>
  <si>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</si>
  <si>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</si>
  <si>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</si>
  <si>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</si>
  <si>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</si>
  <si>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</si>
  <si>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</si>
  <si>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</si>
  <si>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</si>
  <si>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</si>
  <si>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</si>
  <si>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</si>
  <si>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</si>
  <si>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</si>
  <si>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</si>
  <si>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</si>
  <si>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</si>
  <si>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</si>
  <si>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</si>
  <si>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</si>
  <si>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</si>
  <si>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</si>
  <si>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</si>
  <si>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</si>
  <si>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</si>
  <si>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</si>
  <si>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</si>
  <si>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</si>
  <si>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</si>
  <si>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</si>
  <si>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</si>
  <si>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</si>
  <si>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</si>
  <si>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</si>
  <si>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</si>
  <si>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</si>
  <si>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</si>
  <si>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</si>
  <si>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</si>
  <si>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</si>
  <si>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</si>
  <si>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</si>
  <si>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</si>
  <si>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</si>
  <si>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</si>
  <si>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</si>
  <si>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</si>
  <si>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</si>
  <si>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</si>
  <si>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</si>
  <si>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</si>
  <si>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</si>
  <si>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</si>
  <si>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</si>
  <si>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</si>
  <si>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</si>
  <si>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</si>
  <si>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</si>
  <si>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</si>
  <si>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</si>
  <si>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</si>
  <si>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</si>
  <si>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</si>
  <si>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</si>
  <si>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</si>
  <si>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</si>
  <si>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</si>
  <si>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</si>
  <si>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</si>
  <si>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</si>
  <si>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</si>
  <si>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</si>
  <si>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</si>
  <si>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</si>
  <si>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</si>
  <si>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</si>
  <si>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</si>
  <si>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</si>
  <si>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</si>
  <si>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</si>
  <si>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</si>
  <si>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</si>
  <si>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</si>
  <si>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</si>
  <si>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</si>
  <si>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</si>
  <si>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</si>
  <si>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</si>
  <si>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</si>
  <si>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</si>
  <si>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</si>
  <si>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</si>
  <si>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</si>
  <si>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</si>
  <si>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</si>
  <si>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</si>
  <si>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</si>
  <si>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</si>
  <si>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</si>
  <si>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</si>
  <si>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</si>
  <si>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</si>
  <si>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</si>
  <si>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</si>
  <si>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</si>
  <si>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</si>
  <si>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</si>
  <si>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</si>
  <si>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</si>
  <si>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</si>
  <si>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</si>
  <si>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</si>
  <si>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</si>
  <si>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</si>
  <si>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</si>
  <si>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</si>
  <si>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</si>
  <si>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</si>
  <si>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</si>
  <si>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</si>
  <si>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</si>
  <si>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</si>
  <si>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</si>
  <si>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</si>
  <si>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</si>
  <si>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</si>
  <si>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</si>
  <si>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</si>
  <si>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</si>
  <si>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</si>
  <si>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</si>
  <si>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</si>
  <si>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</si>
  <si>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</si>
  <si>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</si>
  <si>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</si>
  <si>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</si>
  <si>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</si>
  <si>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</si>
  <si>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</si>
  <si>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</si>
  <si>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</si>
  <si>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</si>
  <si>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</si>
  <si>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</si>
  <si>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</si>
  <si>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</si>
  <si>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</si>
  <si>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</si>
  <si>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</si>
  <si>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</si>
  <si>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</si>
  <si>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</si>
  <si>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</si>
  <si>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</si>
  <si>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</si>
  <si>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</si>
  <si>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</si>
  <si>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</si>
  <si>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</si>
  <si>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</si>
  <si>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</si>
  <si>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</si>
  <si>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</si>
  <si>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</si>
  <si>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</si>
  <si>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</si>
  <si>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</si>
  <si>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</si>
  <si>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</si>
  <si>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</si>
  <si>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</si>
  <si>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</si>
  <si>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</si>
  <si>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</si>
  <si>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</si>
  <si>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</si>
  <si>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</si>
  <si>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</si>
  <si>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</si>
  <si>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</si>
  <si>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</si>
  <si>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</si>
  <si>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</si>
  <si>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</si>
  <si>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</si>
  <si>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</si>
  <si>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</si>
  <si>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</si>
  <si>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</si>
  <si>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</si>
  <si>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</si>
  <si>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</si>
  <si>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</si>
  <si>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</si>
  <si>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</si>
  <si>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</si>
  <si>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</si>
  <si>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</si>
  <si>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</si>
  <si>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</si>
  <si>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</si>
  <si>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</si>
  <si>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</si>
  <si>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</si>
  <si>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</si>
  <si>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</si>
  <si>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</si>
  <si>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</si>
  <si>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</si>
  <si>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</si>
  <si>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</si>
  <si>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</si>
  <si>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</si>
  <si>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</si>
  <si>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</si>
  <si>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</si>
  <si>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</si>
  <si>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</si>
  <si>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</si>
  <si>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</si>
  <si>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</si>
  <si>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</si>
  <si>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</si>
  <si>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</si>
  <si>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</si>
  <si>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</si>
  <si>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</si>
  <si>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</si>
  <si>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</si>
  <si>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</si>
  <si>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</si>
  <si>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</si>
  <si>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</si>
  <si>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</si>
  <si>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</si>
  <si>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</si>
  <si>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</si>
  <si>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</si>
  <si>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</si>
  <si>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</si>
  <si>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</si>
  <si>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</si>
  <si>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</si>
  <si>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</si>
  <si>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</si>
  <si>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</si>
  <si>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</si>
  <si>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</si>
  <si>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</si>
  <si>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</si>
  <si>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</si>
  <si>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</si>
  <si>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</si>
  <si>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</si>
  <si>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</si>
  <si>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</si>
  <si>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</si>
  <si>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</si>
  <si>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</si>
  <si>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</si>
  <si>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</si>
  <si>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</si>
  <si>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</si>
  <si>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</si>
  <si>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</si>
  <si>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</si>
  <si>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</si>
  <si>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</si>
  <si>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</si>
  <si>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</si>
  <si>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</si>
  <si>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</si>
  <si>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</si>
  <si>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</si>
  <si>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</si>
  <si>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</si>
  <si>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</si>
  <si>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</si>
  <si>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</si>
  <si>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</si>
  <si>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</si>
  <si>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</si>
  <si>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</si>
  <si>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</si>
  <si>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</si>
  <si>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</si>
  <si>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</si>
  <si>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</si>
  <si>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</si>
  <si>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</si>
  <si>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</si>
  <si>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</si>
  <si>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</si>
  <si>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</si>
  <si>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</si>
  <si>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</si>
  <si>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</si>
  <si>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</si>
  <si>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</si>
  <si>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</si>
  <si>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</si>
  <si>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</si>
  <si>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</si>
  <si>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</si>
  <si>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</si>
  <si>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</si>
  <si>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</si>
  <si>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</si>
  <si>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</si>
  <si>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</si>
  <si>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</si>
  <si>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</si>
  <si>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</si>
  <si>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</si>
  <si>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</si>
  <si>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</si>
  <si>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</si>
  <si>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</si>
  <si>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</si>
  <si>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</si>
  <si>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</si>
  <si>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</si>
  <si>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</si>
  <si>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</si>
  <si>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</si>
  <si>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</si>
  <si>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</si>
  <si>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</si>
  <si>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</si>
  <si>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</si>
  <si>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</si>
  <si>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</si>
  <si>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</si>
  <si>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</si>
  <si>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</si>
  <si>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</si>
  <si>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</si>
  <si>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</si>
  <si>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</si>
  <si>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</si>
  <si>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</si>
  <si>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</si>
  <si>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</si>
  <si>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</si>
  <si>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</si>
  <si>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</si>
  <si>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</si>
  <si>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</si>
  <si>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</si>
  <si>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</si>
  <si>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</si>
  <si>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</si>
  <si>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</si>
  <si>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</si>
  <si>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</si>
  <si>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</si>
  <si>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</si>
  <si>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</si>
  <si>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</si>
  <si>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</si>
  <si>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</si>
  <si>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</si>
  <si>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</si>
  <si>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</si>
  <si>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</si>
  <si>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</si>
  <si>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</si>
  <si>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</si>
  <si>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</si>
  <si>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</si>
  <si>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</si>
  <si>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</si>
  <si>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</si>
  <si>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</si>
  <si>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</si>
  <si>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</si>
  <si>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</si>
  <si>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</si>
  <si>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</si>
  <si>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</si>
  <si>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</si>
  <si>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</si>
  <si>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</si>
  <si>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</si>
  <si>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</si>
  <si>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</si>
  <si>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</si>
  <si>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</si>
  <si>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</si>
  <si>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</si>
  <si>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</si>
  <si>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</si>
  <si>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</si>
  <si>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</si>
  <si>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</si>
  <si>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</si>
  <si>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</si>
  <si>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</si>
  <si>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</si>
  <si>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</si>
  <si>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</si>
  <si>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</si>
  <si>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</si>
  <si>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</si>
  <si>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</si>
  <si>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</si>
  <si>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</si>
  <si>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</si>
  <si>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</si>
  <si>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</si>
  <si>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</si>
  <si>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</si>
  <si>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</si>
  <si>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</si>
  <si>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</si>
  <si>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</si>
  <si>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</si>
  <si>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</si>
  <si>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</si>
  <si>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</si>
  <si>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</si>
  <si>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</si>
  <si>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</si>
  <si>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</si>
  <si>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</si>
  <si>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</si>
  <si>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</si>
  <si>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</si>
  <si>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</si>
  <si>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</si>
  <si>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</si>
  <si>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</si>
  <si>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</si>
  <si>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</si>
  <si>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</si>
  <si>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</si>
  <si>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</si>
  <si>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</si>
  <si>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</si>
  <si>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</si>
  <si>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</si>
  <si>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</si>
  <si>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</si>
  <si>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</si>
  <si>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</si>
  <si>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</si>
  <si>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</si>
  <si>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</si>
  <si>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</si>
  <si>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</si>
  <si>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</si>
  <si>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</si>
  <si>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</si>
  <si>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</si>
  <si>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</si>
  <si>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</si>
  <si>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</si>
  <si>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</si>
  <si>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</si>
  <si>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</si>
  <si>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</si>
  <si>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</si>
  <si>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</si>
  <si>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</si>
  <si>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</si>
  <si>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</si>
  <si>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</si>
  <si>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</si>
  <si>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</si>
  <si>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</si>
  <si>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</si>
  <si>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</si>
  <si>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</si>
  <si>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</si>
  <si>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</si>
  <si>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</si>
  <si>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</si>
  <si>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</si>
  <si>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</si>
  <si>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</si>
  <si>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</si>
  <si>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</si>
  <si>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</si>
  <si>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</si>
  <si>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</si>
  <si>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</si>
  <si>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</si>
  <si>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</si>
  <si>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</si>
  <si>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</si>
  <si>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</si>
  <si>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</si>
  <si>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</si>
  <si>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</si>
  <si>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</si>
  <si>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</si>
  <si>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</si>
  <si>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</si>
  <si>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</si>
  <si>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</si>
  <si>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</si>
  <si>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</si>
  <si>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</si>
  <si>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</si>
  <si>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</si>
  <si>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</si>
  <si>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</si>
  <si>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</si>
  <si>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</si>
  <si>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</si>
  <si>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</si>
  <si>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</si>
  <si>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</si>
  <si>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</si>
  <si>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</si>
  <si>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</si>
  <si>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</si>
  <si>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</si>
  <si>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</si>
  <si>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</si>
  <si>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</si>
  <si>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</si>
  <si>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</si>
  <si>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</si>
  <si>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</si>
  <si>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</si>
  <si>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</si>
  <si>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</si>
  <si>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</si>
  <si>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</si>
  <si>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</si>
  <si>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</si>
  <si>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</si>
  <si>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</si>
  <si>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</si>
  <si>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</si>
  <si>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</si>
  <si>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</si>
  <si>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</si>
  <si>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</si>
  <si>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</si>
  <si>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</si>
  <si>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</si>
  <si>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</si>
  <si>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</si>
  <si>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</si>
  <si>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</si>
  <si>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</si>
  <si>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</si>
  <si>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</si>
  <si>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</si>
  <si>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</si>
  <si>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</si>
  <si>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</si>
  <si>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</si>
  <si>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</si>
  <si>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</si>
  <si>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</si>
  <si>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</si>
  <si>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</si>
  <si>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</si>
  <si>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</si>
  <si>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</si>
  <si>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</si>
  <si>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</si>
  <si>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</si>
  <si>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</si>
  <si>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</si>
  <si>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</si>
  <si>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</si>
  <si>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</si>
  <si>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</si>
  <si>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</si>
  <si>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</si>
  <si>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</si>
  <si>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</si>
  <si>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</si>
  <si>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</si>
  <si>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</si>
  <si>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</si>
  <si>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</si>
  <si>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</si>
  <si>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</si>
  <si>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</si>
  <si>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</si>
  <si>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</si>
  <si>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</si>
  <si>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</si>
  <si>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</si>
  <si>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</si>
  <si>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</si>
  <si>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</si>
  <si>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</si>
  <si>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</si>
  <si>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</si>
  <si>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</si>
  <si>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</si>
  <si>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</si>
  <si>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</si>
  <si>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</si>
  <si>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</si>
  <si>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</si>
  <si>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</si>
  <si>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</si>
  <si>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</si>
  <si>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</si>
  <si>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</si>
  <si>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</si>
  <si>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</si>
  <si>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</si>
  <si>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</si>
  <si>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</si>
  <si>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</si>
  <si>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</si>
  <si>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</si>
  <si>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</si>
  <si>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</si>
  <si>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</si>
  <si>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</si>
  <si>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</si>
  <si>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</si>
  <si>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</si>
  <si>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</si>
  <si>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</si>
  <si>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</si>
  <si>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</si>
  <si>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</si>
  <si>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</si>
  <si>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</si>
  <si>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</si>
  <si>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</si>
  <si>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</si>
  <si>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</si>
  <si>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</si>
  <si>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</si>
  <si>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</si>
  <si>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</si>
  <si>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</si>
  <si>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</si>
  <si>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</si>
  <si>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</si>
  <si>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</si>
  <si>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</si>
  <si>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</si>
  <si>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</si>
  <si>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</si>
  <si>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</si>
  <si>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</si>
  <si>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</si>
  <si>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</si>
  <si>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</si>
  <si>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</si>
  <si>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</si>
  <si>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</si>
  <si>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</si>
  <si>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</si>
  <si>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</si>
  <si>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</si>
  <si>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</si>
  <si>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</si>
  <si>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</si>
  <si>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</si>
  <si>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</si>
  <si>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</si>
  <si>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</si>
  <si>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</si>
  <si>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</si>
  <si>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</si>
  <si>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</si>
  <si>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</si>
  <si>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</si>
  <si>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</si>
  <si>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</si>
  <si>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</si>
  <si>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</si>
  <si>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</si>
  <si>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</si>
  <si>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</si>
  <si>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</si>
  <si>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</si>
  <si>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</si>
  <si>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</si>
  <si>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</si>
  <si>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</si>
  <si>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</si>
  <si>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</si>
  <si>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</si>
  <si>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</si>
  <si>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</si>
  <si>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</si>
  <si>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</si>
  <si>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</si>
  <si>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</si>
  <si>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</si>
  <si>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</si>
  <si>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</si>
  <si>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</si>
  <si>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</si>
  <si>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</si>
  <si>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</si>
  <si>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</si>
  <si>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</si>
  <si>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</si>
  <si>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</si>
  <si>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</si>
  <si>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</si>
  <si>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</si>
  <si>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</si>
  <si>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</si>
  <si>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</si>
  <si>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</si>
  <si>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</si>
  <si>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</si>
  <si>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</si>
  <si>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</si>
  <si>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</si>
  <si>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</si>
  <si>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</si>
  <si>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</si>
  <si>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</si>
  <si>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</si>
  <si>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</si>
  <si>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</si>
  <si>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</si>
  <si>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</si>
  <si>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</si>
  <si>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</si>
  <si>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</si>
  <si>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</si>
  <si>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</si>
  <si>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</si>
  <si>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</si>
  <si>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</si>
  <si>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</si>
  <si>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</si>
  <si>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</si>
  <si>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</si>
  <si>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</si>
  <si>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</si>
  <si>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</si>
  <si>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</si>
  <si>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</si>
  <si>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</si>
  <si>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</si>
  <si>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</si>
  <si>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</si>
  <si>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</si>
  <si>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</si>
  <si>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</si>
  <si>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</si>
  <si>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</si>
  <si>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</si>
  <si>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</si>
  <si>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</si>
  <si>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</si>
  <si>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</si>
  <si>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</si>
  <si>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</si>
  <si>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</si>
  <si>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</si>
  <si>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</si>
  <si>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</si>
  <si>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</si>
  <si>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</si>
  <si>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</si>
  <si>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</si>
  <si>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</si>
  <si>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</si>
  <si>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</si>
  <si>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</si>
  <si>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</si>
  <si>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</si>
  <si>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</si>
  <si>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</si>
  <si>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</si>
  <si>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</si>
  <si>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</si>
  <si>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</si>
  <si>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</si>
  <si>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</si>
  <si>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</si>
  <si>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</si>
  <si>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</si>
  <si>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</si>
  <si>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</si>
  <si>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</si>
  <si>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</si>
  <si>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</si>
  <si>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</si>
  <si>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</si>
  <si>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</si>
  <si>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</si>
  <si>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</si>
  <si>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</si>
  <si>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</si>
  <si>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</si>
  <si>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</si>
  <si>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</si>
  <si>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</si>
  <si>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</si>
  <si>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</si>
  <si>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</si>
  <si>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</si>
  <si>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</si>
  <si>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</si>
  <si>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</si>
  <si>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</si>
  <si>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</si>
  <si>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</si>
  <si>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</si>
  <si>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</si>
  <si>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</si>
  <si>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</si>
  <si>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</si>
  <si>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</si>
  <si>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</si>
  <si>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</si>
  <si>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</si>
  <si>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</si>
  <si>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</si>
  <si>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</si>
  <si>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</si>
  <si>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</si>
  <si>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</si>
  <si>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</si>
  <si>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</si>
  <si>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</si>
  <si>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</si>
  <si>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</si>
  <si>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</si>
  <si>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</si>
  <si>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</si>
  <si>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</si>
  <si>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</si>
  <si>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</si>
  <si>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</si>
  <si>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</si>
  <si>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</si>
  <si>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</si>
  <si>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</si>
  <si>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</si>
  <si>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</si>
  <si>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</si>
  <si>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</si>
  <si>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</si>
  <si>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</si>
  <si>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</si>
  <si>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</si>
  <si>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</si>
  <si>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</si>
  <si>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</si>
  <si>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</si>
  <si>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</si>
  <si>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</si>
  <si>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</si>
  <si>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</si>
  <si>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</si>
  <si>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</si>
  <si>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</si>
  <si>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</si>
  <si>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</si>
  <si>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</si>
  <si>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</si>
  <si>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</si>
  <si>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</si>
  <si>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</si>
  <si>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</si>
  <si>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</si>
  <si>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</si>
  <si>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</si>
  <si>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</si>
  <si>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</si>
  <si>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</si>
  <si>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</si>
  <si>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</si>
  <si>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</si>
  <si>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</si>
  <si>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</si>
  <si>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</si>
  <si>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</si>
  <si>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</si>
  <si>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</si>
  <si>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</si>
  <si>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</si>
  <si>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</si>
  <si>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</si>
  <si>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</si>
  <si>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</si>
  <si>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</si>
  <si>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</si>
  <si>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</si>
  <si>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</si>
  <si>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</si>
  <si>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</si>
  <si>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</si>
  <si>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</si>
  <si>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</si>
  <si>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</si>
  <si>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</si>
  <si>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</si>
  <si>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</si>
  <si>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</si>
  <si>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</si>
  <si>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</si>
  <si>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</si>
  <si>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</si>
  <si>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</si>
  <si>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</si>
  <si>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</si>
  <si>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</si>
  <si>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</si>
  <si>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</si>
  <si>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</si>
  <si>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</si>
  <si>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</si>
  <si>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</si>
  <si>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</si>
  <si>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</si>
  <si>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</si>
  <si>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</si>
  <si>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</si>
  <si>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</si>
  <si>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</si>
  <si>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</si>
  <si>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</si>
  <si>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</si>
  <si>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</si>
  <si>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</si>
  <si>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</si>
  <si>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</si>
  <si>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</si>
  <si>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</si>
  <si>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</si>
  <si>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</si>
  <si>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</si>
  <si>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</si>
  <si>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</si>
  <si>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</si>
  <si>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</si>
  <si>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</si>
  <si>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</si>
  <si>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</si>
  <si>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</si>
  <si>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</si>
  <si>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</si>
  <si>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</si>
  <si>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</si>
  <si>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</si>
  <si>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</si>
  <si>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</si>
  <si>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</si>
  <si>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</si>
  <si>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</si>
  <si>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</si>
  <si>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</si>
  <si>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</si>
  <si>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</si>
  <si>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</si>
  <si>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</si>
  <si>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</si>
  <si>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</si>
  <si>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</si>
  <si>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</si>
  <si>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</si>
  <si>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</si>
  <si>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</si>
  <si>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</si>
  <si>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</si>
  <si>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</si>
  <si>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</si>
  <si>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</si>
  <si>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</si>
  <si>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</si>
  <si>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</si>
  <si>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</si>
  <si>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</si>
  <si>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</si>
  <si>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</si>
  <si>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</si>
  <si>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</si>
  <si>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</si>
  <si>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</si>
  <si>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</si>
  <si>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</si>
  <si>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</si>
  <si>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</si>
  <si>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</si>
  <si>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</si>
  <si>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</si>
  <si>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</si>
  <si>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</si>
  <si>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</si>
  <si>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</si>
  <si>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</si>
  <si>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</si>
  <si>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</si>
  <si>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</si>
  <si>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</si>
  <si>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</si>
  <si>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</si>
  <si>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</si>
  <si>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</si>
  <si>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</si>
  <si>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</si>
  <si>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</si>
  <si>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</si>
  <si>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</si>
  <si>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</si>
  <si>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</si>
  <si>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</si>
  <si>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</si>
  <si>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</si>
  <si>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</si>
  <si>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</si>
  <si>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</si>
  <si>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</si>
  <si>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</si>
  <si>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</si>
  <si>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</si>
  <si>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</si>
  <si>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</si>
  <si>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</si>
  <si>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</si>
  <si>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</si>
  <si>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</si>
  <si>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</si>
  <si>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</si>
  <si>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</si>
  <si>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</si>
  <si>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</si>
  <si>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</si>
  <si>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</si>
  <si>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</si>
  <si>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</si>
  <si>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</si>
  <si>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</si>
  <si>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</si>
  <si>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</si>
  <si>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</si>
  <si>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</si>
  <si>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</si>
  <si>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</si>
  <si>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</si>
  <si>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</si>
  <si>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</si>
  <si>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</si>
  <si>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</si>
  <si>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</si>
  <si>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</si>
  <si>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</si>
  <si>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</si>
  <si>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</si>
  <si>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</si>
  <si>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</si>
  <si>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</si>
  <si>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</si>
  <si>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</si>
  <si>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</si>
  <si>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</si>
  <si>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</si>
  <si>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</si>
  <si>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</si>
  <si>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</si>
  <si>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</si>
  <si>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</si>
  <si>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</si>
  <si>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</si>
  <si>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</si>
  <si>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</si>
  <si>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</si>
  <si>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</si>
  <si>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</si>
  <si>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</si>
  <si>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</si>
  <si>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</si>
  <si>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</si>
  <si>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</si>
  <si>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</si>
  <si>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</si>
  <si>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</si>
  <si>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</si>
  <si>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</si>
  <si>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</si>
  <si>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</si>
  <si>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</si>
  <si>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</si>
  <si>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</si>
  <si>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</si>
  <si>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</si>
  <si>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</si>
  <si>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</si>
  <si>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</si>
  <si>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</si>
  <si>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</si>
  <si>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</si>
  <si>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</si>
  <si>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</si>
  <si>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</si>
  <si>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</si>
  <si>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</si>
  <si>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</si>
  <si>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</si>
  <si>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</si>
  <si>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</si>
  <si>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</si>
  <si>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</si>
  <si>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</si>
  <si>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</si>
  <si>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</si>
  <si>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</si>
  <si>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</si>
  <si>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</si>
  <si>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</si>
  <si>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</si>
  <si>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</si>
  <si>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</si>
  <si>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</si>
  <si>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</si>
  <si>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</si>
  <si>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</si>
  <si>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</si>
  <si>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</si>
  <si>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</si>
  <si>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</si>
  <si>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</si>
  <si>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</si>
  <si>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</si>
  <si>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</si>
  <si>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</si>
  <si>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</si>
  <si>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</si>
  <si>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</si>
  <si>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</si>
  <si>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</si>
  <si>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</si>
  <si>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</si>
  <si>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</si>
  <si>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</si>
  <si>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</si>
  <si>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</si>
  <si>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</si>
  <si>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</si>
  <si>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</si>
  <si>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</si>
  <si>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</si>
  <si>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</si>
  <si>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</si>
  <si>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</si>
  <si>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</si>
  <si>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</si>
  <si>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</si>
  <si>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</si>
  <si>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</si>
  <si>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</si>
  <si>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</si>
  <si>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</si>
  <si>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</si>
  <si>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</si>
  <si>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</si>
  <si>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</si>
  <si>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</si>
  <si>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</si>
  <si>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</si>
  <si>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</si>
  <si>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</si>
  <si>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</si>
  <si>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</si>
  <si>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</si>
  <si>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</si>
  <si>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</si>
  <si>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</si>
  <si>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</si>
  <si>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</si>
  <si>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</si>
  <si>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</si>
  <si>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</si>
  <si>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</si>
  <si>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</si>
  <si>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</si>
  <si>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</si>
  <si>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</si>
  <si>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</si>
  <si>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</si>
  <si>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</si>
  <si>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</si>
  <si>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</si>
  <si>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</si>
  <si>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</si>
  <si>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</si>
  <si>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</si>
  <si>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</si>
  <si>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</si>
  <si>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</si>
  <si>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</si>
  <si>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</si>
  <si>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</si>
  <si>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</si>
  <si>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</si>
  <si>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</si>
  <si>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</si>
  <si>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</si>
  <si>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</si>
  <si>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</si>
  <si>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</si>
  <si>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</si>
  <si>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</si>
  <si>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</si>
  <si>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</si>
  <si>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</si>
  <si>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</si>
  <si>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</si>
  <si>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</si>
  <si>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</si>
  <si>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</si>
  <si>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</si>
  <si>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</si>
  <si>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</si>
  <si>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</si>
  <si>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</si>
  <si>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</si>
  <si>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</si>
  <si>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</si>
  <si>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</si>
  <si>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</si>
  <si>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</si>
  <si>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</si>
  <si>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</si>
  <si>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</si>
  <si>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</si>
  <si>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</si>
  <si>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</si>
  <si>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</si>
  <si>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</si>
  <si>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</si>
  <si>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</si>
  <si>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</si>
  <si>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</si>
  <si>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</si>
  <si>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</si>
  <si>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</si>
  <si>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</si>
  <si>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</si>
  <si>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</si>
  <si>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</si>
  <si>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</si>
  <si>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</si>
  <si>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</si>
  <si>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</si>
  <si>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</si>
  <si>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</si>
  <si>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</si>
  <si>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</si>
  <si>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</si>
  <si>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</si>
  <si>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</si>
  <si>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</si>
  <si>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</si>
  <si>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</si>
  <si>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</si>
  <si>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</si>
  <si>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</si>
  <si>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</si>
  <si>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</si>
  <si>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</si>
  <si>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</si>
  <si>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</si>
  <si>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</si>
  <si>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</si>
  <si>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</si>
  <si>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</si>
  <si>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</si>
  <si>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</si>
  <si>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</si>
  <si>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</si>
  <si>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</si>
  <si>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</si>
  <si>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</si>
  <si>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</si>
  <si>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</si>
  <si>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</si>
  <si>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</si>
  <si>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</si>
  <si>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</si>
  <si>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</si>
  <si>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</si>
  <si>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</si>
  <si>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</si>
  <si>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</si>
  <si>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</si>
  <si>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</si>
  <si>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</si>
  <si>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</si>
  <si>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</si>
  <si>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</si>
  <si>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</si>
  <si>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</si>
  <si>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</si>
  <si>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</si>
  <si>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</si>
  <si>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</si>
  <si>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</si>
  <si>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</si>
  <si>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</si>
  <si>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</si>
  <si>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</si>
  <si>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</si>
  <si>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</si>
  <si>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</si>
  <si>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</si>
  <si>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</si>
  <si>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</si>
  <si>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</si>
  <si>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</si>
  <si>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</si>
  <si>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</si>
  <si>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</si>
  <si>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</si>
  <si>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</si>
  <si>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</si>
  <si>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</si>
  <si>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</si>
  <si>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</si>
  <si>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</si>
  <si>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</si>
  <si>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</si>
  <si>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</si>
  <si>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</si>
  <si>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</si>
  <si>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</si>
  <si>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</si>
  <si>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</si>
  <si>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</si>
  <si>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</si>
  <si>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</si>
  <si>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</si>
  <si>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</si>
  <si>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</si>
  <si>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</si>
  <si>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</si>
  <si>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</si>
  <si>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</si>
  <si>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</si>
  <si>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</si>
  <si>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</si>
  <si>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</si>
  <si>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</si>
  <si>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</si>
  <si>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</si>
  <si>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</si>
  <si>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</si>
  <si>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</si>
  <si>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</si>
  <si>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</si>
  <si>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</si>
  <si>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</si>
  <si>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</si>
  <si>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</si>
  <si>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</si>
  <si>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</si>
  <si>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</si>
  <si>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</si>
  <si>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</si>
  <si>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</si>
  <si>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</si>
  <si>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</si>
  <si>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</si>
  <si>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</si>
  <si>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</si>
  <si>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</si>
  <si>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</si>
  <si>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</si>
  <si>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</si>
  <si>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</si>
  <si>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</si>
  <si>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</si>
  <si>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</si>
  <si>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</si>
  <si>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</si>
  <si>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</si>
  <si>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</si>
  <si>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</si>
  <si>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</si>
  <si>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</si>
  <si>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</si>
  <si>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</si>
  <si>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</si>
  <si>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</si>
  <si>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</si>
  <si>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</si>
  <si>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</si>
  <si>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</si>
  <si>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</si>
  <si>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</si>
  <si>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</si>
  <si>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</si>
  <si>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</si>
  <si>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</si>
  <si>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</si>
  <si>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</si>
  <si>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</si>
  <si>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</si>
  <si>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</si>
  <si>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</si>
  <si>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</si>
  <si>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</si>
  <si>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</si>
  <si>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</si>
  <si>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</si>
  <si>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</si>
  <si>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</si>
  <si>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</si>
  <si>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</si>
  <si>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</si>
  <si>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</si>
  <si>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</si>
  <si>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</si>
  <si>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</si>
  <si>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</si>
  <si>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</si>
  <si>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</si>
  <si>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</si>
  <si>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</si>
  <si>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</si>
  <si>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</si>
  <si>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</si>
  <si>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</si>
  <si>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</si>
  <si>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</si>
  <si>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</si>
  <si>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</si>
  <si>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</si>
  <si>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</si>
  <si>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</si>
  <si>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</si>
  <si>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</si>
  <si>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</si>
  <si>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</si>
  <si>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</si>
  <si>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</si>
  <si>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</si>
  <si>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</si>
  <si>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</si>
  <si>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</si>
  <si>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</si>
  <si>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</si>
  <si>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</si>
  <si>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</si>
  <si>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</si>
  <si>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</si>
  <si>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</si>
  <si>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</si>
  <si>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</si>
  <si>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</si>
  <si>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</si>
  <si>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</si>
  <si>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</si>
  <si>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</si>
  <si>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</si>
  <si>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</si>
  <si>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</si>
  <si>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</si>
  <si>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</si>
  <si>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</si>
  <si>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</si>
  <si>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</si>
  <si>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</si>
  <si>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</si>
  <si>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</si>
  <si>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</si>
  <si>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</si>
  <si>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</si>
  <si>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</si>
  <si>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</si>
  <si>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</si>
  <si>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</si>
  <si>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</si>
  <si>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</si>
  <si>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</si>
  <si>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</si>
  <si>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</si>
  <si>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</si>
  <si>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</si>
  <si>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</si>
  <si>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</si>
  <si>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</si>
  <si>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</si>
  <si>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</si>
  <si>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</si>
  <si>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</si>
  <si>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</si>
  <si>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</si>
  <si>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</si>
  <si>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</si>
  <si>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</si>
  <si>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</si>
  <si>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</si>
  <si>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</si>
  <si>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</si>
  <si>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</si>
  <si>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</si>
  <si>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</si>
  <si>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</si>
  <si>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</si>
  <si>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</si>
  <si>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</si>
  <si>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</si>
  <si>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</si>
  <si>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</si>
  <si>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</si>
  <si>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</si>
  <si>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</si>
  <si>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</si>
  <si>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</si>
  <si>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</si>
  <si>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</si>
  <si>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</si>
  <si>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</si>
  <si>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</si>
  <si>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</si>
  <si>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</si>
  <si>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</si>
  <si>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</si>
  <si>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</si>
  <si>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</si>
  <si>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</si>
  <si>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</si>
  <si>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</si>
  <si>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</si>
  <si>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</si>
  <si>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</si>
  <si>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</si>
  <si>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</si>
  <si>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</si>
  <si>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</si>
  <si>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</si>
  <si>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</si>
  <si>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</si>
  <si>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</si>
  <si>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</si>
  <si>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</si>
  <si>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</si>
  <si>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</si>
  <si>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</si>
  <si>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</si>
  <si>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</si>
  <si>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</si>
  <si>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</si>
  <si>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</si>
  <si>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</si>
  <si>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</si>
  <si>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</si>
  <si>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</si>
  <si>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</si>
  <si>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</si>
  <si>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</si>
  <si>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</si>
  <si>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</si>
  <si>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</si>
  <si>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</si>
  <si>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</si>
  <si>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</si>
  <si>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</si>
  <si>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</si>
  <si>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</si>
  <si>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</si>
  <si>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</si>
  <si>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</si>
  <si>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</si>
  <si>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</si>
  <si>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</si>
  <si>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</si>
  <si>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</si>
  <si>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</si>
  <si>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</si>
  <si>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</si>
  <si>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</si>
  <si>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</si>
  <si>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</si>
  <si>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</si>
  <si>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</si>
  <si>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</si>
  <si>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</si>
  <si>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</si>
  <si>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</si>
  <si>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</si>
  <si>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</si>
  <si>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</si>
  <si>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</si>
  <si>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</si>
  <si>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</si>
  <si>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</si>
  <si>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</si>
  <si>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</si>
  <si>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</si>
  <si>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</si>
  <si>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</si>
  <si>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</si>
  <si>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</si>
  <si>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</si>
  <si>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</si>
  <si>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</si>
  <si>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</si>
  <si>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</si>
  <si>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</si>
  <si>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</si>
  <si>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</si>
  <si>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</si>
  <si>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</si>
  <si>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</si>
  <si>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</si>
  <si>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</si>
  <si>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</si>
  <si>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</si>
  <si>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</si>
  <si>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</si>
  <si>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</si>
  <si>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</si>
  <si>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</si>
  <si>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</si>
  <si>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</si>
  <si>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</si>
  <si>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</si>
  <si>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</si>
  <si>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</si>
  <si>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</si>
  <si>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</si>
  <si>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</si>
  <si>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</si>
  <si>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</si>
  <si>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</si>
  <si>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</si>
  <si>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</si>
  <si>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</si>
  <si>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</si>
  <si>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</si>
  <si>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</si>
  <si>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</si>
  <si>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</si>
  <si>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</si>
  <si>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</si>
  <si>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</si>
  <si>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</si>
  <si>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</si>
  <si>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</si>
  <si>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</si>
  <si>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</si>
  <si>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</si>
  <si>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</si>
  <si>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</si>
  <si>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</si>
  <si>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</si>
  <si>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</si>
  <si>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</si>
  <si>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</si>
  <si>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</si>
  <si>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</si>
  <si>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</si>
  <si>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</si>
  <si>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</si>
  <si>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</si>
  <si>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</si>
  <si>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</si>
  <si>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</si>
  <si>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</si>
  <si>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</si>
  <si>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</si>
  <si>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</si>
  <si>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</si>
  <si>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</si>
  <si>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</si>
  <si>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</si>
  <si>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</si>
  <si>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</si>
  <si>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</si>
  <si>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</si>
  <si>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</si>
  <si>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</si>
  <si>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</si>
  <si>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</si>
  <si>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</si>
  <si>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</si>
  <si>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</si>
  <si>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</si>
  <si>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</si>
  <si>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</si>
  <si>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</si>
  <si>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</si>
  <si>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</si>
  <si>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</si>
  <si>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</si>
  <si>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</si>
  <si>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</si>
  <si>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</si>
  <si>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</si>
  <si>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</si>
  <si>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</si>
  <si>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</si>
  <si>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</si>
  <si>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</si>
  <si>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</si>
  <si>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</si>
  <si>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</si>
  <si>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</si>
  <si>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</si>
  <si>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</si>
  <si>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</si>
  <si>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</si>
  <si>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</si>
  <si>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</si>
  <si>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</si>
  <si>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</si>
  <si>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</si>
  <si>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</si>
  <si>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</si>
  <si>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</si>
  <si>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</si>
  <si>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</si>
  <si>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</si>
  <si>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</si>
  <si>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</si>
  <si>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</si>
  <si>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</si>
  <si>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</si>
  <si>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</si>
  <si>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</si>
  <si>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</si>
  <si>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</si>
  <si>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</si>
  <si>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</si>
  <si>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</si>
  <si>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</si>
  <si>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</si>
  <si>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</si>
  <si>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</si>
  <si>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</si>
  <si>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</si>
  <si>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</si>
  <si>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</si>
  <si>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</si>
  <si>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</si>
  <si>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</si>
  <si>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</si>
  <si>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</si>
  <si>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</si>
  <si>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</si>
  <si>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</si>
  <si>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</si>
  <si>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</si>
  <si>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</si>
  <si>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</si>
  <si>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</si>
  <si>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</si>
  <si>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</si>
  <si>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</si>
  <si>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</si>
  <si>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</si>
  <si>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</si>
  <si>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</si>
  <si>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</si>
  <si>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</si>
  <si>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</si>
  <si>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</si>
  <si>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</si>
  <si>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</si>
  <si>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</si>
  <si>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</si>
  <si>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</si>
  <si>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</si>
  <si>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</si>
  <si>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</si>
  <si>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</si>
  <si>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</si>
  <si>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</si>
  <si>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</si>
  <si>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</si>
  <si>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</si>
  <si>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</si>
  <si>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</si>
  <si>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</si>
  <si>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</si>
  <si>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</si>
  <si>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</si>
  <si>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</si>
  <si>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</si>
  <si>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</si>
  <si>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</si>
  <si>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</si>
  <si>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</si>
  <si>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</si>
  <si>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</si>
  <si>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</si>
  <si>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</si>
  <si>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</si>
  <si>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</si>
  <si>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</si>
  <si>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</si>
  <si>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</si>
  <si>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</si>
  <si>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</si>
  <si>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</si>
  <si>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</si>
  <si>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</si>
  <si>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</si>
  <si>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</si>
  <si>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</si>
  <si>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</si>
  <si>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</si>
  <si>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</si>
  <si>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</si>
  <si>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</si>
  <si>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</si>
  <si>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</si>
  <si>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</si>
  <si>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</si>
  <si>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</si>
  <si>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</si>
  <si>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</si>
  <si>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</si>
  <si>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</si>
  <si>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</si>
  <si>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</si>
  <si>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</si>
  <si>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</si>
  <si>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</si>
  <si>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</si>
  <si>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</si>
  <si>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</si>
  <si>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</si>
  <si>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</si>
  <si>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</si>
  <si>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</si>
  <si>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</si>
  <si>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</si>
  <si>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</si>
  <si>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</si>
  <si>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</si>
  <si>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</si>
  <si>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</si>
  <si>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</si>
  <si>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</si>
  <si>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</si>
  <si>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</si>
  <si>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</si>
  <si>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</si>
  <si>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</si>
  <si>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</si>
  <si>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</si>
  <si>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</si>
  <si>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</si>
  <si>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</si>
  <si>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</si>
  <si>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</si>
  <si>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</si>
  <si>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</si>
  <si>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</si>
  <si>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</si>
  <si>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</si>
  <si>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</si>
  <si>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</si>
  <si>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</si>
  <si>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</si>
  <si>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</si>
  <si>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</si>
  <si>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</si>
  <si>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</si>
  <si>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</si>
  <si>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</si>
  <si>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</si>
  <si>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</si>
  <si>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</si>
  <si>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</si>
  <si>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</si>
  <si>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</si>
  <si>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</si>
  <si>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</si>
  <si>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</si>
  <si>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</si>
  <si>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</si>
  <si>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</si>
  <si>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</si>
  <si>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</si>
  <si>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</si>
  <si>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</si>
  <si>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</si>
  <si>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</si>
  <si>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</si>
  <si>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</si>
  <si>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</si>
  <si>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</si>
  <si>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</si>
  <si>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</si>
  <si>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</si>
  <si>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</si>
  <si>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</si>
  <si>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</si>
  <si>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</si>
  <si>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</si>
  <si>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</si>
  <si>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</si>
  <si>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</si>
  <si>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</si>
  <si>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</si>
  <si>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</si>
  <si>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</si>
  <si>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</si>
  <si>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</si>
  <si>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</si>
  <si>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</si>
  <si>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</si>
  <si>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</si>
  <si>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</si>
  <si>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</si>
  <si>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</si>
  <si>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</si>
  <si>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</si>
  <si>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</si>
  <si>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</si>
  <si>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</si>
  <si>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</si>
  <si>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</si>
  <si>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</si>
  <si>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</si>
  <si>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</si>
  <si>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</si>
  <si>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</si>
  <si>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</si>
  <si>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</si>
  <si>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</si>
  <si>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</si>
  <si>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</si>
  <si>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</si>
  <si>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</si>
  <si>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</si>
  <si>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</si>
  <si>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</si>
  <si>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</si>
  <si>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</si>
  <si>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</si>
  <si>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</si>
  <si>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</si>
  <si>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</si>
  <si>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</si>
  <si>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</si>
  <si>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</si>
  <si>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</si>
  <si>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</si>
  <si>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</si>
  <si>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</si>
  <si>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</si>
  <si>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</si>
  <si>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</si>
  <si>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</si>
  <si>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</si>
  <si>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</si>
  <si>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</si>
  <si>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</si>
  <si>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</si>
  <si>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</si>
  <si>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</si>
  <si>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</si>
  <si>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</si>
  <si>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</si>
  <si>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</si>
  <si>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</si>
  <si>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</si>
  <si>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</si>
  <si>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</si>
  <si>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</si>
  <si>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</si>
  <si>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</si>
  <si>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</si>
  <si>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</si>
  <si>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</si>
  <si>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</si>
  <si>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</si>
  <si>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</si>
  <si>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</si>
  <si>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</si>
  <si>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</si>
  <si>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</si>
  <si>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</si>
  <si>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</si>
  <si>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</si>
  <si>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</si>
  <si>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</si>
  <si>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</si>
  <si>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</si>
  <si>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</si>
  <si>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</si>
  <si>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</si>
  <si>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</si>
  <si>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</si>
  <si>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</si>
  <si>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</si>
  <si>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</si>
  <si>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</si>
  <si>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</si>
  <si>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</si>
  <si>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</si>
  <si>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</si>
  <si>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</si>
  <si>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</si>
  <si>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</si>
  <si>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</si>
  <si>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</si>
  <si>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</si>
  <si>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</si>
  <si>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</si>
  <si>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</si>
  <si>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</si>
  <si>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</si>
  <si>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</si>
  <si>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</si>
  <si>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</si>
  <si>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</si>
  <si>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</si>
  <si>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</si>
  <si>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</si>
  <si>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</si>
  <si>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</si>
  <si>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</si>
  <si>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</si>
  <si>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</si>
  <si>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</si>
  <si>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</si>
  <si>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</si>
  <si>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</si>
  <si>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</si>
  <si>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</si>
  <si>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</si>
  <si>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</si>
  <si>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</si>
  <si>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</si>
  <si>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</si>
  <si>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</si>
  <si>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</si>
  <si>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</si>
  <si>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</si>
  <si>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</si>
  <si>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</si>
  <si>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</si>
  <si>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</si>
  <si>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</si>
  <si>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</si>
  <si>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</si>
  <si>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</si>
  <si>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</si>
  <si>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</si>
  <si>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</si>
  <si>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</si>
  <si>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</si>
  <si>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</si>
  <si>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</si>
  <si>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</si>
  <si>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</si>
  <si>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</si>
  <si>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</si>
  <si>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</si>
  <si>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</si>
  <si>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</si>
  <si>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</si>
  <si>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</si>
  <si>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</si>
  <si>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</si>
  <si>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</si>
  <si>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</si>
  <si>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</si>
  <si>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</si>
  <si>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</si>
  <si>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</si>
  <si>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</si>
  <si>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</si>
  <si>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</si>
  <si>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</si>
  <si>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</si>
  <si>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</si>
  <si>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</si>
  <si>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</si>
  <si>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</si>
  <si>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</si>
  <si>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</si>
  <si>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</si>
  <si>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</si>
  <si>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</si>
  <si>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</si>
  <si>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</si>
  <si>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</si>
  <si>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</si>
  <si>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</si>
  <si>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</si>
  <si>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</si>
  <si>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</si>
  <si>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</si>
  <si>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</si>
  <si>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</si>
  <si>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</si>
  <si>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</si>
  <si>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</si>
  <si>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</si>
  <si>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</si>
  <si>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</si>
  <si>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</si>
  <si>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</si>
  <si>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</si>
  <si>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</si>
  <si>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</si>
  <si>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</si>
  <si>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</si>
  <si>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</si>
  <si>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</si>
  <si>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</si>
  <si>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</si>
  <si>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</si>
  <si>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</si>
  <si>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</si>
  <si>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</si>
  <si>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</si>
  <si>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</si>
  <si>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</si>
  <si>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</si>
  <si>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</si>
  <si>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</si>
  <si>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</si>
  <si>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</si>
  <si>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</si>
  <si>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</si>
  <si>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</si>
  <si>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</si>
  <si>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</si>
  <si>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</si>
  <si>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</si>
  <si>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</si>
  <si>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</si>
  <si>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</si>
  <si>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</si>
  <si>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</si>
  <si>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</si>
  <si>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</si>
  <si>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</si>
  <si>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</si>
  <si>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</si>
  <si>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</si>
  <si>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</si>
  <si>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</si>
  <si>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</si>
  <si>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</si>
  <si>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</si>
  <si>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</si>
  <si>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</si>
  <si>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</si>
  <si>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</si>
  <si>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</si>
  <si>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</si>
  <si>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</si>
  <si>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</si>
  <si>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</si>
  <si>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</si>
  <si>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</si>
  <si>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</si>
  <si>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</si>
  <si>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</si>
  <si>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</si>
  <si>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</si>
  <si>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</si>
  <si>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</si>
  <si>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</si>
  <si>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</si>
  <si>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</si>
  <si>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</si>
  <si>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</si>
  <si>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</si>
  <si>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</si>
  <si>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</si>
  <si>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</si>
  <si>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</si>
  <si>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</si>
  <si>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</si>
  <si>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</si>
  <si>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</si>
  <si>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</si>
  <si>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</si>
  <si>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</si>
  <si>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</si>
  <si>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</si>
  <si>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</si>
  <si>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</si>
  <si>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</si>
  <si>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</si>
  <si>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</si>
  <si>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</si>
  <si>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</si>
  <si>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</si>
  <si>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</si>
  <si>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</si>
  <si>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</si>
  <si>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</si>
  <si>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</si>
  <si>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</si>
  <si>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</si>
  <si>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</si>
  <si>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</si>
  <si>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</si>
  <si>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</si>
  <si>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</si>
  <si>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</si>
  <si>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</si>
  <si>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</si>
  <si>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</si>
  <si>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</si>
  <si>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</si>
  <si>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</si>
  <si>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</si>
  <si>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</si>
  <si>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</si>
  <si>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</si>
  <si>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</si>
  <si>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</si>
  <si>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</si>
  <si>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</si>
  <si>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</si>
  <si>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</si>
  <si>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</si>
  <si>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</si>
  <si>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</si>
  <si>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</si>
  <si>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</si>
  <si>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</si>
  <si>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</si>
  <si>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</si>
  <si>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</si>
  <si>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</si>
  <si>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</si>
  <si>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</si>
  <si>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</si>
  <si>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</si>
  <si>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</si>
  <si>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</si>
  <si>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</si>
  <si>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</si>
  <si>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</si>
  <si>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</si>
  <si>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</si>
  <si>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</si>
  <si>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</si>
  <si>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</si>
  <si>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</si>
  <si>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</si>
  <si>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</si>
  <si>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</si>
  <si>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</si>
  <si>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</si>
  <si>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</si>
  <si>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</si>
  <si>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</si>
  <si>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</si>
  <si>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</si>
  <si>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</si>
  <si>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</si>
  <si>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</si>
  <si>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</si>
  <si>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</si>
  <si>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</si>
  <si>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</si>
  <si>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</si>
  <si>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</si>
  <si>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</si>
  <si>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</si>
  <si>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</si>
  <si>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</si>
  <si>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</si>
  <si>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</si>
  <si>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</si>
  <si>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</si>
  <si>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</si>
  <si>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</si>
  <si>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</si>
  <si>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</si>
  <si>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</si>
  <si>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</si>
  <si>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</si>
  <si>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</si>
  <si>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</si>
  <si>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</si>
  <si>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</si>
  <si>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</si>
  <si>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</si>
  <si>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</si>
  <si>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</si>
  <si>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</si>
  <si>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</si>
  <si>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</si>
  <si>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</si>
  <si>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</si>
  <si>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</si>
  <si>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</si>
  <si>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</si>
  <si>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</si>
  <si>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</si>
  <si>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</si>
  <si>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</si>
  <si>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</si>
  <si>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</si>
  <si>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</si>
  <si>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</si>
  <si>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</si>
  <si>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</si>
  <si>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</si>
  <si>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</si>
  <si>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</si>
  <si>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</si>
  <si>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</si>
  <si>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</si>
  <si>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</si>
  <si>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</si>
  <si>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</si>
  <si>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</si>
  <si>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</si>
  <si>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</si>
  <si>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</si>
  <si>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</si>
  <si>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</si>
  <si>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</si>
  <si>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</si>
  <si>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</si>
  <si>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</si>
  <si>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</si>
  <si>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</si>
  <si>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</si>
  <si>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</si>
  <si>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</si>
  <si>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</si>
  <si>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</si>
  <si>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</si>
  <si>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</si>
  <si>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</si>
  <si>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</si>
  <si>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</si>
  <si>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</si>
  <si>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</si>
  <si>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</si>
  <si>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</si>
  <si>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</si>
  <si>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</si>
  <si>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</si>
  <si>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</si>
  <si>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</si>
  <si>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</si>
  <si>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</si>
  <si>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</si>
  <si>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</si>
  <si>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</si>
  <si>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</si>
  <si>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</si>
  <si>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</si>
  <si>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</si>
  <si>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</si>
  <si>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</si>
  <si>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</si>
  <si>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</si>
  <si>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</si>
  <si>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</si>
  <si>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</si>
  <si>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</si>
  <si>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</si>
  <si>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</si>
  <si>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</si>
  <si>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</si>
  <si>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</si>
  <si>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</si>
  <si>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</si>
  <si>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</si>
  <si>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</si>
  <si>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</si>
  <si>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</si>
  <si>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</si>
  <si>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</si>
  <si>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</si>
  <si>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</si>
  <si>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</si>
  <si>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</si>
  <si>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</si>
  <si>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</si>
  <si>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</si>
  <si>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</si>
  <si>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</si>
  <si>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</si>
  <si>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</si>
  <si>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</si>
  <si>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</si>
  <si>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</si>
  <si>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</si>
  <si>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</si>
  <si>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</si>
  <si>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</si>
  <si>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</si>
  <si>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</si>
  <si>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</si>
  <si>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</si>
  <si>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</si>
  <si>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</si>
  <si>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</si>
  <si>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</si>
  <si>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</si>
  <si>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</si>
  <si>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</si>
  <si>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</si>
  <si>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</si>
  <si>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</si>
  <si>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</si>
  <si>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</si>
  <si>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</si>
  <si>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</si>
  <si>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</si>
  <si>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</si>
  <si>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</si>
  <si>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</si>
  <si>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</si>
  <si>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</si>
  <si>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</si>
  <si>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</si>
  <si>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</si>
  <si>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</si>
  <si>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</si>
  <si>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</si>
  <si>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</si>
  <si>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</si>
  <si>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</si>
  <si>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</si>
  <si>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</si>
  <si>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</si>
  <si>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</si>
  <si>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</si>
  <si>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</si>
  <si>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</si>
  <si>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</si>
  <si>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</si>
  <si>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</si>
  <si>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</si>
  <si>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</si>
  <si>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</si>
  <si>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</si>
  <si>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</si>
  <si>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</si>
  <si>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</si>
  <si>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</si>
  <si>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</si>
  <si>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</si>
  <si>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</si>
  <si>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</si>
  <si>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</si>
  <si>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</si>
  <si>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</si>
  <si>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</si>
  <si>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</si>
  <si>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</si>
  <si>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</si>
  <si>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</si>
  <si>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</si>
  <si>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</si>
  <si>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</si>
  <si>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</si>
  <si>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</si>
  <si>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</si>
  <si>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</si>
  <si>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</si>
  <si>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</si>
  <si>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</si>
  <si>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</si>
  <si>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</si>
  <si>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</si>
  <si>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</si>
  <si>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</si>
  <si>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</si>
  <si>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</si>
  <si>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</si>
  <si>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</si>
  <si>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</si>
  <si>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</si>
  <si>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</si>
  <si>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</si>
  <si>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</si>
  <si>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</si>
  <si>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</si>
  <si>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</si>
  <si>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</si>
  <si>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</si>
  <si>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</si>
  <si>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</si>
  <si>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</si>
  <si>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</si>
  <si>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</si>
  <si>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</si>
  <si>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</si>
  <si>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</si>
  <si>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</si>
  <si>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</si>
  <si>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</si>
  <si>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</si>
  <si>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</si>
  <si>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</si>
  <si>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</si>
  <si>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</si>
  <si>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</si>
  <si>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</si>
  <si>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</si>
  <si>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</si>
  <si>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</si>
  <si>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</si>
  <si>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</si>
  <si>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</si>
  <si>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</si>
  <si>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</si>
  <si>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</si>
  <si>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</si>
  <si>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</si>
  <si>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</si>
  <si>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</si>
  <si>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</si>
  <si>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</si>
  <si>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</si>
  <si>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</si>
  <si>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</si>
  <si>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</si>
  <si>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</si>
  <si>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</si>
  <si>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</si>
  <si>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</si>
  <si>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</si>
  <si>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</si>
  <si>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</si>
  <si>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</si>
  <si>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</si>
  <si>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</si>
  <si>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</si>
  <si>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</si>
  <si>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</si>
  <si>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</si>
  <si>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</si>
  <si>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</si>
  <si>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</si>
  <si>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</si>
  <si>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</si>
  <si>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</si>
  <si>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</si>
  <si>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</si>
  <si>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</si>
  <si>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</si>
  <si>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</si>
  <si>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</si>
  <si>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</si>
  <si>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</si>
  <si>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</si>
  <si>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</si>
  <si>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</si>
  <si>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</si>
  <si>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</si>
  <si>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</si>
  <si>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</si>
  <si>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</si>
  <si>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</si>
  <si>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</si>
  <si>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</si>
  <si>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</si>
  <si>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</si>
  <si>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</si>
  <si>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</si>
  <si>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</si>
  <si>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</si>
  <si>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</si>
  <si>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</si>
  <si>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</si>
  <si>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</si>
  <si>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</si>
  <si>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</si>
  <si>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</si>
  <si>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</si>
  <si>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</si>
  <si>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</si>
  <si>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</si>
  <si>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</si>
  <si>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</si>
  <si>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</si>
  <si>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</si>
  <si>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</si>
  <si>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</si>
  <si>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</si>
  <si>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</si>
  <si>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</si>
  <si>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</si>
  <si>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</si>
  <si>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</si>
  <si>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</si>
  <si>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</si>
  <si>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</si>
  <si>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</si>
  <si>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</si>
  <si>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</si>
  <si>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</si>
  <si>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</si>
  <si>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</si>
  <si>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</si>
  <si>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</si>
  <si>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</si>
  <si>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</si>
  <si>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</si>
  <si>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</si>
  <si>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</si>
  <si>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</si>
  <si>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</si>
  <si>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</si>
  <si>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</si>
  <si>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</si>
  <si>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</si>
  <si>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</si>
  <si>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</si>
  <si>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</si>
  <si>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</si>
  <si>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</si>
  <si>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</si>
  <si>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</si>
  <si>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</si>
  <si>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</si>
  <si>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</si>
  <si>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</si>
  <si>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</si>
  <si>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</si>
  <si>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</si>
  <si>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</si>
  <si>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</si>
  <si>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</si>
  <si>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</si>
  <si>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</si>
  <si>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</si>
  <si>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</si>
  <si>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</si>
  <si>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</si>
  <si>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</si>
  <si>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</si>
  <si>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</si>
  <si>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</si>
  <si>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</si>
  <si>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</si>
  <si>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</si>
  <si>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</si>
  <si>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</si>
  <si>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</si>
  <si>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</si>
  <si>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</si>
  <si>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</si>
  <si>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</si>
  <si>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</si>
  <si>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</si>
  <si>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</si>
  <si>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</si>
  <si>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</si>
  <si>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</si>
  <si>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</si>
  <si>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</si>
  <si>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</si>
  <si>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</si>
  <si>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</si>
  <si>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</si>
  <si>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</si>
  <si>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</si>
  <si>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</si>
  <si>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</si>
  <si>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</si>
  <si>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</si>
  <si>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</si>
  <si>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</si>
  <si>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</si>
  <si>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</si>
  <si>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</si>
  <si>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</si>
  <si>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</si>
  <si>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</si>
  <si>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</si>
  <si>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</si>
  <si>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</si>
  <si>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</si>
  <si>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</si>
  <si>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</si>
  <si>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</si>
  <si>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</si>
  <si>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</si>
  <si>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</si>
  <si>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</si>
  <si>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</si>
  <si>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</si>
  <si>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</si>
  <si>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</si>
  <si>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</si>
  <si>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</si>
  <si>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</si>
  <si>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</si>
  <si>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</si>
  <si>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</si>
  <si>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</si>
  <si>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</si>
  <si>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</si>
  <si>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</si>
  <si>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</si>
  <si>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</si>
  <si>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</si>
  <si>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</si>
  <si>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</si>
  <si>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</si>
  <si>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</si>
  <si>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</si>
  <si>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</si>
  <si>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</si>
  <si>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</si>
  <si>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</si>
  <si>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</si>
  <si>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</si>
  <si>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</si>
  <si>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</si>
  <si>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</si>
  <si>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</si>
  <si>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</si>
  <si>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</si>
  <si>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</si>
  <si>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</si>
  <si>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</si>
  <si>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</si>
  <si>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企业</t>
  </si>
  <si>
    <t>出让</t>
  </si>
  <si>
    <t>正常</t>
  </si>
  <si>
    <t>押一</t>
  </si>
  <si>
    <t>房屋坐落</t>
    <phoneticPr fontId="3" type="noConversion"/>
  </si>
  <si>
    <t>房号</t>
    <phoneticPr fontId="3" type="noConversion"/>
  </si>
  <si>
    <t>建筑面积（㎡）</t>
    <phoneticPr fontId="3" type="noConversion"/>
  </si>
  <si>
    <t>分摊土地面积（㎡）</t>
    <phoneticPr fontId="3" type="noConversion"/>
  </si>
  <si>
    <t>物业性质</t>
    <phoneticPr fontId="3" type="noConversion"/>
  </si>
  <si>
    <t>房产证号</t>
    <phoneticPr fontId="3" type="noConversion"/>
  </si>
  <si>
    <t>土地证号</t>
    <phoneticPr fontId="3" type="noConversion"/>
  </si>
  <si>
    <r>
      <t>东城区香河园街1号院北区</t>
    </r>
    <r>
      <rPr>
        <sz val="10"/>
        <rFont val="宋体"/>
        <family val="3"/>
        <charset val="134"/>
      </rPr>
      <t>1号楼等3幢</t>
    </r>
    <phoneticPr fontId="3" type="noConversion"/>
  </si>
  <si>
    <t>1#101</t>
    <phoneticPr fontId="3" type="noConversion"/>
  </si>
  <si>
    <t>配套商业</t>
    <phoneticPr fontId="3" type="noConversion"/>
  </si>
  <si>
    <t>X京房权证东股字第007174号</t>
    <phoneticPr fontId="3" type="noConversion"/>
  </si>
  <si>
    <t>京东国用（2005出）第更0029号</t>
    <phoneticPr fontId="3" type="noConversion"/>
  </si>
  <si>
    <t>1#102</t>
    <phoneticPr fontId="3" type="noConversion"/>
  </si>
  <si>
    <t>1#103</t>
    <phoneticPr fontId="3" type="noConversion"/>
  </si>
  <si>
    <t>1#105</t>
    <phoneticPr fontId="3" type="noConversion"/>
  </si>
  <si>
    <t>1#106</t>
    <phoneticPr fontId="3" type="noConversion"/>
  </si>
  <si>
    <t>1#108</t>
    <phoneticPr fontId="3" type="noConversion"/>
  </si>
  <si>
    <t>1#210</t>
    <phoneticPr fontId="3" type="noConversion"/>
  </si>
  <si>
    <t>1#211</t>
    <phoneticPr fontId="3" type="noConversion"/>
  </si>
  <si>
    <t>1#2006</t>
    <phoneticPr fontId="3" type="noConversion"/>
  </si>
  <si>
    <t>1#2106</t>
    <phoneticPr fontId="3" type="noConversion"/>
  </si>
  <si>
    <t>2#102</t>
    <phoneticPr fontId="3" type="noConversion"/>
  </si>
  <si>
    <t>2#105</t>
    <phoneticPr fontId="3" type="noConversion"/>
  </si>
  <si>
    <t>2#1907</t>
    <phoneticPr fontId="3" type="noConversion"/>
  </si>
  <si>
    <t>2#2007</t>
    <phoneticPr fontId="3" type="noConversion"/>
  </si>
  <si>
    <t>2#2107</t>
    <phoneticPr fontId="3" type="noConversion"/>
  </si>
  <si>
    <t>2#2206</t>
    <phoneticPr fontId="3" type="noConversion"/>
  </si>
  <si>
    <t>3#101</t>
    <phoneticPr fontId="3" type="noConversion"/>
  </si>
  <si>
    <t>3#102</t>
    <phoneticPr fontId="3" type="noConversion"/>
  </si>
  <si>
    <t>3#103</t>
    <phoneticPr fontId="3" type="noConversion"/>
  </si>
  <si>
    <t>3#105</t>
    <phoneticPr fontId="3" type="noConversion"/>
  </si>
  <si>
    <t>3#208</t>
    <phoneticPr fontId="3" type="noConversion"/>
  </si>
  <si>
    <t>3#1908</t>
    <phoneticPr fontId="3" type="noConversion"/>
  </si>
  <si>
    <t>3#2008</t>
    <phoneticPr fontId="3" type="noConversion"/>
  </si>
  <si>
    <t>3#2108</t>
    <phoneticPr fontId="3" type="noConversion"/>
  </si>
  <si>
    <t>配套商业</t>
    <phoneticPr fontId="3" type="noConversion"/>
  </si>
  <si>
    <t>1、2、3号楼商业部分合计</t>
    <phoneticPr fontId="3" type="noConversion"/>
  </si>
  <si>
    <t>租金</t>
    <phoneticPr fontId="3" type="noConversion"/>
  </si>
  <si>
    <t>1、2层面积</t>
    <phoneticPr fontId="3" type="noConversion"/>
  </si>
  <si>
    <t>一层租金</t>
    <phoneticPr fontId="143" type="noConversion"/>
  </si>
  <si>
    <t>19至21层面积</t>
    <phoneticPr fontId="3" type="noConversion"/>
  </si>
  <si>
    <t>二层</t>
    <phoneticPr fontId="143" type="noConversion"/>
  </si>
  <si>
    <t>综合租金</t>
    <phoneticPr fontId="3" type="noConversion"/>
  </si>
  <si>
    <t>当代绿建商业资产管理台账</t>
  </si>
  <si>
    <t>序号</t>
  </si>
  <si>
    <t>物业</t>
  </si>
  <si>
    <t>合同名称</t>
  </si>
  <si>
    <t>承租单位名称</t>
  </si>
  <si>
    <t>租赁用途</t>
  </si>
  <si>
    <r>
      <rPr>
        <b/>
        <sz val="9"/>
        <color indexed="8"/>
        <rFont val="宋体"/>
        <family val="3"/>
        <charset val="134"/>
      </rPr>
      <t>合同租赁面积（m</t>
    </r>
    <r>
      <rPr>
        <b/>
        <vertAlign val="superscript"/>
        <sz val="9"/>
        <rFont val="宋体"/>
        <family val="3"/>
        <charset val="134"/>
      </rPr>
      <t>2</t>
    </r>
    <r>
      <rPr>
        <b/>
        <sz val="9"/>
        <rFont val="宋体"/>
        <family val="3"/>
        <charset val="134"/>
      </rPr>
      <t>)</t>
    </r>
  </si>
  <si>
    <t>租期起止时间</t>
  </si>
  <si>
    <t>合同租金总额</t>
  </si>
  <si>
    <t>标准项目名称</t>
  </si>
  <si>
    <t>楼号</t>
  </si>
  <si>
    <t>房号</t>
  </si>
  <si>
    <t>建筑面积</t>
  </si>
  <si>
    <t>租金单价</t>
    <phoneticPr fontId="3" type="noConversion"/>
  </si>
  <si>
    <t>当代ΜΟΜΛ</t>
  </si>
  <si>
    <t>1号楼</t>
    <phoneticPr fontId="3" type="noConversion"/>
  </si>
  <si>
    <t>S1-103</t>
    <phoneticPr fontId="3" type="noConversion"/>
  </si>
  <si>
    <t>沃牛便利店商铺租赁合同</t>
  </si>
  <si>
    <t>沃牛（北京）商业管理有限公司 (续签）</t>
    <phoneticPr fontId="3" type="noConversion"/>
  </si>
  <si>
    <t>便利店</t>
  </si>
  <si>
    <t>2016.10.1-2018.9.30</t>
    <phoneticPr fontId="3" type="noConversion"/>
  </si>
  <si>
    <t>1号楼</t>
  </si>
  <si>
    <t>T1-105</t>
  </si>
  <si>
    <t>商铺租赁合同（固定型）</t>
  </si>
  <si>
    <t>许文娇</t>
    <phoneticPr fontId="3" type="noConversion"/>
  </si>
  <si>
    <t>形象设计馆</t>
  </si>
  <si>
    <t>2017.10.22-2020.10.22</t>
    <phoneticPr fontId="3" type="noConversion"/>
  </si>
  <si>
    <t>北京润辰丰和生物科技有限公司</t>
    <phoneticPr fontId="3" type="noConversion"/>
  </si>
  <si>
    <t>形象造型设计室</t>
    <phoneticPr fontId="3" type="noConversion"/>
  </si>
  <si>
    <t>2017.10.23-2020.10.22</t>
    <phoneticPr fontId="3" type="noConversion"/>
  </si>
  <si>
    <t>2号楼</t>
  </si>
  <si>
    <t>T2-102/105</t>
  </si>
  <si>
    <t>电影院租赁合同补充协议</t>
  </si>
  <si>
    <t>北京库布里克书店有限公司</t>
    <phoneticPr fontId="3" type="noConversion"/>
  </si>
  <si>
    <t>休闲书店</t>
  </si>
  <si>
    <t>2009.5.1-2028.11.30</t>
  </si>
  <si>
    <t>浮动租金</t>
    <phoneticPr fontId="3" type="noConversion"/>
  </si>
  <si>
    <t>3号楼</t>
    <phoneticPr fontId="3" type="noConversion"/>
  </si>
  <si>
    <t>T3-101A-1/T3-101A-2</t>
    <phoneticPr fontId="3" type="noConversion"/>
  </si>
  <si>
    <t>北京润锦房地产开发有限公司</t>
    <phoneticPr fontId="3" type="noConversion"/>
  </si>
  <si>
    <t>体验中心</t>
    <phoneticPr fontId="3" type="noConversion"/>
  </si>
  <si>
    <t>2017.2.15-2018.2.14</t>
    <phoneticPr fontId="3" type="noConversion"/>
  </si>
  <si>
    <t>3号楼</t>
  </si>
  <si>
    <t>T3-101B</t>
  </si>
  <si>
    <t>张林杰</t>
  </si>
  <si>
    <r>
      <rPr>
        <sz val="10"/>
        <rFont val="宋体"/>
        <family val="3"/>
        <charset val="134"/>
      </rPr>
      <t xml:space="preserve">北京神山圣湖林杰摄影工作室           </t>
    </r>
    <r>
      <rPr>
        <sz val="10"/>
        <color rgb="FFFF0000"/>
        <rFont val="宋体"/>
        <family val="3"/>
        <charset val="134"/>
      </rPr>
      <t>续签</t>
    </r>
  </si>
  <si>
    <t>画展</t>
  </si>
  <si>
    <t xml:space="preserve">    2016.2.18-2018.2.17</t>
    <phoneticPr fontId="3" type="noConversion"/>
  </si>
  <si>
    <t>T3-102A</t>
  </si>
  <si>
    <t>任妍霖(富龙）</t>
  </si>
  <si>
    <t>任妍霖</t>
    <phoneticPr fontId="3" type="noConversion"/>
  </si>
  <si>
    <t>红酒雪茄</t>
  </si>
  <si>
    <t>2016.11.1-2017.10.31</t>
  </si>
  <si>
    <t>T3-102B</t>
  </si>
  <si>
    <t>北京宝罗服装服饰有限责任公司</t>
  </si>
  <si>
    <t xml:space="preserve">北京宝罗服装服饰有限责任公司  </t>
    <phoneticPr fontId="3" type="noConversion"/>
  </si>
  <si>
    <t>服装设计</t>
  </si>
  <si>
    <t xml:space="preserve">    2018.1.15-2020.1.14</t>
    <phoneticPr fontId="3" type="noConversion"/>
  </si>
  <si>
    <t>T3-103/208-A</t>
    <phoneticPr fontId="3" type="noConversion"/>
  </si>
  <si>
    <t>北京启明东方暖公关顾问有限公司</t>
    <phoneticPr fontId="3" type="noConversion"/>
  </si>
  <si>
    <t xml:space="preserve">北京启明东方暖公关顾问有限公司                    </t>
    <phoneticPr fontId="3" type="noConversion"/>
  </si>
  <si>
    <t>文化艺术私人会所</t>
  </si>
  <si>
    <t>2016.12.1-2018.11.30</t>
  </si>
  <si>
    <t>T3-105/208-B</t>
  </si>
  <si>
    <t>北京塞班国际健康管理有限责任公司</t>
  </si>
  <si>
    <t>北京塞班国际健康管理有限责任公司</t>
    <phoneticPr fontId="3" type="noConversion"/>
  </si>
  <si>
    <t>信息咨询</t>
  </si>
  <si>
    <t>2017.11.26-2018.11.25</t>
    <phoneticPr fontId="3" type="noConversion"/>
  </si>
  <si>
    <t>梁津</t>
  </si>
  <si>
    <t>欧红伟</t>
  </si>
  <si>
    <t>当代节能置业股份有限公司</t>
    <phoneticPr fontId="6" type="noConversion"/>
  </si>
  <si>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</si>
  <si>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phoneticPr fontId="6" type="noConversion"/>
  </si>
  <si>
    <r>
      <t>26.48</t>
    </r>
    <r>
      <rPr>
        <sz val="12"/>
        <color theme="9" tint="-0.249977111117893"/>
        <rFont val="宋体"/>
        <family val="3"/>
        <charset val="134"/>
      </rPr>
      <t>年</t>
    </r>
    <phoneticPr fontId="6" type="noConversion"/>
  </si>
  <si>
    <t>《国有土地使用证》[京东国用（2005出）第更0029号]、《房产抵押土地分摊面积计算》</t>
    <phoneticPr fontId="6" type="noConversion"/>
  </si>
  <si>
    <t>《房屋所有权证》[X京房权证东股字第007174号]、《抵押物清单》</t>
    <phoneticPr fontId="6" type="noConversion"/>
  </si>
  <si>
    <t>否</t>
  </si>
  <si>
    <t>商业项目</t>
  </si>
  <si>
    <t>无</t>
  </si>
  <si>
    <t>现房</t>
  </si>
  <si>
    <t>通路</t>
  </si>
  <si>
    <t>通电</t>
  </si>
  <si>
    <t>通上水</t>
  </si>
  <si>
    <t>通下水</t>
  </si>
  <si>
    <t>通讯</t>
  </si>
  <si>
    <t>燃气</t>
  </si>
  <si>
    <t>地上</t>
  </si>
  <si>
    <t>底商</t>
  </si>
  <si>
    <t>商业（出租）</t>
    <phoneticPr fontId="3" type="noConversion"/>
  </si>
  <si>
    <t>商业（自用）</t>
    <phoneticPr fontId="3" type="noConversion"/>
  </si>
  <si>
    <t>批发零售用地</t>
  </si>
  <si>
    <t>不临58条商业街</t>
  </si>
  <si>
    <t>缺少</t>
  </si>
  <si>
    <t>通热</t>
  </si>
  <si>
    <t>容积率修正</t>
  </si>
  <si>
    <t>按公示增长率计算</t>
  </si>
  <si>
    <t>一般</t>
  </si>
  <si>
    <t>较好</t>
  </si>
  <si>
    <t>未包含在土地购买价格中</t>
  </si>
  <si>
    <t>全部缴纳</t>
  </si>
  <si>
    <t>已包含在土地取得成本中</t>
  </si>
  <si>
    <t>商业（自用）</t>
  </si>
  <si>
    <t>收益法（自用）</t>
  </si>
  <si>
    <t>收益法（自用）</t>
    <phoneticPr fontId="16" type="noConversion"/>
  </si>
  <si>
    <t>收益法（出租）</t>
  </si>
  <si>
    <t>收益法（出租）</t>
    <phoneticPr fontId="16" type="noConversion"/>
  </si>
  <si>
    <t>商业（出租）</t>
  </si>
  <si>
    <t>钢混</t>
  </si>
  <si>
    <t>非生产用房</t>
  </si>
  <si>
    <t>成本法</t>
  </si>
  <si>
    <t>收益法（汇总）</t>
  </si>
  <si>
    <t>成本比率</t>
  </si>
  <si>
    <t>六通一平</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</si>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</sst>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_ "/>
    <numFmt numFmtId="199" formatCode="#,##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
      <b/>
      <sz val="14"/>
      <name val="宋体"/>
      <family val="3"/>
      <charset val="134"/>
    </font>
    <font>
      <b/>
      <sz val="14"/>
      <name val="微软雅黑"/>
      <family val="2"/>
      <charset val="134"/>
    </font>
    <font>
      <b/>
      <sz val="10"/>
      <name val="Arial Narrow"/>
      <family val="2"/>
    </font>
    <font>
      <b/>
      <sz val="10"/>
      <name val="微软雅黑"/>
      <family val="2"/>
      <charset val="134"/>
    </font>
    <font>
      <b/>
      <sz val="9"/>
      <color indexed="8"/>
      <name val="微软雅黑"/>
      <family val="2"/>
      <charset val="134"/>
    </font>
    <font>
      <b/>
      <sz val="9"/>
      <color indexed="8"/>
      <name val="宋体"/>
      <family val="3"/>
      <charset val="134"/>
    </font>
    <font>
      <b/>
      <vertAlign val="superscript"/>
      <sz val="9"/>
      <name val="宋体"/>
      <family val="3"/>
      <charset val="134"/>
    </font>
    <font>
      <b/>
      <sz val="9"/>
      <name val="宋体"/>
      <family val="3"/>
      <charset val="134"/>
    </font>
    <font>
      <sz val="10"/>
      <name val="微软雅黑"/>
      <family val="2"/>
      <charset val="134"/>
    </font>
    <font>
      <strike/>
      <sz val="10"/>
      <name val="宋体"/>
      <family val="3"/>
      <charset val="134"/>
    </font>
    <font>
      <sz val="10"/>
      <name val="Arial Narrow"/>
      <family val="2"/>
    </font>
    <font>
      <sz val="12"/>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6" fillId="0" borderId="0" applyFont="0" applyFill="0" applyBorder="0" applyAlignment="0" applyProtection="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43" fontId="137" fillId="0" borderId="0" applyProtection="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 fillId="0" borderId="0" xfId="14" applyFont="1" applyAlignment="1">
      <alignment horizontal="center" vertical="center" wrapText="1"/>
    </xf>
    <xf numFmtId="0" fontId="37" fillId="0" borderId="0" xfId="14" applyFont="1" applyAlignment="1">
      <alignment vertical="center" wrapText="1"/>
    </xf>
    <xf numFmtId="0" fontId="84" fillId="6" borderId="1" xfId="14" applyFont="1" applyFill="1" applyBorder="1" applyAlignment="1">
      <alignment horizontal="center" vertical="center" wrapText="1"/>
    </xf>
    <xf numFmtId="0" fontId="84" fillId="6" borderId="1" xfId="14" applyFont="1" applyFill="1" applyBorder="1" applyAlignment="1">
      <alignment horizontal="right" vertical="center" wrapText="1"/>
    </xf>
    <xf numFmtId="0" fontId="19" fillId="0" borderId="1" xfId="14" applyFont="1" applyBorder="1" applyAlignment="1">
      <alignment horizontal="center" vertical="center" wrapText="1"/>
    </xf>
    <xf numFmtId="179" fontId="19" fillId="5" borderId="1" xfId="14" applyNumberFormat="1" applyFont="1" applyFill="1" applyBorder="1" applyAlignment="1">
      <alignment horizontal="right" vertical="center" wrapText="1"/>
    </xf>
    <xf numFmtId="0" fontId="19" fillId="0" borderId="1" xfId="14" applyFont="1" applyFill="1" applyBorder="1" applyAlignment="1">
      <alignment horizontal="center" vertical="center" wrapText="1"/>
    </xf>
    <xf numFmtId="0" fontId="19" fillId="0" borderId="0" xfId="14" applyFont="1" applyAlignment="1">
      <alignment vertical="center" wrapText="1"/>
    </xf>
    <xf numFmtId="179" fontId="19" fillId="0" borderId="1" xfId="14" applyNumberFormat="1" applyFont="1" applyBorder="1" applyAlignment="1">
      <alignment horizontal="right" vertical="center" wrapText="1"/>
    </xf>
    <xf numFmtId="179" fontId="19" fillId="0" borderId="1" xfId="14" applyNumberFormat="1" applyFont="1" applyFill="1" applyBorder="1" applyAlignment="1">
      <alignment horizontal="right" vertical="center" wrapText="1"/>
    </xf>
    <xf numFmtId="179" fontId="84" fillId="0" borderId="1" xfId="14" applyNumberFormat="1" applyFont="1" applyBorder="1" applyAlignment="1">
      <alignment horizontal="right" vertical="center" wrapText="1"/>
    </xf>
    <xf numFmtId="179" fontId="84" fillId="0" borderId="1" xfId="14" applyNumberFormat="1" applyFont="1" applyFill="1" applyBorder="1" applyAlignment="1">
      <alignment horizontal="right" vertical="center" wrapText="1"/>
    </xf>
    <xf numFmtId="0" fontId="84" fillId="0" borderId="1" xfId="14" applyFont="1" applyFill="1" applyBorder="1" applyAlignment="1">
      <alignment horizontal="center" vertical="center" wrapText="1"/>
    </xf>
    <xf numFmtId="0" fontId="84" fillId="0" borderId="1" xfId="14" applyFont="1" applyBorder="1" applyAlignment="1">
      <alignment horizontal="center" vertical="center" wrapText="1"/>
    </xf>
    <xf numFmtId="0" fontId="144" fillId="0" borderId="0" xfId="14" applyFont="1" applyAlignment="1">
      <alignment vertical="center" wrapText="1"/>
    </xf>
    <xf numFmtId="0" fontId="37" fillId="0" borderId="0" xfId="14" applyFont="1" applyAlignment="1">
      <alignment horizontal="right" vertical="center" wrapText="1"/>
    </xf>
    <xf numFmtId="0" fontId="37" fillId="0" borderId="0" xfId="14" applyFont="1" applyFill="1" applyAlignment="1">
      <alignment horizontal="right" vertical="center" wrapText="1"/>
    </xf>
    <xf numFmtId="0" fontId="37" fillId="0" borderId="0" xfId="14" applyFont="1" applyFill="1" applyAlignment="1">
      <alignment vertical="center" wrapText="1"/>
    </xf>
    <xf numFmtId="179" fontId="37" fillId="0" borderId="0" xfId="14" applyNumberFormat="1" applyFont="1" applyAlignment="1">
      <alignment horizontal="right" vertical="center" wrapText="1"/>
    </xf>
    <xf numFmtId="0" fontId="37" fillId="16" borderId="0" xfId="14" applyFont="1" applyFill="1" applyAlignment="1">
      <alignment horizontal="right" vertical="center" wrapText="1"/>
    </xf>
    <xf numFmtId="49" fontId="257" fillId="3" borderId="0" xfId="0" applyNumberFormat="1" applyFont="1" applyFill="1" applyBorder="1" applyAlignment="1">
      <alignment horizontal="center" vertical="center"/>
    </xf>
    <xf numFmtId="41" fontId="257" fillId="3" borderId="0" xfId="0" applyNumberFormat="1" applyFont="1" applyFill="1" applyBorder="1" applyAlignment="1">
      <alignment horizontal="center" vertical="center"/>
    </xf>
    <xf numFmtId="0" fontId="259" fillId="3" borderId="0" xfId="0" applyFont="1" applyFill="1" applyBorder="1" applyAlignment="1">
      <alignment horizontal="center" vertical="center"/>
    </xf>
    <xf numFmtId="41" fontId="259" fillId="3" borderId="0" xfId="0" applyNumberFormat="1" applyFont="1" applyFill="1" applyBorder="1" applyAlignment="1">
      <alignment horizontal="center" vertical="center"/>
    </xf>
    <xf numFmtId="49" fontId="262" fillId="17" borderId="9" xfId="17" applyNumberFormat="1" applyFont="1" applyFill="1" applyBorder="1" applyAlignment="1">
      <alignment horizontal="center"/>
    </xf>
    <xf numFmtId="49" fontId="261" fillId="17" borderId="1" xfId="15" applyNumberFormat="1" applyFont="1" applyFill="1" applyBorder="1" applyAlignment="1">
      <alignment horizontal="center" vertical="center"/>
    </xf>
    <xf numFmtId="49" fontId="262" fillId="17" borderId="1" xfId="15" applyNumberFormat="1" applyFont="1" applyFill="1" applyBorder="1" applyAlignment="1">
      <alignment horizontal="center" vertical="center"/>
    </xf>
    <xf numFmtId="49" fontId="262" fillId="17" borderId="1" xfId="15" applyNumberFormat="1" applyFont="1" applyFill="1" applyBorder="1" applyAlignment="1">
      <alignment horizontal="center" vertical="center" wrapText="1"/>
    </xf>
    <xf numFmtId="43" fontId="262" fillId="17" borderId="1" xfId="18" applyNumberFormat="1" applyFont="1" applyFill="1" applyBorder="1" applyAlignment="1">
      <alignment horizontal="center"/>
    </xf>
    <xf numFmtId="0" fontId="0" fillId="0" borderId="0" xfId="0" applyFill="1" applyBorder="1">
      <alignment vertical="center"/>
    </xf>
    <xf numFmtId="0" fontId="0" fillId="0" borderId="0" xfId="0" applyFont="1" applyFill="1" applyBorder="1">
      <alignment vertical="center"/>
    </xf>
    <xf numFmtId="198" fontId="266" fillId="7" borderId="0" xfId="0" applyNumberFormat="1" applyFont="1" applyFill="1" applyBorder="1" applyAlignment="1">
      <alignment horizontal="center" vertical="center" wrapText="1"/>
    </xf>
    <xf numFmtId="0" fontId="0" fillId="7" borderId="0" xfId="0" applyFill="1" applyBorder="1">
      <alignment vertical="center"/>
    </xf>
    <xf numFmtId="0" fontId="259" fillId="3" borderId="0" xfId="0" applyFont="1" applyFill="1" applyBorder="1">
      <alignment vertical="center"/>
    </xf>
    <xf numFmtId="0" fontId="265" fillId="3" borderId="0" xfId="0" applyFont="1" applyFill="1" applyBorder="1">
      <alignment vertical="center"/>
    </xf>
    <xf numFmtId="0" fontId="267" fillId="3" borderId="0" xfId="0" applyFont="1" applyFill="1" applyBorder="1">
      <alignment vertical="center"/>
    </xf>
    <xf numFmtId="41" fontId="267" fillId="3" borderId="0" xfId="0" applyNumberFormat="1" applyFont="1" applyFill="1" applyBorder="1">
      <alignment vertical="center"/>
    </xf>
    <xf numFmtId="0" fontId="0" fillId="0" borderId="0" xfId="0" applyBorder="1">
      <alignment vertical="center"/>
    </xf>
    <xf numFmtId="0" fontId="191" fillId="7" borderId="151" xfId="0" applyFont="1" applyFill="1" applyBorder="1" applyAlignment="1" applyProtection="1">
      <alignment vertical="center" wrapText="1"/>
      <protection locked="0"/>
    </xf>
    <xf numFmtId="0" fontId="268"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0" fillId="5" borderId="0" xfId="0" applyFont="1" applyFill="1" applyBorder="1">
      <alignment vertical="center"/>
    </xf>
    <xf numFmtId="0" fontId="0" fillId="5" borderId="0" xfId="0" applyFill="1" applyBorder="1">
      <alignment vertical="center"/>
    </xf>
    <xf numFmtId="43" fontId="0" fillId="5" borderId="0" xfId="0" applyNumberFormat="1" applyFont="1" applyFill="1" applyBorder="1">
      <alignment vertical="center"/>
    </xf>
    <xf numFmtId="43" fontId="267" fillId="3" borderId="0" xfId="0" applyNumberFormat="1" applyFont="1" applyFill="1" applyBorder="1">
      <alignment vertical="center"/>
    </xf>
    <xf numFmtId="177" fontId="11"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269" fillId="5" borderId="1"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197" fontId="168" fillId="0" borderId="0" xfId="14" applyNumberFormat="1" applyFont="1" applyFill="1" applyAlignment="1">
      <alignment horizontal="right"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0" xfId="14" applyFont="1" applyBorder="1" applyAlignment="1">
      <alignment horizontal="center" vertical="center" wrapText="1"/>
    </xf>
    <xf numFmtId="0" fontId="19" fillId="0" borderId="35" xfId="14" applyFont="1" applyBorder="1" applyAlignment="1">
      <alignment horizontal="center" vertical="center" wrapText="1"/>
    </xf>
    <xf numFmtId="0" fontId="19" fillId="0" borderId="1" xfId="14" applyFont="1" applyBorder="1" applyAlignment="1">
      <alignment horizontal="center" vertical="center" wrapText="1"/>
    </xf>
    <xf numFmtId="0" fontId="19" fillId="0" borderId="1" xfId="14" applyFont="1" applyFill="1" applyBorder="1" applyAlignment="1">
      <alignment horizontal="center" vertical="center" wrapText="1"/>
    </xf>
    <xf numFmtId="0" fontId="84" fillId="0" borderId="5" xfId="14" applyFont="1" applyBorder="1" applyAlignment="1">
      <alignment horizontal="center" vertical="center" wrapText="1"/>
    </xf>
    <xf numFmtId="0" fontId="84" fillId="0" borderId="3" xfId="14" applyFont="1" applyBorder="1" applyAlignment="1">
      <alignment horizontal="center" vertical="center" wrapText="1"/>
    </xf>
    <xf numFmtId="49" fontId="257" fillId="3" borderId="0" xfId="0" applyNumberFormat="1" applyFont="1" applyFill="1" applyBorder="1" applyAlignment="1">
      <alignment horizontal="center" vertical="center"/>
    </xf>
    <xf numFmtId="49" fontId="258" fillId="3" borderId="0" xfId="0" applyNumberFormat="1" applyFont="1" applyFill="1" applyBorder="1" applyAlignment="1">
      <alignment horizontal="center" vertical="center"/>
    </xf>
    <xf numFmtId="0" fontId="259" fillId="3" borderId="0" xfId="0" applyFont="1" applyFill="1" applyBorder="1" applyAlignment="1">
      <alignment horizontal="center" vertical="center"/>
    </xf>
    <xf numFmtId="0" fontId="260" fillId="3" borderId="0" xfId="0" applyFont="1" applyFill="1" applyBorder="1" applyAlignment="1">
      <alignment horizontal="center" vertical="center"/>
    </xf>
    <xf numFmtId="198" fontId="84" fillId="17" borderId="6" xfId="0" applyNumberFormat="1" applyFont="1" applyFill="1" applyBorder="1" applyAlignment="1">
      <alignment horizontal="center" vertical="center" wrapText="1"/>
    </xf>
    <xf numFmtId="198" fontId="84" fillId="17" borderId="23" xfId="0" applyNumberFormat="1" applyFont="1" applyFill="1" applyBorder="1" applyAlignment="1">
      <alignment horizontal="center" vertical="center" wrapText="1"/>
    </xf>
    <xf numFmtId="49" fontId="261" fillId="17" borderId="9" xfId="15" applyNumberFormat="1" applyFont="1" applyFill="1" applyBorder="1" applyAlignment="1">
      <alignment horizontal="center" vertical="center"/>
    </xf>
    <xf numFmtId="49" fontId="262" fillId="17" borderId="9" xfId="15" applyNumberFormat="1" applyFont="1" applyFill="1" applyBorder="1" applyAlignment="1">
      <alignment horizontal="center" vertical="center"/>
    </xf>
    <xf numFmtId="49" fontId="262" fillId="17" borderId="9" xfId="16" applyNumberFormat="1" applyFont="1" applyFill="1" applyBorder="1" applyAlignment="1">
      <alignment horizontal="center" vertical="center"/>
    </xf>
    <xf numFmtId="49" fontId="262" fillId="17" borderId="1" xfId="16" applyNumberFormat="1" applyFont="1" applyFill="1" applyBorder="1" applyAlignment="1">
      <alignment horizontal="center" vertical="center"/>
    </xf>
    <xf numFmtId="43" fontId="262" fillId="17" borderId="9" xfId="18" applyNumberFormat="1" applyFont="1" applyFill="1" applyBorder="1" applyAlignment="1">
      <alignment horizontal="center" vertical="center"/>
    </xf>
    <xf numFmtId="43" fontId="262" fillId="17" borderId="1" xfId="18" applyNumberFormat="1" applyFont="1" applyFill="1" applyBorder="1" applyAlignment="1">
      <alignment horizontal="center" vertical="center"/>
    </xf>
    <xf numFmtId="41" fontId="262" fillId="17" borderId="17" xfId="18" applyNumberFormat="1" applyFont="1" applyFill="1" applyBorder="1" applyAlignment="1">
      <alignment horizontal="center" vertical="center"/>
    </xf>
    <xf numFmtId="41" fontId="262" fillId="17" borderId="2" xfId="18" applyNumberFormat="1" applyFont="1" applyFill="1" applyBorder="1" applyAlignment="1">
      <alignment horizontal="center" vertical="center"/>
    </xf>
    <xf numFmtId="41" fontId="19" fillId="0" borderId="13" xfId="0" applyNumberFormat="1" applyFont="1" applyFill="1" applyBorder="1" applyAlignment="1">
      <alignment horizontal="center" vertical="center" wrapText="1"/>
    </xf>
    <xf numFmtId="41" fontId="19" fillId="0" borderId="15" xfId="0" applyNumberFormat="1" applyFont="1" applyFill="1" applyBorder="1" applyAlignment="1">
      <alignment horizontal="center" vertical="center" wrapText="1"/>
    </xf>
    <xf numFmtId="41" fontId="19" fillId="0" borderId="2" xfId="0" applyNumberFormat="1" applyFont="1" applyFill="1" applyBorder="1" applyAlignment="1">
      <alignment horizontal="center" vertical="center" wrapText="1"/>
    </xf>
    <xf numFmtId="198" fontId="84" fillId="5" borderId="23" xfId="0" applyNumberFormat="1" applyFont="1" applyFill="1" applyBorder="1" applyAlignment="1">
      <alignment horizontal="center" vertical="center" wrapText="1"/>
    </xf>
    <xf numFmtId="198" fontId="265" fillId="5" borderId="1" xfId="0" applyNumberFormat="1" applyFont="1" applyFill="1" applyBorder="1" applyAlignment="1">
      <alignment horizontal="center" vertical="center" wrapText="1"/>
    </xf>
    <xf numFmtId="198" fontId="19" fillId="5" borderId="1" xfId="0" applyNumberFormat="1" applyFont="1" applyFill="1" applyBorder="1" applyAlignment="1">
      <alignment horizontal="center" vertical="center" wrapText="1"/>
    </xf>
    <xf numFmtId="43" fontId="19" fillId="5" borderId="1" xfId="13" applyFont="1" applyFill="1" applyBorder="1" applyAlignment="1">
      <alignment horizontal="center" vertical="center" wrapText="1"/>
    </xf>
    <xf numFmtId="41" fontId="19" fillId="5" borderId="13" xfId="0" applyNumberFormat="1" applyFont="1" applyFill="1" applyBorder="1" applyAlignment="1">
      <alignment horizontal="center" vertical="center" wrapText="1"/>
    </xf>
    <xf numFmtId="41" fontId="19" fillId="5" borderId="15" xfId="0" applyNumberFormat="1" applyFont="1" applyFill="1" applyBorder="1" applyAlignment="1">
      <alignment horizontal="center" vertical="center" wrapText="1"/>
    </xf>
    <xf numFmtId="41" fontId="19" fillId="5" borderId="2" xfId="0" applyNumberFormat="1" applyFont="1" applyFill="1" applyBorder="1" applyAlignment="1">
      <alignment horizontal="center" vertical="center" wrapText="1"/>
    </xf>
    <xf numFmtId="198" fontId="84" fillId="0" borderId="23" xfId="0" applyNumberFormat="1" applyFont="1" applyFill="1" applyBorder="1" applyAlignment="1">
      <alignment horizontal="center" vertical="center" wrapText="1"/>
    </xf>
    <xf numFmtId="198" fontId="265" fillId="0" borderId="1" xfId="0" applyNumberFormat="1" applyFont="1" applyFill="1" applyBorder="1" applyAlignment="1">
      <alignment horizontal="center" vertical="center" wrapText="1"/>
    </xf>
    <xf numFmtId="198" fontId="19" fillId="0" borderId="1" xfId="0" applyNumberFormat="1" applyFont="1" applyFill="1" applyBorder="1" applyAlignment="1">
      <alignment horizontal="center" vertical="center" wrapText="1"/>
    </xf>
    <xf numFmtId="43" fontId="19" fillId="0" borderId="1" xfId="13" applyFont="1" applyFill="1" applyBorder="1" applyAlignment="1">
      <alignment horizontal="center" vertical="center" wrapText="1"/>
    </xf>
    <xf numFmtId="198" fontId="19" fillId="5" borderId="13" xfId="0" applyNumberFormat="1" applyFont="1" applyFill="1" applyBorder="1" applyAlignment="1">
      <alignment horizontal="center" vertical="center" wrapText="1"/>
    </xf>
    <xf numFmtId="198" fontId="19" fillId="5" borderId="15" xfId="0" applyNumberFormat="1" applyFont="1" applyFill="1" applyBorder="1" applyAlignment="1">
      <alignment horizontal="center" vertical="center" wrapText="1"/>
    </xf>
    <xf numFmtId="198" fontId="19" fillId="5" borderId="2" xfId="0" applyNumberFormat="1" applyFont="1" applyFill="1" applyBorder="1" applyAlignment="1">
      <alignment horizontal="center" vertical="center" wrapText="1"/>
    </xf>
    <xf numFmtId="198" fontId="84" fillId="5" borderId="11" xfId="0" applyNumberFormat="1" applyFont="1" applyFill="1" applyBorder="1" applyAlignment="1">
      <alignment horizontal="center" vertical="center" wrapText="1"/>
    </xf>
    <xf numFmtId="198" fontId="84" fillId="5" borderId="14" xfId="0" applyNumberFormat="1" applyFont="1" applyFill="1" applyBorder="1" applyAlignment="1">
      <alignment horizontal="center" vertical="center" wrapText="1"/>
    </xf>
    <xf numFmtId="198" fontId="84" fillId="5" borderId="41" xfId="0" applyNumberFormat="1" applyFont="1" applyFill="1" applyBorder="1" applyAlignment="1">
      <alignment horizontal="center" vertical="center" wrapText="1"/>
    </xf>
    <xf numFmtId="198" fontId="265" fillId="7" borderId="13" xfId="0" applyNumberFormat="1" applyFont="1" applyFill="1" applyBorder="1" applyAlignment="1">
      <alignment horizontal="center" vertical="center" wrapText="1"/>
    </xf>
    <xf numFmtId="198" fontId="265" fillId="7" borderId="15" xfId="0" applyNumberFormat="1" applyFont="1" applyFill="1" applyBorder="1" applyAlignment="1">
      <alignment horizontal="center" vertical="center" wrapText="1"/>
    </xf>
    <xf numFmtId="198" fontId="265" fillId="7" borderId="2" xfId="0" applyNumberFormat="1" applyFont="1" applyFill="1" applyBorder="1" applyAlignment="1">
      <alignment horizontal="center" vertical="center" wrapText="1"/>
    </xf>
    <xf numFmtId="43" fontId="19" fillId="0" borderId="2" xfId="13" applyFont="1" applyFill="1" applyBorder="1" applyAlignment="1">
      <alignment horizontal="center" vertical="center" wrapText="1"/>
    </xf>
    <xf numFmtId="198" fontId="266" fillId="7" borderId="11" xfId="0" applyNumberFormat="1" applyFont="1" applyFill="1" applyBorder="1" applyAlignment="1">
      <alignment horizontal="center" vertical="center" wrapText="1"/>
    </xf>
    <xf numFmtId="198" fontId="266" fillId="7" borderId="14" xfId="0" applyNumberFormat="1" applyFont="1" applyFill="1" applyBorder="1" applyAlignment="1">
      <alignment horizontal="center" vertical="center" wrapText="1"/>
    </xf>
    <xf numFmtId="198" fontId="266" fillId="7" borderId="41" xfId="0" applyNumberFormat="1" applyFont="1" applyFill="1" applyBorder="1" applyAlignment="1">
      <alignment horizontal="center" vertical="center" wrapText="1"/>
    </xf>
    <xf numFmtId="199" fontId="265" fillId="7" borderId="13" xfId="0" applyNumberFormat="1" applyFont="1" applyFill="1" applyBorder="1" applyAlignment="1">
      <alignment horizontal="center" vertical="center" wrapText="1"/>
    </xf>
    <xf numFmtId="199" fontId="265" fillId="7" borderId="15" xfId="0" applyNumberFormat="1" applyFont="1" applyFill="1" applyBorder="1" applyAlignment="1">
      <alignment horizontal="center" vertical="center" wrapText="1"/>
    </xf>
    <xf numFmtId="199" fontId="265" fillId="7" borderId="2" xfId="0" applyNumberFormat="1" applyFont="1" applyFill="1" applyBorder="1" applyAlignment="1">
      <alignment horizontal="center" vertical="center" wrapText="1"/>
    </xf>
    <xf numFmtId="41" fontId="19" fillId="7" borderId="13" xfId="0" applyNumberFormat="1" applyFont="1" applyFill="1" applyBorder="1" applyAlignment="1">
      <alignment horizontal="center" vertical="center" wrapText="1"/>
    </xf>
    <xf numFmtId="41" fontId="19" fillId="7" borderId="15" xfId="0" applyNumberFormat="1" applyFont="1" applyFill="1" applyBorder="1" applyAlignment="1">
      <alignment horizontal="center" vertical="center" wrapText="1"/>
    </xf>
    <xf numFmtId="41" fontId="19" fillId="7" borderId="2" xfId="0" applyNumberFormat="1" applyFont="1" applyFill="1" applyBorder="1" applyAlignment="1">
      <alignment horizontal="center" vertical="center" wrapText="1"/>
    </xf>
    <xf numFmtId="198" fontId="84" fillId="7" borderId="11" xfId="0" applyNumberFormat="1" applyFont="1" applyFill="1" applyBorder="1" applyAlignment="1">
      <alignment horizontal="center" vertical="center" wrapText="1"/>
    </xf>
    <xf numFmtId="198" fontId="84" fillId="7" borderId="14" xfId="0" applyNumberFormat="1" applyFont="1" applyFill="1" applyBorder="1" applyAlignment="1">
      <alignment horizontal="center" vertical="center" wrapText="1"/>
    </xf>
    <xf numFmtId="198" fontId="84" fillId="7" borderId="41" xfId="0" applyNumberFormat="1" applyFont="1" applyFill="1" applyBorder="1" applyAlignment="1">
      <alignment horizontal="center" vertical="center" wrapText="1"/>
    </xf>
    <xf numFmtId="198" fontId="19" fillId="7" borderId="13" xfId="0" applyNumberFormat="1" applyFont="1" applyFill="1" applyBorder="1" applyAlignment="1">
      <alignment horizontal="center" vertical="center" wrapText="1"/>
    </xf>
    <xf numFmtId="198" fontId="19" fillId="7" borderId="15" xfId="0" applyNumberFormat="1" applyFont="1" applyFill="1" applyBorder="1" applyAlignment="1">
      <alignment horizontal="center" vertical="center" wrapText="1"/>
    </xf>
    <xf numFmtId="198" fontId="19" fillId="7" borderId="2" xfId="0" applyNumberFormat="1" applyFont="1" applyFill="1" applyBorder="1" applyAlignment="1">
      <alignment horizontal="center" vertical="center" wrapText="1"/>
    </xf>
    <xf numFmtId="199" fontId="19" fillId="7" borderId="13" xfId="0" applyNumberFormat="1" applyFont="1" applyFill="1" applyBorder="1" applyAlignment="1">
      <alignment horizontal="center" vertical="center" wrapText="1"/>
    </xf>
    <xf numFmtId="199" fontId="19" fillId="7" borderId="15" xfId="0" applyNumberFormat="1" applyFont="1" applyFill="1" applyBorder="1" applyAlignment="1">
      <alignment horizontal="center" vertical="center" wrapText="1"/>
    </xf>
    <xf numFmtId="199" fontId="19" fillId="7" borderId="2" xfId="0" applyNumberFormat="1" applyFont="1" applyFill="1" applyBorder="1" applyAlignment="1">
      <alignment horizontal="center" vertical="center" wrapText="1"/>
    </xf>
    <xf numFmtId="198" fontId="201" fillId="0" borderId="1" xfId="0" applyNumberFormat="1" applyFont="1" applyFill="1" applyBorder="1" applyAlignment="1">
      <alignment horizontal="center" vertical="center" wrapText="1"/>
    </xf>
    <xf numFmtId="43" fontId="19" fillId="0" borderId="1" xfId="13" applyNumberFormat="1" applyFont="1" applyFill="1" applyBorder="1" applyAlignment="1">
      <alignment horizontal="center" vertical="center" wrapText="1"/>
    </xf>
  </cellXfs>
  <cellStyles count="19">
    <cellStyle name="常规" xfId="0" builtinId="0"/>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资产管理台帐-当代ΜΟΜΛ  _10" xfId="16"/>
    <cellStyle name="常规_资产管理台帐-当代ΜΟΜΛ  _11" xfId="17"/>
    <cellStyle name="常规_资产管理台帐-当代ΜΟΜΛ  _9" xfId="15"/>
    <cellStyle name="千位分隔" xfId="13" builtinId="3"/>
    <cellStyle name="千位分隔_资产管理台帐-当代ΜΟΜΛ  " xfId="18"/>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354;&#25935;&#25253;&#21578;/A&#21495;/&#24403;&#20195;moma2017&#24180;/&#21271;&#21306;123&#21495;&#27004;/&#12304;&#27979;&#31639;&#34920;&#12305;&#21271;&#21306;123&#21495;&#27004;&#65288;20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出租）"/>
      <sheetName val="收益法（自用）"/>
      <sheetName val="收益法 (元)"/>
      <sheetName val="收益法（汇总）"/>
      <sheetName val="比较法-住宅"/>
      <sheetName val="基准地价修正"/>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典型户型修正"/>
      <sheetName val="成本法（废）"/>
      <sheetName val="估价师及机构信息"/>
      <sheetName val="区片价"/>
      <sheetName val="因素修正幅度"/>
      <sheetName val="面积表"/>
      <sheetName val="租金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C10">
            <v>145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北京市东城区香河园街1号院1、2、3号楼房地产抵押价值预评估</v>
      </c>
    </row>
    <row r="3" spans="1:2" s="1596" customFormat="1">
      <c r="A3" s="1594" t="s">
        <v>1222</v>
      </c>
      <c r="B3" s="1595" t="str">
        <f>'预评函-封皮'!B40</f>
        <v>当代节能置业股份有限公司</v>
      </c>
    </row>
    <row r="4" spans="1:2" s="1596" customFormat="1">
      <c r="A4" s="1594" t="s">
        <v>1223</v>
      </c>
      <c r="B4" s="1595" t="str">
        <f ca="1">'预评函-封皮'!B46</f>
        <v>梁津（注册号：1119970066)、欧红伟（注册号：1120000080)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受贵公司委托，我公司对北京市东城区香河园街1号院1、2、3号楼房地产抵押价值进行了预评估。</v>
      </c>
    </row>
    <row r="7" spans="1:2" s="1596" customFormat="1">
      <c r="A7" s="1594" t="s">
        <v>1265</v>
      </c>
      <c r="B7" s="1595" t="str">
        <f>'预评函-1'!A7</f>
        <v>估价对象为北京市东城区香河园街1号院1、2、3号楼房地产，为所有。根据《国有土地使用证》[京东国用（2005出）第更0029号]、《房产抵押土地分摊面积计算》，估价对象（分摊）出让国有建设用地使用权面积为2044.09平方米。根据《房屋所有权证》[X京房权证东股字第007174号]、《抵押物清单》，估价对象建筑面积为7253.44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东城区香河园街1号院1、2、3号楼房地产,属开发建设的商业项目，该项目尚在开发建设中。根据《国有土地使用证》[京东国用（2005出）第更0029号]、《房产抵押土地分摊面积计算》，估价对象（分摊）出让国有建设用地使用权面积为2044.09平方米。根据《房屋所有权证》[X京房权证东股字第007174号]、《抵押物清单》，估价对象规划建筑面积为7253.44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为估价委托人在向办理贷款手续过程中，确定房地产抵押贷款额度提供参考依据而评估房地产抵押价值。</v>
      </c>
    </row>
    <row r="12" spans="1:2" s="1596" customFormat="1">
      <c r="A12" s="1594" t="s">
        <v>1227</v>
      </c>
      <c r="B12" s="1595" t="str">
        <f>'预评函-1'!A15</f>
        <v>2018年1月9日（评估专业人员实地查勘之日）</v>
      </c>
    </row>
    <row r="13" spans="1:2" s="1596" customFormat="1">
      <c r="A13" s="1594" t="s">
        <v>1228</v>
      </c>
      <c r="B13" s="1595" t="str">
        <f>'预评函-1'!A18</f>
        <v>本次估价的“房地产价值”是指在正常市场情况下，在价值时点2018年1月9日，估价对象规划用途为，土地取得方式为出让，出让国有建设用地使用权剩余土地使用年限为26.48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上水、通下水、通讯、燃气、）、红线内场地平整条件下，剩余土地使用年限为26.48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33597</v>
      </c>
    </row>
    <row r="21" spans="1:2" s="1596" customFormat="1">
      <c r="A21" s="1594" t="s">
        <v>1236</v>
      </c>
      <c r="B21" s="1595">
        <f ca="1">'预评函-2'!D7</f>
        <v>46319</v>
      </c>
    </row>
    <row r="22" spans="1:2" s="1596" customFormat="1">
      <c r="A22" s="1594" t="s">
        <v>1237</v>
      </c>
      <c r="B22" s="1595" t="str">
        <f ca="1">'预评函-2'!D6</f>
        <v>叁亿叁仟伍佰玖拾柒万元整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33597</v>
      </c>
    </row>
    <row r="31" spans="1:2" s="1596" customFormat="1">
      <c r="A31" s="1594" t="s">
        <v>1275</v>
      </c>
      <c r="B31" s="1595">
        <f ca="1">'预评函-2'!D15</f>
        <v>46319</v>
      </c>
    </row>
    <row r="32" spans="1:2" s="1596" customFormat="1">
      <c r="A32" s="1594" t="s">
        <v>1242</v>
      </c>
      <c r="B32" s="1595" t="str">
        <f ca="1">'预评函-2'!D14</f>
        <v>叁亿叁仟伍佰玖拾柒万元整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北京市东城区香河园街1号院1、2、3号楼房地产</v>
      </c>
    </row>
    <row r="42" spans="1:2" s="1596" customFormat="1">
      <c r="A42" s="1594" t="s">
        <v>1289</v>
      </c>
      <c r="B42" s="1595" t="str">
        <f>'预评函-3'!B2</f>
        <v>建筑面积</v>
      </c>
    </row>
    <row r="43" spans="1:2" s="1596" customFormat="1">
      <c r="A43" s="1594" t="s">
        <v>1290</v>
      </c>
      <c r="B43" s="1595">
        <f>'预评函-3'!B4</f>
        <v>7253.4400000000014</v>
      </c>
    </row>
    <row r="44" spans="1:2" s="1596" customFormat="1">
      <c r="A44" s="1594" t="s">
        <v>1274</v>
      </c>
      <c r="B44" s="1595" t="str">
        <f>'预评函-3'!C2</f>
        <v>(分摊)土地面积</v>
      </c>
    </row>
    <row r="45" spans="1:2" s="1596" customFormat="1">
      <c r="A45" s="1594" t="s">
        <v>1246</v>
      </c>
      <c r="B45" s="1595">
        <f>'预评函-3'!C4</f>
        <v>2044.09</v>
      </c>
    </row>
    <row r="46" spans="1:2" s="1596" customFormat="1">
      <c r="A46" s="1594" t="s">
        <v>1272</v>
      </c>
      <c r="B46" s="1595" t="str">
        <f>'预评函-3'!D2</f>
        <v>出让国有建设用地使用权价值</v>
      </c>
    </row>
    <row r="47" spans="1:2" s="1596" customFormat="1">
      <c r="A47" s="1594" t="s">
        <v>1247</v>
      </c>
      <c r="B47" s="1595">
        <f ca="1">'预评函-3'!D4</f>
        <v>29532</v>
      </c>
    </row>
    <row r="48" spans="1:2" s="1596" customFormat="1">
      <c r="A48" s="1594" t="s">
        <v>1248</v>
      </c>
      <c r="B48" s="1595">
        <f ca="1">'预评函-3'!E4</f>
        <v>40715</v>
      </c>
    </row>
    <row r="49" spans="1:2" s="1596" customFormat="1">
      <c r="A49" s="1594" t="s">
        <v>1249</v>
      </c>
      <c r="B49" s="1595" t="str">
        <f ca="1">'预评函-3'!D5</f>
        <v>贰亿玖仟伍佰叁拾贰万元整</v>
      </c>
    </row>
    <row r="50" spans="1:2" s="1596" customFormat="1">
      <c r="A50" s="1594" t="s">
        <v>1273</v>
      </c>
      <c r="B50" s="1595" t="str">
        <f>'预评函-3'!F2</f>
        <v>在建建筑物价值</v>
      </c>
    </row>
    <row r="51" spans="1:2" s="1596" customFormat="1">
      <c r="A51" s="1594" t="s">
        <v>1250</v>
      </c>
      <c r="B51" s="1595">
        <f ca="1">'预评函-3'!F4</f>
        <v>4065</v>
      </c>
    </row>
    <row r="52" spans="1:2" s="1596" customFormat="1">
      <c r="A52" s="1594" t="s">
        <v>1251</v>
      </c>
      <c r="B52" s="1595">
        <f ca="1">'预评函-3'!G4</f>
        <v>5604</v>
      </c>
    </row>
    <row r="53" spans="1:2" s="1596" customFormat="1">
      <c r="A53" s="1594" t="s">
        <v>1279</v>
      </c>
      <c r="B53" s="1595" t="str">
        <f ca="1">'预评函-3'!F5</f>
        <v>肆仟零陆拾伍万元整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梁津</v>
      </c>
    </row>
    <row r="71" spans="1:2">
      <c r="A71" s="1594" t="s">
        <v>1262</v>
      </c>
      <c r="B71" s="1595">
        <f ca="1">'预评函-4'!B4</f>
        <v>1119970066</v>
      </c>
    </row>
    <row r="72" spans="1:2">
      <c r="A72" s="1594" t="s">
        <v>1263</v>
      </c>
      <c r="B72" s="1603" t="str">
        <f>'预评函-4'!A5</f>
        <v>欧红伟</v>
      </c>
    </row>
    <row r="73" spans="1:2" s="1590" customFormat="1" ht="15" thickBot="1">
      <c r="A73" s="1597" t="s">
        <v>1264</v>
      </c>
      <c r="B73" s="1598">
        <f ca="1">'预评函-4'!B5</f>
        <v>1120000080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3200</v>
      </c>
      <c r="C17" s="2018"/>
    </row>
    <row r="18" spans="1:3">
      <c r="A18" s="2017" t="s">
        <v>1769</v>
      </c>
      <c r="B18" s="2017" t="s">
        <v>3202</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1、2、3号楼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5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5" t="s">
        <v>864</v>
      </c>
      <c r="C54" s="2022" t="s">
        <v>1282</v>
      </c>
    </row>
    <row r="55" spans="1:4">
      <c r="A55" s="3054"/>
      <c r="B55" s="2025" t="s">
        <v>865</v>
      </c>
      <c r="C55" s="2022" t="s">
        <v>1283</v>
      </c>
    </row>
    <row r="56" spans="1:4">
      <c r="A56" s="3054"/>
      <c r="B56" s="2025" t="s">
        <v>866</v>
      </c>
      <c r="C56" s="2022" t="s">
        <v>1287</v>
      </c>
    </row>
    <row r="57" spans="1:4">
      <c r="A57" s="305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3" sqref="E13"/>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55" t="str">
        <f>IF(B10="北京市","北京市",C10)&amp;F10&amp;IF(结果表!G1="在建","出让国有建设用地使用权及在建建筑物",IF(结果表!G1="土地","出让国有建设用地使用权",))&amp;B9&amp;"预评估"</f>
        <v>北京市东城区香河园街1号院1、2、3号楼房地产抵押价值预评估</v>
      </c>
      <c r="C1" s="3056"/>
      <c r="D1" s="3056"/>
      <c r="E1" s="3056"/>
      <c r="F1" s="3056"/>
      <c r="G1" s="3056"/>
      <c r="H1" s="3056"/>
      <c r="I1" s="305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北京市东城区香河园街1号院1、2、3号楼房地产抵押价值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北京市东城区香河园街1号院1、2、3号楼房地产</v>
      </c>
    </row>
    <row r="3" spans="1:19" ht="18" customHeight="1">
      <c r="A3" s="2038" t="s">
        <v>1780</v>
      </c>
      <c r="B3" s="2039">
        <v>43109</v>
      </c>
      <c r="C3" s="2040" t="s">
        <v>1781</v>
      </c>
      <c r="D3" s="2039">
        <v>43109</v>
      </c>
      <c r="E3" s="2029"/>
      <c r="F3" s="2029"/>
      <c r="G3" s="2029"/>
      <c r="H3" s="2029"/>
      <c r="I3" s="2029"/>
      <c r="J3" s="2029"/>
      <c r="K3" s="2030"/>
      <c r="L3" s="2031"/>
      <c r="M3" s="2031"/>
      <c r="N3" s="2032"/>
      <c r="O3" s="2033"/>
      <c r="P3" s="2032"/>
      <c r="Q3" s="2032"/>
      <c r="R3" s="2032"/>
      <c r="S3" s="2034"/>
    </row>
    <row r="4" spans="1:19" ht="18" customHeight="1" thickBot="1">
      <c r="A4" s="2041" t="s">
        <v>1782</v>
      </c>
      <c r="B4" s="2042" t="s">
        <v>3165</v>
      </c>
      <c r="C4" s="1039">
        <f ca="1">SUMIF(注册房地产估价师,B4,估价师及机构信息!B3:B24)</f>
        <v>1119970066</v>
      </c>
      <c r="D4" s="2042" t="s">
        <v>3166</v>
      </c>
      <c r="E4" s="1040">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31.5" customHeight="1" thickTop="1">
      <c r="A5" s="2047" t="s">
        <v>1783</v>
      </c>
      <c r="B5" s="2998" t="s">
        <v>3167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3048</v>
      </c>
      <c r="C8" s="2058"/>
      <c r="D8" s="3058" t="s">
        <v>1787</v>
      </c>
      <c r="E8" s="2059" t="s">
        <v>3049</v>
      </c>
      <c r="F8" s="2060"/>
      <c r="G8" s="2029"/>
      <c r="H8" s="2029"/>
      <c r="I8" s="2029"/>
      <c r="J8" s="2045"/>
      <c r="K8" s="2046"/>
      <c r="L8" s="2031"/>
      <c r="M8" s="2031"/>
      <c r="N8" s="2032"/>
      <c r="O8" s="2033"/>
      <c r="P8" s="2032"/>
      <c r="Q8" s="2032"/>
      <c r="R8" s="2032"/>
    </row>
    <row r="9" spans="1:19" ht="18" customHeight="1" thickBot="1">
      <c r="A9" s="2043" t="s">
        <v>1788</v>
      </c>
      <c r="B9" s="2061" t="s">
        <v>3049</v>
      </c>
      <c r="C9" s="2062"/>
      <c r="D9" s="3059"/>
      <c r="E9" s="2061" t="s">
        <v>70</v>
      </c>
      <c r="F9" s="2063"/>
      <c r="G9" s="2064"/>
      <c r="H9" s="2064"/>
      <c r="I9" s="2064"/>
      <c r="J9" s="2045"/>
      <c r="K9" s="2056"/>
      <c r="L9" s="2031"/>
      <c r="M9" s="2031"/>
      <c r="N9" s="2032"/>
      <c r="O9" s="2033"/>
      <c r="P9" s="2032"/>
      <c r="Q9" s="2032"/>
      <c r="R9" s="2032"/>
    </row>
    <row r="10" spans="1:19" ht="18" customHeight="1" thickTop="1">
      <c r="A10" s="2065" t="s">
        <v>1789</v>
      </c>
      <c r="B10" s="2066" t="s">
        <v>3168</v>
      </c>
      <c r="C10" s="2067"/>
      <c r="D10" s="2049"/>
      <c r="E10" s="2068" t="s">
        <v>1790</v>
      </c>
      <c r="F10" s="2069" t="s">
        <v>3169</v>
      </c>
      <c r="G10" s="2070"/>
      <c r="H10" s="2071"/>
      <c r="I10" s="2049"/>
      <c r="J10" s="2045"/>
      <c r="K10" s="2056"/>
      <c r="L10" s="2031"/>
      <c r="M10" s="2031"/>
      <c r="N10" s="2032"/>
      <c r="O10" s="2033"/>
      <c r="P10" s="2032"/>
      <c r="Q10" s="2032"/>
      <c r="R10" s="2032"/>
    </row>
    <row r="11" spans="1:19" ht="18" customHeight="1">
      <c r="A11" s="2072" t="s">
        <v>1791</v>
      </c>
      <c r="B11" s="2073" t="s">
        <v>3050</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3051</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1049">
        <v>52777</v>
      </c>
      <c r="F13" s="2082"/>
      <c r="G13" s="2082"/>
      <c r="H13" s="2082"/>
      <c r="I13" s="1049"/>
      <c r="J13" s="2045"/>
      <c r="K13" s="2056"/>
      <c r="L13" s="2031"/>
      <c r="M13" s="2031"/>
      <c r="N13" s="2032"/>
      <c r="O13" s="2033"/>
      <c r="P13" s="2032"/>
      <c r="Q13" s="2032"/>
      <c r="R13" s="2032"/>
    </row>
    <row r="14" spans="1:19" ht="18" customHeight="1">
      <c r="A14" s="2079"/>
      <c r="B14" s="2080"/>
      <c r="C14" s="2081" t="s">
        <v>1801</v>
      </c>
      <c r="D14" s="1052"/>
      <c r="E14" s="1052">
        <v>40</v>
      </c>
      <c r="F14" s="1052"/>
      <c r="G14" s="1052"/>
      <c r="H14" s="1052"/>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f>IF(B12="出让",IF(E13="","",ROUNDDOWN(MIN((E13-$D$3)/365,E14),2)),E14)</f>
        <v>26.48</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8" t="s">
        <v>1803</v>
      </c>
      <c r="B16" s="3065"/>
      <c r="C16" s="3066"/>
      <c r="D16" s="3067"/>
      <c r="E16" s="2088" t="s">
        <v>1804</v>
      </c>
      <c r="F16" s="3068" t="s">
        <v>3170</v>
      </c>
      <c r="G16" s="3069"/>
      <c r="H16" s="3069"/>
      <c r="I16" s="3070"/>
      <c r="J16" s="2032"/>
      <c r="K16" s="2085"/>
      <c r="L16" s="2086"/>
      <c r="M16" s="2086"/>
      <c r="N16" s="2087"/>
      <c r="O16" s="2086"/>
      <c r="P16" s="2087"/>
      <c r="Q16" s="2032"/>
      <c r="R16" s="2032"/>
    </row>
    <row r="17" spans="1:22" ht="18" customHeight="1">
      <c r="A17" s="2089" t="s">
        <v>1805</v>
      </c>
      <c r="B17" s="2038" t="s">
        <v>1806</v>
      </c>
      <c r="C17" s="1056">
        <f>'数据-汇总表'!E3</f>
        <v>7253.4400000000014</v>
      </c>
      <c r="D17" s="2090" t="s">
        <v>1807</v>
      </c>
      <c r="E17" s="3071" t="s">
        <v>3172</v>
      </c>
      <c r="F17" s="3072"/>
      <c r="G17" s="3072"/>
      <c r="H17" s="3072"/>
      <c r="I17" s="3073"/>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2044.09</v>
      </c>
      <c r="D18" s="2093" t="s">
        <v>1807</v>
      </c>
      <c r="E18" s="3074" t="s">
        <v>3171</v>
      </c>
      <c r="F18" s="3075"/>
      <c r="G18" s="3075"/>
      <c r="H18" s="3075"/>
      <c r="I18" s="3076"/>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3173</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61" t="s">
        <v>1813</v>
      </c>
      <c r="C20" s="3062"/>
      <c r="D20" s="3063" t="s">
        <v>1814</v>
      </c>
      <c r="E20" s="3064"/>
      <c r="F20" s="2100" t="s">
        <v>1815</v>
      </c>
      <c r="G20" s="2045"/>
      <c r="H20" s="2045"/>
      <c r="I20" s="2045"/>
      <c r="J20" s="2045"/>
      <c r="K20" s="3060"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c r="E21" s="2104" t="s">
        <v>1818</v>
      </c>
      <c r="F21" s="2105"/>
      <c r="G21" s="2045"/>
      <c r="H21" s="2045"/>
      <c r="I21" s="2045"/>
      <c r="J21" s="2045"/>
      <c r="K21" s="306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1819</v>
      </c>
      <c r="C22" s="2102" t="s">
        <v>1820</v>
      </c>
      <c r="D22" s="2029"/>
      <c r="E22" s="2029"/>
      <c r="F22" s="2107"/>
      <c r="G22" s="2045"/>
      <c r="H22" s="2045"/>
      <c r="I22" s="2045"/>
      <c r="J22" s="2045"/>
      <c r="K22" s="306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1821</v>
      </c>
      <c r="B23" s="183" t="s">
        <v>1822</v>
      </c>
      <c r="C23" s="2109"/>
      <c r="D23" s="2110" t="s">
        <v>1822</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1823</v>
      </c>
      <c r="C24" s="2114"/>
      <c r="D24" s="2108" t="s">
        <v>1823</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1824</v>
      </c>
      <c r="C25" s="2114"/>
      <c r="D25" s="2108" t="s">
        <v>1824</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1825</v>
      </c>
      <c r="C26" s="2118"/>
      <c r="D26" s="2119" t="s">
        <v>1826</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78" t="s">
        <v>1827</v>
      </c>
      <c r="B27" s="2065" t="s">
        <v>1828</v>
      </c>
      <c r="C27" s="2122" t="s">
        <v>3174</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78"/>
      <c r="B28" s="2038" t="s">
        <v>1829</v>
      </c>
      <c r="C28" s="2124" t="s">
        <v>3175</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78"/>
      <c r="B29" s="2038" t="s">
        <v>1830</v>
      </c>
      <c r="C29" s="2127" t="s">
        <v>3173</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79"/>
      <c r="B30" s="2038" t="s">
        <v>1831</v>
      </c>
      <c r="C30" s="3080"/>
      <c r="D30" s="3081"/>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82" t="s">
        <v>1832</v>
      </c>
      <c r="B31" s="2129" t="s">
        <v>3176</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83"/>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83"/>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1833</v>
      </c>
      <c r="B34" s="2999" t="s">
        <v>3177</v>
      </c>
      <c r="C34" s="2999" t="s">
        <v>3178</v>
      </c>
      <c r="D34" s="2999" t="s">
        <v>3179</v>
      </c>
      <c r="E34" s="2999" t="s">
        <v>3180</v>
      </c>
      <c r="F34" s="2999" t="s">
        <v>3181</v>
      </c>
      <c r="G34" s="2999" t="s">
        <v>3182</v>
      </c>
      <c r="H34" s="2136"/>
      <c r="I34" s="2045"/>
      <c r="J34" s="2045"/>
      <c r="K34" s="1798">
        <f>COUNTIF(B34:H34,"——")</f>
        <v>0</v>
      </c>
      <c r="L34" s="2077" t="s">
        <v>1834</v>
      </c>
      <c r="M34" s="2077" t="s">
        <v>1835</v>
      </c>
      <c r="N34" s="2077" t="s">
        <v>1836</v>
      </c>
      <c r="O34" s="2077" t="s">
        <v>1837</v>
      </c>
      <c r="P34" s="2077" t="s">
        <v>1838</v>
      </c>
      <c r="Q34" s="2077" t="s">
        <v>1839</v>
      </c>
      <c r="R34" s="2077" t="s">
        <v>1840</v>
      </c>
      <c r="S34" s="3077" t="s">
        <v>1841</v>
      </c>
      <c r="T34" s="2137" t="str">
        <f>NUMBERSTRING(7-K34,1)&amp;"通"</f>
        <v>七通</v>
      </c>
      <c r="U34" s="2032"/>
      <c r="V34" s="2032"/>
    </row>
    <row r="35" spans="1:22" ht="18" customHeight="1">
      <c r="A35" s="2138"/>
      <c r="B35" s="3084" t="s">
        <v>1842</v>
      </c>
      <c r="C35" s="3084"/>
      <c r="D35" s="3084"/>
      <c r="E35" s="3084"/>
      <c r="F35" s="2139">
        <f>C10</f>
        <v>0</v>
      </c>
      <c r="G35" s="2045"/>
      <c r="H35" s="2045"/>
      <c r="I35" s="2045"/>
      <c r="J35" s="2045"/>
      <c r="K35" s="2077"/>
      <c r="L35" s="207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77"/>
      <c r="T35" s="48" t="str">
        <f>IF(T34="一通",L35,IF(T34="二通",M35,IF(T34="三通",N35,IF(T34="四通",O35,IF(T34="五通",P35,IF(T34="六通",Q35,R35))))))</f>
        <v>通路、通电、通上水、通下水、通讯、燃气、</v>
      </c>
      <c r="U35" s="2032"/>
      <c r="V35" s="2032"/>
    </row>
    <row r="36" spans="1:22" ht="18" customHeight="1">
      <c r="A36" s="2140"/>
      <c r="B36" s="2139" t="s">
        <v>1843</v>
      </c>
      <c r="C36" s="2139" t="s">
        <v>1844</v>
      </c>
      <c r="D36" s="2139" t="s">
        <v>1845</v>
      </c>
      <c r="E36" s="2139" t="s">
        <v>1846</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1847</v>
      </c>
      <c r="B37" s="3000" t="s">
        <v>269</v>
      </c>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1848</v>
      </c>
      <c r="B38" s="3001" t="s">
        <v>322</v>
      </c>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1850</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1851</v>
      </c>
      <c r="B42" s="1798" t="s">
        <v>1852</v>
      </c>
      <c r="C42" s="1798" t="s">
        <v>1853</v>
      </c>
      <c r="D42" s="1798" t="s">
        <v>1854</v>
      </c>
      <c r="E42" s="1798" t="s">
        <v>1855</v>
      </c>
      <c r="F42" s="1798" t="s">
        <v>1856</v>
      </c>
      <c r="G42" s="1798" t="s">
        <v>1857</v>
      </c>
      <c r="H42" s="1798" t="s">
        <v>1858</v>
      </c>
      <c r="I42" s="1798" t="s">
        <v>1859</v>
      </c>
      <c r="J42" s="2155" t="s">
        <v>1860</v>
      </c>
      <c r="K42" s="2078" t="s">
        <v>1861</v>
      </c>
      <c r="L42" s="2078" t="s">
        <v>1862</v>
      </c>
      <c r="M42" s="2078" t="s">
        <v>1863</v>
      </c>
      <c r="N42" s="1798" t="s">
        <v>1864</v>
      </c>
      <c r="O42" s="1798" t="s">
        <v>1865</v>
      </c>
      <c r="P42" s="1798" t="s">
        <v>1866</v>
      </c>
      <c r="Q42" s="2077" t="s">
        <v>1867</v>
      </c>
      <c r="R42" s="2077" t="s">
        <v>1868</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1874</v>
      </c>
      <c r="AZ2" s="1272"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面积表!D27</f>
        <v>2044.09</v>
      </c>
      <c r="B3" s="14">
        <f>IF(C3="否",G5-AT5,G5)</f>
        <v>7253.4400000000014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7253.4400000000014</v>
      </c>
      <c r="H5" s="16">
        <f t="shared" ref="H5:AT5" si="0">SUM(H13:H656)</f>
        <v>7253.4400000000014</v>
      </c>
      <c r="I5" s="16">
        <f t="shared" si="0"/>
        <v>7253.4400000000014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7253.4400000000014</v>
      </c>
      <c r="BA5" s="18">
        <f t="shared" si="1"/>
        <v>7253.4400000000014</v>
      </c>
      <c r="BB5" s="18">
        <f t="shared" si="1"/>
        <v>7253.4400000000014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1879</v>
      </c>
      <c r="B6" s="2177"/>
      <c r="C6" s="2177"/>
      <c r="D6" s="2178"/>
      <c r="E6" s="16">
        <f>H6+AC6+AT6</f>
        <v>2044.09</v>
      </c>
      <c r="F6" s="16" t="s">
        <v>1</v>
      </c>
      <c r="G6" s="16" t="s">
        <v>2</v>
      </c>
      <c r="H6" s="20">
        <f>SUMIF(I$12:AB$12,"总值",I6:AB6)</f>
        <v>2044.09</v>
      </c>
      <c r="I6" s="16">
        <f t="shared" ref="I6:AB6" si="2">ROUND($A$3*I5/$B$3,2)</f>
        <v>2044.09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2044.09</v>
      </c>
      <c r="AZ6" s="16" t="s">
        <v>3</v>
      </c>
      <c r="BA6" s="16">
        <f>ROUND($AY$6*BA5/$AZ$5,2)</f>
        <v>2044.09</v>
      </c>
      <c r="BB6" s="16">
        <f>ROUND($AY$6*BB5/$AZ$5,2)</f>
        <v>2044.09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1887</v>
      </c>
      <c r="AV7" s="23" t="s">
        <v>1888</v>
      </c>
      <c r="AW7" s="2169" t="s">
        <v>1889</v>
      </c>
      <c r="AX7" s="23" t="s">
        <v>1882</v>
      </c>
      <c r="AY7" s="1806"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1"/>
      <c r="K8" s="1821"/>
      <c r="L8" s="1821"/>
      <c r="M8" s="1821"/>
      <c r="N8" s="1821"/>
      <c r="O8" s="1821"/>
      <c r="P8" s="1821"/>
      <c r="Q8" s="1821"/>
      <c r="R8" s="1821"/>
      <c r="S8" s="1821"/>
      <c r="T8" s="1821"/>
      <c r="U8" s="1821"/>
      <c r="V8" s="2189"/>
      <c r="W8" s="1821"/>
      <c r="X8" s="1821"/>
      <c r="Y8" s="1821"/>
      <c r="Z8" s="1821"/>
      <c r="AA8" s="2189"/>
      <c r="AB8" s="2190"/>
      <c r="AC8" s="983" t="s">
        <v>1893</v>
      </c>
      <c r="AD8" s="2191"/>
      <c r="AE8" s="2183"/>
      <c r="AF8" s="1821"/>
      <c r="AG8" s="1821"/>
      <c r="AH8" s="1821"/>
      <c r="AI8" s="1821"/>
      <c r="AJ8" s="1821"/>
      <c r="AK8" s="1821"/>
      <c r="AL8" s="1821"/>
      <c r="AM8" s="1821"/>
      <c r="AN8" s="1821"/>
      <c r="AO8" s="1821"/>
      <c r="AP8" s="1821"/>
      <c r="AQ8" s="1821"/>
      <c r="AR8" s="1821"/>
      <c r="AS8" s="1821"/>
      <c r="AT8" s="1294" t="s">
        <v>1894</v>
      </c>
      <c r="AU8" s="2185"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1898</v>
      </c>
      <c r="I9" s="2194" t="s">
        <v>3183</v>
      </c>
      <c r="J9" s="983"/>
      <c r="K9" s="2194"/>
      <c r="L9" s="983"/>
      <c r="M9" s="2194"/>
      <c r="N9" s="983"/>
      <c r="O9" s="2194"/>
      <c r="P9" s="983"/>
      <c r="Q9" s="2194"/>
      <c r="R9" s="983"/>
      <c r="S9" s="2194"/>
      <c r="T9" s="983"/>
      <c r="U9" s="2194"/>
      <c r="V9" s="983"/>
      <c r="W9" s="2194"/>
      <c r="X9" s="2195"/>
      <c r="Y9" s="2194"/>
      <c r="Z9" s="983"/>
      <c r="AA9" s="2194"/>
      <c r="AB9" s="983"/>
      <c r="AC9" s="2186"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6"/>
      <c r="AT9" s="2185"/>
      <c r="AU9" s="2185" t="s">
        <v>1901</v>
      </c>
      <c r="AV9" s="1294"/>
      <c r="AW9" s="2168"/>
      <c r="AX9" s="1294"/>
      <c r="AY9" s="28"/>
      <c r="AZ9" s="28" t="s">
        <v>1891</v>
      </c>
      <c r="BA9" s="2197" t="s">
        <v>1902</v>
      </c>
      <c r="BB9" s="2198"/>
      <c r="BC9" s="1340"/>
      <c r="BD9" s="1340"/>
      <c r="BE9" s="1340"/>
      <c r="BF9" s="1340"/>
      <c r="BG9" s="1340"/>
      <c r="BH9" s="1340"/>
      <c r="BI9" s="1340"/>
      <c r="BJ9" s="1340"/>
      <c r="BK9" s="2199"/>
      <c r="BL9" s="15" t="s">
        <v>1903</v>
      </c>
      <c r="BM9" s="1821"/>
      <c r="BN9" s="2188"/>
      <c r="BO9" s="1821"/>
      <c r="BP9" s="1821"/>
      <c r="BQ9" s="1821"/>
      <c r="BR9" s="1821"/>
      <c r="BS9" s="1821"/>
      <c r="BT9" s="26"/>
    </row>
    <row r="10" spans="1:72" s="2192" customFormat="1" ht="12.75">
      <c r="A10" s="2185"/>
      <c r="B10" s="2185"/>
      <c r="C10" s="2185"/>
      <c r="D10" s="2185"/>
      <c r="E10" s="2185"/>
      <c r="F10" s="2185"/>
      <c r="G10" s="1294"/>
      <c r="H10" s="28"/>
      <c r="I10" s="2194" t="s">
        <v>1378</v>
      </c>
      <c r="J10" s="983"/>
      <c r="K10" s="2200"/>
      <c r="L10" s="983"/>
      <c r="M10" s="2200"/>
      <c r="N10" s="983"/>
      <c r="O10" s="2200"/>
      <c r="P10" s="983"/>
      <c r="Q10" s="2200"/>
      <c r="R10" s="983"/>
      <c r="S10" s="2200"/>
      <c r="T10" s="983"/>
      <c r="U10" s="2200"/>
      <c r="V10" s="983"/>
      <c r="W10" s="2200"/>
      <c r="X10" s="983"/>
      <c r="Y10" s="2200"/>
      <c r="Z10" s="983"/>
      <c r="AA10" s="2200"/>
      <c r="AB10" s="983"/>
      <c r="AC10" s="1294"/>
      <c r="AD10" s="15" t="s">
        <v>1904</v>
      </c>
      <c r="AE10" s="2201"/>
      <c r="AF10" s="15" t="s">
        <v>1904</v>
      </c>
      <c r="AG10" s="2201"/>
      <c r="AH10" s="15" t="s">
        <v>1905</v>
      </c>
      <c r="AI10" s="2201"/>
      <c r="AJ10" s="15" t="s">
        <v>1905</v>
      </c>
      <c r="AK10" s="2201"/>
      <c r="AL10" s="15" t="s">
        <v>1906</v>
      </c>
      <c r="AM10" s="1300"/>
      <c r="AN10" s="15" t="s">
        <v>1906</v>
      </c>
      <c r="AO10" s="1300"/>
      <c r="AP10" s="15" t="s">
        <v>1907</v>
      </c>
      <c r="AQ10" s="1300"/>
      <c r="AR10" s="15" t="s">
        <v>1907</v>
      </c>
      <c r="AS10" s="1300"/>
      <c r="AT10" s="2185"/>
      <c r="AU10" s="2185"/>
      <c r="AV10" s="1294"/>
      <c r="AW10" s="2168"/>
      <c r="AX10" s="1294"/>
      <c r="AY10" s="28"/>
      <c r="AZ10" s="28"/>
      <c r="BA10" s="2202" t="s">
        <v>1898</v>
      </c>
      <c r="BB10" s="2203"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3184</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1908</v>
      </c>
      <c r="AE11" s="1822"/>
      <c r="AF11" s="2207" t="s">
        <v>1908</v>
      </c>
      <c r="AG11" s="1822"/>
      <c r="AH11" s="2207" t="s">
        <v>1909</v>
      </c>
      <c r="AI11" s="2208"/>
      <c r="AJ11" s="2207" t="s">
        <v>1909</v>
      </c>
      <c r="AK11" s="1822"/>
      <c r="AL11" s="1820"/>
      <c r="AM11" s="1822"/>
      <c r="AN11" s="1820"/>
      <c r="AO11" s="1822"/>
      <c r="AP11" s="1820"/>
      <c r="AQ11" s="1822"/>
      <c r="AR11" s="1820"/>
      <c r="AS11" s="1822"/>
      <c r="AT11" s="2168"/>
      <c r="AU11" s="2185"/>
      <c r="AV11" s="1294"/>
      <c r="AW11" s="2168"/>
      <c r="AX11" s="1294"/>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2"/>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底商</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950" t="s">
        <v>3046</v>
      </c>
      <c r="E13" s="16">
        <f>IF($C$3="是",ROUND($A$3*G13/$B$3,2),ROUND($A$3*(G13-AT13)/$B$3,2))</f>
        <v>2044.09</v>
      </c>
      <c r="F13" s="32"/>
      <c r="G13" s="33">
        <f>H13+AC13+AT13</f>
        <v>7253.4400000000014</v>
      </c>
      <c r="H13" s="20">
        <f>SUMIF(I$12:AB$12,"总值",I13:AB13)</f>
        <v>7253.4400000000014</v>
      </c>
      <c r="I13" s="2946">
        <f>面积表!C27</f>
        <v>7253.4400000000014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2044.09</v>
      </c>
      <c r="AZ13" s="16">
        <f>BA13+BL13</f>
        <v>7253.4400000000014</v>
      </c>
      <c r="BA13" s="16">
        <f>SUM(BB13:BK13)</f>
        <v>7253.4400000000014</v>
      </c>
      <c r="BB13" s="16">
        <f>IF($D13="是",I13-J13,0)</f>
        <v>7253.4400000000014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950" t="s">
        <v>3046</v>
      </c>
      <c r="E14" s="16">
        <f>IF($C$3="是",ROUND($A$3*G14/$B$3,2),ROUND($A$3*(G14-AT14)/$B$3,2))</f>
        <v>0</v>
      </c>
      <c r="F14" s="32"/>
      <c r="G14" s="33">
        <f>H14+AC14+AT14</f>
        <v>0</v>
      </c>
      <c r="H14" s="20">
        <f>SUMIF(I$12:AB$12,"总值",I14:AB14)</f>
        <v>0</v>
      </c>
      <c r="I14" s="294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950" t="s">
        <v>3046</v>
      </c>
      <c r="E15" s="16">
        <f>IF($C$3="是",ROUND($A$3*G15/$B$3,2),ROUND($A$3*(G15-AT15)/$B$3,2))</f>
        <v>0</v>
      </c>
      <c r="F15" s="32"/>
      <c r="G15" s="33">
        <f>H15+AC15+AT15</f>
        <v>0</v>
      </c>
      <c r="H15" s="20">
        <f>SUMIF(I$12:AB$12,"总值",I15:AB15)</f>
        <v>0</v>
      </c>
      <c r="I15" s="294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0" t="s">
        <v>3046</v>
      </c>
      <c r="E16" s="16">
        <f>IF($C$3="是",ROUND($A$3*G16/$B$3,2),ROUND($A$3*(G16-AT16)/$B$3,2))</f>
        <v>0</v>
      </c>
      <c r="F16" s="32"/>
      <c r="G16" s="33">
        <f>H16+AC16+AT16</f>
        <v>0</v>
      </c>
      <c r="H16" s="20">
        <f>SUMIF(I$12:AB$12,"总值",I16:AB16)</f>
        <v>0</v>
      </c>
      <c r="I16" s="294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0" t="s">
        <v>3046</v>
      </c>
      <c r="E17" s="16">
        <f>IF($C$3="是",ROUND($A$3*G17/$B$3,2),ROUND($A$3*(G17-AT17)/$B$3,2))</f>
        <v>0</v>
      </c>
      <c r="F17" s="32"/>
      <c r="G17" s="33">
        <f>H17+AC17+AT17</f>
        <v>0</v>
      </c>
      <c r="H17" s="20">
        <f>SUMIF(I$12:AB$12,"总值",I17:AB17)</f>
        <v>0</v>
      </c>
      <c r="I17" s="2947"/>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0" t="s">
        <v>3046</v>
      </c>
      <c r="E18" s="35">
        <f t="shared" ref="E18:E112" si="7">IF($C$3="是",ROUND($A$3*G18/$B$3,2),ROUND($A$3*(G18-AT18)/$B$3,2))</f>
        <v>0</v>
      </c>
      <c r="F18" s="36"/>
      <c r="G18" s="37">
        <f t="shared" ref="G18:G109" si="8">H18+AC18+AT18</f>
        <v>0</v>
      </c>
      <c r="H18" s="38">
        <f t="shared" ref="H18:H109" si="9">SUMIF(I$12:AB$12,"总值",I18:AB18)</f>
        <v>0</v>
      </c>
      <c r="I18" s="294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0" t="s">
        <v>3046</v>
      </c>
      <c r="E19" s="35">
        <f t="shared" si="7"/>
        <v>0</v>
      </c>
      <c r="F19" s="36"/>
      <c r="G19" s="37">
        <f t="shared" si="8"/>
        <v>0</v>
      </c>
      <c r="H19" s="38">
        <f t="shared" si="9"/>
        <v>0</v>
      </c>
      <c r="I19" s="294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3046</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3046</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3046</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3046</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3046</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3046</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3046</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3046</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3046</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3046</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3046</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3046</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3046</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3046</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4"/>
      <c r="C1" s="1394"/>
      <c r="D1" s="1394"/>
      <c r="E1" s="1394"/>
      <c r="F1" s="1394"/>
      <c r="G1" s="1394"/>
      <c r="H1" s="1394"/>
      <c r="I1" s="1394"/>
      <c r="J1" s="1394"/>
      <c r="K1" s="1394"/>
      <c r="L1" s="1394"/>
      <c r="M1" s="1394"/>
      <c r="N1" s="1394"/>
      <c r="O1" s="1394"/>
      <c r="P1" s="1394"/>
    </row>
    <row r="2" spans="1:16" ht="15">
      <c r="A2" s="3096" t="s">
        <v>1938</v>
      </c>
      <c r="B2" s="3096"/>
      <c r="C2" s="3096"/>
      <c r="D2" s="969" t="s">
        <v>1914</v>
      </c>
      <c r="E2" s="2229" t="s">
        <v>1915</v>
      </c>
      <c r="F2" s="1394"/>
      <c r="G2" s="2230"/>
      <c r="H2" s="2231"/>
      <c r="I2" s="2232" t="s">
        <v>1939</v>
      </c>
      <c r="J2" s="1394"/>
      <c r="K2" s="1394"/>
      <c r="L2" s="1394"/>
      <c r="M2" s="1394"/>
      <c r="N2" s="1429"/>
      <c r="O2" s="1394"/>
      <c r="P2" s="1394"/>
    </row>
    <row r="3" spans="1:16" ht="15.75" thickBot="1">
      <c r="A3" s="3097" t="s">
        <v>1912</v>
      </c>
      <c r="B3" s="3097"/>
      <c r="C3" s="3097"/>
      <c r="D3" s="46">
        <f>'数据-基础表'!AY6</f>
        <v>2044.09</v>
      </c>
      <c r="E3" s="46">
        <f>'数据-基础表'!AZ5</f>
        <v>7253.4400000000014</v>
      </c>
      <c r="F3" s="1394"/>
      <c r="G3" s="1401"/>
      <c r="H3" s="1249" t="s">
        <v>1913</v>
      </c>
      <c r="I3" s="55">
        <f>ROUND('数据-基础表'!B3/'数据-基础表'!A3,2)</f>
        <v>3.55</v>
      </c>
      <c r="J3" s="1394"/>
      <c r="K3" s="1394"/>
      <c r="L3" s="1394"/>
      <c r="M3" s="1394"/>
      <c r="N3" s="1429"/>
      <c r="O3" s="1394"/>
      <c r="P3" s="1394"/>
    </row>
    <row r="4" spans="1:16" ht="15">
      <c r="A4" s="3098"/>
      <c r="B4" s="3099"/>
      <c r="C4" s="3100"/>
      <c r="D4" s="2233" t="s">
        <v>1914</v>
      </c>
      <c r="E4" s="2234" t="s">
        <v>1915</v>
      </c>
      <c r="F4" s="1394"/>
      <c r="G4" s="2235" t="s">
        <v>1940</v>
      </c>
      <c r="H4" s="1249" t="s">
        <v>1920</v>
      </c>
      <c r="I4" s="55">
        <f>ROUND(SUMIF('数据-基础表'!I9:AS9,"地上",'数据-基础表'!I5:AS5)/'数据-基础表'!A3,2)</f>
        <v>3.55</v>
      </c>
      <c r="J4" s="1394"/>
      <c r="K4" s="1394"/>
      <c r="L4" s="1394"/>
      <c r="M4" s="1394"/>
      <c r="N4" s="1429"/>
      <c r="O4" s="1394"/>
      <c r="P4" s="1394"/>
    </row>
    <row r="5" spans="1:16">
      <c r="A5" s="47" t="s">
        <v>1916</v>
      </c>
      <c r="B5" s="3101" t="s">
        <v>1917</v>
      </c>
      <c r="C5" s="3101"/>
      <c r="D5" s="48">
        <f>ROUND($D$3*E5/$E$3,2)</f>
        <v>0</v>
      </c>
      <c r="E5" s="49">
        <f>SUMIF('数据-基础表'!$11:$11,"住宅",'数据-基础表'!$5:$5)</f>
        <v>0</v>
      </c>
      <c r="F5" s="1394"/>
      <c r="G5" s="1401"/>
      <c r="H5" s="1249" t="s">
        <v>1913</v>
      </c>
      <c r="I5" s="55">
        <f>ROUND(E31/D31,2)</f>
        <v>3.55</v>
      </c>
      <c r="J5" s="1394"/>
      <c r="K5" s="1394"/>
      <c r="L5" s="1394"/>
      <c r="M5" s="1394"/>
      <c r="N5" s="1394"/>
      <c r="O5" s="1394"/>
      <c r="P5" s="1394"/>
    </row>
    <row r="6" spans="1:16" ht="15" thickBot="1">
      <c r="A6" s="2236"/>
      <c r="B6" s="3101" t="s">
        <v>1918</v>
      </c>
      <c r="C6" s="3101"/>
      <c r="D6" s="48">
        <f>ROUND($D$3*E6/$E$3,2)</f>
        <v>2044.09</v>
      </c>
      <c r="E6" s="49">
        <f>E3-E5</f>
        <v>7253.4400000000014</v>
      </c>
      <c r="F6" s="1394"/>
      <c r="G6" s="2237" t="s">
        <v>1919</v>
      </c>
      <c r="H6" s="1401" t="s">
        <v>1920</v>
      </c>
      <c r="I6" s="941">
        <f>ROUND(F31/D31,2)</f>
        <v>3.55</v>
      </c>
      <c r="J6" s="1394"/>
      <c r="K6" s="1394"/>
      <c r="L6" s="1394"/>
      <c r="M6" s="1394"/>
      <c r="N6" s="1394"/>
      <c r="O6" s="1394"/>
      <c r="P6" s="1394"/>
    </row>
    <row r="7" spans="1:16" ht="15">
      <c r="A7" s="3093"/>
      <c r="B7" s="3094"/>
      <c r="C7" s="3095"/>
      <c r="D7" s="2233" t="s">
        <v>1914</v>
      </c>
      <c r="E7" s="2238" t="s">
        <v>1921</v>
      </c>
      <c r="F7" s="1394"/>
      <c r="G7" s="2230" t="s">
        <v>1922</v>
      </c>
      <c r="H7" s="64"/>
      <c r="I7" s="420"/>
      <c r="J7" s="1394"/>
      <c r="K7" s="1394"/>
      <c r="L7" s="1394"/>
      <c r="M7" s="1394"/>
      <c r="N7" s="1394"/>
      <c r="O7" s="1394"/>
      <c r="P7" s="1394"/>
    </row>
    <row r="8" spans="1:16">
      <c r="A8" s="47" t="s">
        <v>1923</v>
      </c>
      <c r="B8" s="50" t="s">
        <v>1924</v>
      </c>
      <c r="C8" s="48" t="s">
        <v>1925</v>
      </c>
      <c r="D8" s="48">
        <f t="shared" ref="D8:D15" si="0">ROUND($D$3*E8/$E$3,2)</f>
        <v>2044.09</v>
      </c>
      <c r="E8" s="51">
        <f>SUMIF('数据-基础表'!BB10:BK10,"地上",'数据-基础表'!BB5:BK5)</f>
        <v>7253.4400000000014</v>
      </c>
      <c r="F8" s="1394"/>
      <c r="G8" s="2239"/>
      <c r="H8" s="2239"/>
      <c r="I8" s="1394"/>
      <c r="J8" s="1394"/>
      <c r="K8" s="1394"/>
      <c r="L8" s="1394"/>
      <c r="M8" s="1394"/>
      <c r="N8" s="1394"/>
      <c r="O8" s="1394"/>
      <c r="P8" s="1394"/>
    </row>
    <row r="9" spans="1:16">
      <c r="A9" s="2240"/>
      <c r="B9" s="2241"/>
      <c r="C9" s="48" t="s">
        <v>1926</v>
      </c>
      <c r="D9" s="48">
        <f t="shared" si="0"/>
        <v>0</v>
      </c>
      <c r="E9" s="52">
        <v>0</v>
      </c>
      <c r="F9" s="1394"/>
      <c r="G9" s="2239"/>
      <c r="H9" s="2239"/>
      <c r="I9" s="1394"/>
      <c r="J9" s="1394"/>
      <c r="K9" s="1394"/>
      <c r="L9" s="1394"/>
      <c r="M9" s="1394"/>
      <c r="N9" s="1394"/>
      <c r="O9" s="1394"/>
      <c r="P9" s="1394"/>
    </row>
    <row r="10" spans="1:16">
      <c r="A10" s="2240"/>
      <c r="B10" s="2241"/>
      <c r="C10" s="48" t="s">
        <v>1935</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1929</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1930</v>
      </c>
      <c r="D16" s="50">
        <f>SUM(D8:D15)</f>
        <v>2044.09</v>
      </c>
      <c r="E16" s="53">
        <f>SUM(E8:E15)</f>
        <v>7253.4400000000014</v>
      </c>
      <c r="F16" s="1394"/>
      <c r="G16" s="2239"/>
      <c r="H16" s="2242" t="s">
        <v>1942</v>
      </c>
      <c r="I16" s="2243"/>
      <c r="J16" s="1394"/>
      <c r="K16" s="3090" t="s">
        <v>1942</v>
      </c>
      <c r="L16" s="3091"/>
      <c r="M16" s="3091"/>
      <c r="N16" s="3091"/>
      <c r="O16" s="3091"/>
      <c r="P16" s="3092"/>
    </row>
    <row r="17" spans="1:19" ht="15">
      <c r="A17" s="2244" t="s">
        <v>1943</v>
      </c>
      <c r="B17" s="2245" t="s">
        <v>1944</v>
      </c>
      <c r="C17" s="2246" t="s">
        <v>1945</v>
      </c>
      <c r="D17" s="2247" t="s">
        <v>1933</v>
      </c>
      <c r="E17" s="2248" t="s">
        <v>1934</v>
      </c>
      <c r="F17" s="2249"/>
      <c r="G17" s="2250"/>
      <c r="H17" s="2251" t="s">
        <v>1946</v>
      </c>
      <c r="I17" s="2252" t="s">
        <v>1931</v>
      </c>
      <c r="J17" s="1394"/>
      <c r="K17" s="3087" t="s">
        <v>1947</v>
      </c>
      <c r="L17" s="3088"/>
      <c r="M17" s="3089"/>
      <c r="N17" s="3087" t="s">
        <v>1948</v>
      </c>
      <c r="O17" s="3088"/>
      <c r="P17" s="3089"/>
      <c r="R17" s="2230" t="s">
        <v>1949</v>
      </c>
      <c r="S17" s="64"/>
    </row>
    <row r="18" spans="1:19" ht="15">
      <c r="A18" s="2240"/>
      <c r="B18" s="2253"/>
      <c r="C18" s="2254"/>
      <c r="D18" s="2255"/>
      <c r="E18" s="2256" t="s">
        <v>1950</v>
      </c>
      <c r="F18" s="2257" t="s">
        <v>1951</v>
      </c>
      <c r="G18" s="2258" t="s">
        <v>1952</v>
      </c>
      <c r="H18" s="1264" t="s">
        <v>1953</v>
      </c>
      <c r="I18" s="2259" t="s">
        <v>1954</v>
      </c>
      <c r="J18" s="1394"/>
      <c r="K18" s="1264" t="s">
        <v>1955</v>
      </c>
      <c r="L18" s="2260" t="s">
        <v>1956</v>
      </c>
      <c r="M18" s="1048" t="s">
        <v>1957</v>
      </c>
      <c r="N18" s="1264" t="s">
        <v>1955</v>
      </c>
      <c r="O18" s="2260" t="s">
        <v>1956</v>
      </c>
      <c r="P18" s="1048" t="s">
        <v>1957</v>
      </c>
      <c r="R18" s="1249" t="s">
        <v>1958</v>
      </c>
      <c r="S18" s="1249" t="s">
        <v>1959</v>
      </c>
    </row>
    <row r="19" spans="1:19">
      <c r="A19" s="2261"/>
      <c r="B19" s="50" t="s">
        <v>1932</v>
      </c>
      <c r="C19" s="3006" t="s">
        <v>3185</v>
      </c>
      <c r="D19" s="48">
        <f>ROUND($D$3*E19/$E$3,2)</f>
        <v>52.16</v>
      </c>
      <c r="E19" s="56">
        <f t="shared" ref="E19:E26" si="1">SUM(F19:G19)</f>
        <v>185.09</v>
      </c>
      <c r="F19" s="3007">
        <f>租金表!H36</f>
        <v>185.09</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52.16</v>
      </c>
      <c r="S19" s="1250">
        <f t="shared" si="5"/>
        <v>185.09</v>
      </c>
    </row>
    <row r="20" spans="1:19">
      <c r="A20" s="2264"/>
      <c r="B20" s="50" t="s">
        <v>1960</v>
      </c>
      <c r="C20" s="3006" t="s">
        <v>3186</v>
      </c>
      <c r="D20" s="48">
        <f t="shared" ref="D20:D26" si="6">ROUND($D$3*E20/$E$3,2)</f>
        <v>1991.93</v>
      </c>
      <c r="E20" s="56">
        <f t="shared" si="1"/>
        <v>7068.3500000000013</v>
      </c>
      <c r="F20" s="3007">
        <f>'数据-基础表'!I13-'数据-汇总表'!F19</f>
        <v>7068.3500000000013</v>
      </c>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1991.93</v>
      </c>
      <c r="S20" s="1250">
        <f t="shared" si="5"/>
        <v>7068.3500000000013</v>
      </c>
    </row>
    <row r="21" spans="1:19">
      <c r="A21" s="2264"/>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1961</v>
      </c>
      <c r="D27" s="1395">
        <f>SUM(D19:D26)</f>
        <v>2044.0900000000001</v>
      </c>
      <c r="E27" s="1396">
        <f>IF(SUM(E19:E26)='数据-基础表'!BA5,SUM(E19:E26),IF(F27="地上面积有误","面积有误","地下面积有误"))</f>
        <v>7253.4400000000014</v>
      </c>
      <c r="F27" s="1395">
        <f>IF(SUM(F19:F26)=E8,SUM(F19:F26),"地上面积有误")</f>
        <v>7253.4400000000014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2044.0900000000001</v>
      </c>
      <c r="S27" s="1249">
        <f>IF(SUM(S19:S26)=$E$3,SUM(S19:S26),SUM(S19:S26)&amp;"误差"&amp;ROUND(SUM(S19:S26)-E3,2))</f>
        <v>7253.4400000000014</v>
      </c>
    </row>
    <row r="28" spans="1:19">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1965</v>
      </c>
      <c r="D31" s="729">
        <f>D27+D30</f>
        <v>2044.0900000000001</v>
      </c>
      <c r="E31" s="729">
        <f>E27+E30</f>
        <v>7253.4400000000014</v>
      </c>
      <c r="F31" s="730">
        <f>F27+F30</f>
        <v>7253.4400000000014</v>
      </c>
      <c r="G31" s="731">
        <f>G27+G30</f>
        <v>0</v>
      </c>
      <c r="H31" s="1394"/>
      <c r="I31" s="1394"/>
      <c r="J31" s="1394"/>
      <c r="K31" s="1394"/>
      <c r="L31" s="1394"/>
      <c r="M31" s="1394"/>
      <c r="N31" s="1394"/>
      <c r="O31" s="1394"/>
      <c r="P31" s="1394"/>
    </row>
    <row r="32" spans="1:19">
      <c r="A32" s="2235"/>
      <c r="B32" s="2235" t="s">
        <v>1966</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8">
        <f>项目基本情况!D3</f>
        <v>43109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3047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7" t="s">
        <v>2008</v>
      </c>
      <c r="AP5" s="1251" t="s">
        <v>2009</v>
      </c>
      <c r="AQ5" s="2306" t="s">
        <v>2010</v>
      </c>
      <c r="AR5" s="2306"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商业（出租）</v>
      </c>
      <c r="B6" s="2308" t="str">
        <f>IF(A6=0,"","经营性")</f>
        <v>经营性</v>
      </c>
      <c r="C6" s="2309" t="s">
        <v>1378</v>
      </c>
      <c r="D6" s="1053">
        <f>SUMIF(项目基本情况!D$12:I$12,C6,项目基本情况!D$14:I$14)</f>
        <v>40</v>
      </c>
      <c r="E6" s="1050">
        <f>IF(B6="","",SUMIF(项目基本情况!D$12:I$12,C6,项目基本情况!D$13:I$13))</f>
        <v>52777</v>
      </c>
      <c r="F6" s="72">
        <f>SUMIF(项目基本情况!D$12:I$12,C6,项目基本情况!D$15:I$15)</f>
        <v>26.48</v>
      </c>
      <c r="G6" s="73">
        <f>IF(ISERROR(ROUND(POWER(1+H6,D6-F6)*(POWER(1+H6,F6)-1)/(POWER(1+H6,D6)-1),3)),0,ROUND(POWER(1+H6,D6-F6)*(POWER(1+H6,F6)-1)/(POWER(1+H6,D6)-1),3))</f>
        <v>0.85899999999999999</v>
      </c>
      <c r="H6" s="802">
        <v>5.5E-2</v>
      </c>
      <c r="I6" s="802">
        <v>0.06</v>
      </c>
      <c r="J6" s="74">
        <v>8.5000000000000006E-2</v>
      </c>
      <c r="K6" s="1253">
        <f>SUMIF('数据-汇总表'!C$19:C$33,A6,'数据-汇总表'!E$19:E$33)</f>
        <v>185.09</v>
      </c>
      <c r="L6" s="803">
        <v>4500</v>
      </c>
      <c r="M6" s="75">
        <f t="shared" ref="M6:M14" si="0">ROUND(K6*L6/10000,0)</f>
        <v>83</v>
      </c>
      <c r="N6" s="801">
        <f>ROUND(1-(2018-2008)/60,2)</f>
        <v>0.83</v>
      </c>
      <c r="O6" s="75" t="str">
        <f>IF($N$5="成新度","——",ROUND(M6*N6,0))</f>
        <v>——</v>
      </c>
      <c r="P6" s="76" t="str">
        <f>IF($N$5="成新度","——",M6-O6)</f>
        <v>——</v>
      </c>
      <c r="Q6" s="804">
        <v>0.3</v>
      </c>
      <c r="R6" s="77">
        <f ca="1">SUMIF('数据-汇总表'!C$19:C$33,A6,'数据-汇总表'!R$19:R$27)</f>
        <v>52.16</v>
      </c>
      <c r="S6" s="54">
        <f>IF('数据-汇总表'!$I$17="按面积比例",SUMIF('数据-汇总表'!C$19:C$33,A6,'数据-汇总表'!K$19:K$33),SUMIF('数据-汇总表'!C$19:C$33,A6,'数据-汇总表'!N$19:N$33))</f>
        <v>0</v>
      </c>
      <c r="T6" s="1445">
        <f>ROUND($L$14*S6/10000,0)</f>
        <v>0</v>
      </c>
      <c r="U6" s="78">
        <f>租金表!K36</f>
        <v>9.9</v>
      </c>
      <c r="V6" s="79">
        <v>0</v>
      </c>
      <c r="W6" s="79">
        <v>0</v>
      </c>
      <c r="X6" s="1263"/>
      <c r="Y6" s="80">
        <f>N6</f>
        <v>0.83</v>
      </c>
      <c r="Z6" s="81">
        <f>ROUND(面积表!D32*(1+'数据-取费表'!AA6)^2.78,1)</f>
        <v>7.8</v>
      </c>
      <c r="AA6" s="74">
        <v>3.5000000000000003E-2</v>
      </c>
      <c r="AB6" s="74">
        <v>0.1</v>
      </c>
      <c r="AC6" s="1263"/>
      <c r="AD6" s="801">
        <f>ROUND(1-(2020-2008)/60,2)</f>
        <v>0.8</v>
      </c>
      <c r="AE6" s="1264">
        <f ca="1">IF(AN6="",0,SUMIF(INDIRECT("'"&amp;AN6&amp;"'"&amp;"!E:E"),$AE$5,INDIRECT("'"&amp;AN6&amp;"'"&amp;"!F:F")))</f>
        <v>26.48</v>
      </c>
      <c r="AF6" s="1807">
        <v>2.78</v>
      </c>
      <c r="AG6" s="147">
        <f ca="1">IF(AF6="",0,AE6-AF6)</f>
        <v>23.7</v>
      </c>
      <c r="AH6" s="83"/>
      <c r="AI6" s="85">
        <v>365</v>
      </c>
      <c r="AJ6" s="86"/>
      <c r="AK6" s="87">
        <v>1.4999999999999999E-2</v>
      </c>
      <c r="AL6" s="88">
        <v>1.5E-3</v>
      </c>
      <c r="AM6" s="89">
        <v>1.4999999999999999E-2</v>
      </c>
      <c r="AN6" s="2310" t="s">
        <v>3201</v>
      </c>
      <c r="AO6" s="55">
        <f ca="1">SUMIF(INDIRECT("'"&amp;AN6&amp;"'"&amp;"!A:A"),"总价",INDIRECT("'"&amp;AN6&amp;"'"&amp;"!B:B"))</f>
        <v>735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商业（自用）</v>
      </c>
      <c r="B7" s="2308" t="str">
        <f t="shared" ref="B7:B13" si="1">IF(A7=0,"","经营性")</f>
        <v>经营性</v>
      </c>
      <c r="C7" s="2309" t="s">
        <v>1378</v>
      </c>
      <c r="D7" s="1053">
        <f>SUMIF(项目基本情况!D$12:I$12,C7,项目基本情况!D$14:I$14)</f>
        <v>40</v>
      </c>
      <c r="E7" s="1050">
        <f>IF(B7="","",SUMIF(项目基本情况!D$12:I$12,C7,项目基本情况!D$13:I$13))</f>
        <v>52777</v>
      </c>
      <c r="F7" s="72">
        <f>SUMIF(项目基本情况!D$12:I$12,C7,项目基本情况!D$15:I$15)</f>
        <v>26.48</v>
      </c>
      <c r="G7" s="73">
        <f t="shared" ref="G7:G11" si="2">IF(ISERROR(ROUND(POWER(1+H7,D7-F7)*(POWER(1+H7,F7)-1)/(POWER(1+H7,D7)-1),3)),0,ROUND(POWER(1+H7,D7-F7)*(POWER(1+H7,F7)-1)/(POWER(1+H7,D7)-1),3))</f>
        <v>0.85899999999999999</v>
      </c>
      <c r="H7" s="802">
        <v>5.5E-2</v>
      </c>
      <c r="I7" s="802">
        <v>0.06</v>
      </c>
      <c r="J7" s="74">
        <v>8.5000000000000006E-2</v>
      </c>
      <c r="K7" s="1253">
        <f>SUMIF('数据-汇总表'!C$19:C$33,A7,'数据-汇总表'!E$19:E$33)</f>
        <v>7068.3500000000013</v>
      </c>
      <c r="L7" s="803">
        <v>4500</v>
      </c>
      <c r="M7" s="75">
        <f t="shared" si="0"/>
        <v>3181</v>
      </c>
      <c r="N7" s="801">
        <f>ROUND(1-(2018-2008)/60,2)</f>
        <v>0.83</v>
      </c>
      <c r="O7" s="75" t="str">
        <f t="shared" ref="O7:O14" si="3">IF($N$5="成新度","——",ROUND(M7*N7,0))</f>
        <v>——</v>
      </c>
      <c r="P7" s="76" t="str">
        <f t="shared" ref="P7:P14" si="4">IF($N$5="成新度","——",M7-O7)</f>
        <v>——</v>
      </c>
      <c r="Q7" s="804">
        <v>0.3</v>
      </c>
      <c r="R7" s="77">
        <f ca="1">SUMIF('数据-汇总表'!C$19:C$33,A7,'数据-汇总表'!R$19:R$27)</f>
        <v>1991.93</v>
      </c>
      <c r="S7" s="54">
        <f>IF('数据-汇总表'!$I$17="按面积比例",SUMIF('数据-汇总表'!C$19:C$33,A7,'数据-汇总表'!K$19:K$33),SUMIF('数据-汇总表'!C$19:C$33,A7,'数据-汇总表'!N$19:N$33))</f>
        <v>0</v>
      </c>
      <c r="T7" s="1445">
        <f t="shared" ref="T7:T13" si="5">ROUND($L$14*S7/10000,0)</f>
        <v>0</v>
      </c>
      <c r="U7" s="78">
        <f>面积表!D32</f>
        <v>7.1</v>
      </c>
      <c r="V7" s="79">
        <v>3.5000000000000003E-2</v>
      </c>
      <c r="W7" s="79">
        <v>0.1</v>
      </c>
      <c r="X7" s="1263"/>
      <c r="Y7" s="80">
        <f>N7</f>
        <v>0.83</v>
      </c>
      <c r="Z7" s="81"/>
      <c r="AA7" s="74"/>
      <c r="AB7" s="74"/>
      <c r="AC7" s="1263"/>
      <c r="AD7" s="82"/>
      <c r="AE7" s="1264">
        <f t="shared" ref="AE7:AE13" ca="1" si="6">IF(AN7="",0,SUMIF(INDIRECT("'"&amp;AN7&amp;"'"&amp;"!E:E"),$AE$5,INDIRECT("'"&amp;AN7&amp;"'"&amp;"!F:F")))</f>
        <v>26.48</v>
      </c>
      <c r="AF7" s="1807"/>
      <c r="AG7" s="147">
        <f t="shared" ref="AG7:AG13" si="7">IF(AF7="",0,AE7-AF7)</f>
        <v>0</v>
      </c>
      <c r="AH7" s="83"/>
      <c r="AI7" s="85">
        <v>365</v>
      </c>
      <c r="AJ7" s="86"/>
      <c r="AK7" s="87">
        <v>1.4999999999999999E-2</v>
      </c>
      <c r="AL7" s="88">
        <v>1.5E-3</v>
      </c>
      <c r="AM7" s="89">
        <v>1.4999999999999999E-2</v>
      </c>
      <c r="AN7" s="2310" t="s">
        <v>3199</v>
      </c>
      <c r="AO7" s="55">
        <f t="shared" ref="AO7:AO13" ca="1" si="8">SUMIF(INDIRECT("'"&amp;AN7&amp;"'"&amp;"!A:A"),"总价",INDIRECT("'"&amp;AN7&amp;"'"&amp;"!B:B"))</f>
        <v>26254</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7"/>
      <c r="D16" s="2315"/>
      <c r="E16" s="97"/>
      <c r="F16" s="97"/>
      <c r="G16" s="98">
        <f>ROUND(SUMPRODUCT(G6:G13,K6:K13)/SUMPRODUCT((G6:G13&gt;0)*(K6:K13)),3)</f>
        <v>0.85899999999999999</v>
      </c>
      <c r="H16" s="99">
        <f>ROUND(SUMPRODUCT(H6:H13,K6:K13)/SUMPRODUCT((H6:H13&gt;0)*(K6:K13)),3)</f>
        <v>5.5E-2</v>
      </c>
      <c r="I16" s="100"/>
      <c r="J16" s="100"/>
      <c r="K16" s="101">
        <f>SUM(K6:K15)</f>
        <v>7253.4400000000014</v>
      </c>
      <c r="L16" s="102">
        <f>ROUND(M16*10000/SUM(K6:K14),0)</f>
        <v>4500</v>
      </c>
      <c r="M16" s="102">
        <f>SUM(M6:M14)</f>
        <v>3264</v>
      </c>
      <c r="N16" s="103">
        <f>ROUND(SUMPRODUCT(M6:M14,N6:N14)/M16,3)</f>
        <v>0.83</v>
      </c>
      <c r="O16" s="102">
        <f>SUM(O6:O14)</f>
        <v>0</v>
      </c>
      <c r="P16" s="102">
        <f>SUM(P6:P14)</f>
        <v>0</v>
      </c>
      <c r="Q16" s="104">
        <f>ROUND(SUMPRODUCT(Q6:Q13,K6:K13)/SUMPRODUCT((Q6:Q13&gt;0)*(K6:K13)),2)</f>
        <v>0.3</v>
      </c>
      <c r="R16" s="1257">
        <f ca="1">SUM(R6:R13)</f>
        <v>2044.0900000000001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2</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c r="C27" s="1767" t="s">
        <v>2030</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121">
        <f>[1]成本法!C10</f>
        <v>145</v>
      </c>
      <c r="C29" s="1767" t="s">
        <v>2033</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6">
        <v>0.05</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6" t="s">
        <v>2043</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0.03</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0.03</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2">
        <f ca="1">存贷款利率!G1</f>
        <v>4.7500000000000001E-2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v>0</v>
      </c>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18</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3009" t="s">
        <v>442</v>
      </c>
      <c r="C53" s="1429" t="s">
        <v>2071</v>
      </c>
      <c r="D53" s="2337"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v>30</v>
      </c>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v>24</v>
      </c>
      <c r="C55" s="1429">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v>18</v>
      </c>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v>12</v>
      </c>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v>3</v>
      </c>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2" t="s">
        <v>2083</v>
      </c>
      <c r="B1" s="3103"/>
      <c r="C1" s="3103"/>
      <c r="D1" s="3103"/>
      <c r="E1" s="3103"/>
      <c r="F1" s="3103"/>
      <c r="G1" s="310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7"/>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7253.4400000000014</v>
      </c>
      <c r="C1" s="1745"/>
      <c r="D1" s="1745"/>
      <c r="E1" s="1745"/>
      <c r="F1" s="1745"/>
      <c r="G1" s="1743"/>
    </row>
    <row r="2" spans="1:10" ht="16.5">
      <c r="A2" s="1746" t="s">
        <v>1354</v>
      </c>
      <c r="B2" s="1746">
        <f>SUM(C14:C23)</f>
        <v>2044.09</v>
      </c>
      <c r="C2" s="1745"/>
      <c r="D2" s="1745"/>
      <c r="E2" s="1745"/>
      <c r="F2" s="1745"/>
      <c r="G2" s="1743"/>
    </row>
    <row r="3" spans="1:10" ht="16.5">
      <c r="A3" s="1746" t="s">
        <v>1363</v>
      </c>
      <c r="B3" s="1747">
        <f>项目基本情况!D3</f>
        <v>43109</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33597</v>
      </c>
      <c r="C5" s="1746">
        <f ca="1">ROUND(B5*10000/$B$1,0)</f>
        <v>46319</v>
      </c>
      <c r="D5" s="1746">
        <f ca="1">ROUND(B5*10000/$B$2,0)</f>
        <v>164362</v>
      </c>
      <c r="E5" s="1745"/>
      <c r="F5" s="1743"/>
      <c r="G5" s="1743"/>
    </row>
    <row r="6" spans="1:10" ht="16.5">
      <c r="A6" s="1746" t="s">
        <v>1357</v>
      </c>
      <c r="B6" s="1746">
        <f ca="1">SUM(G14:G23)</f>
        <v>33597</v>
      </c>
      <c r="C6" s="1746">
        <f ca="1">ROUND(B6*10000/$B$1,0)</f>
        <v>46319</v>
      </c>
      <c r="D6" s="1746">
        <f ca="1">ROUND(B6*10000/$B$2,0)</f>
        <v>164362</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7253.4400000000014</v>
      </c>
      <c r="C14" s="1744">
        <f>结果表!C118</f>
        <v>2044.09</v>
      </c>
      <c r="D14" s="1744">
        <f ca="1">结果表!H118</f>
        <v>33597</v>
      </c>
      <c r="E14" s="1744">
        <f ca="1">ROUND(D14*10000/B14,0)</f>
        <v>46319</v>
      </c>
      <c r="F14" s="1744">
        <f ca="1">ROUND(D14*10000/C14,0)</f>
        <v>164362</v>
      </c>
      <c r="G14" s="1744">
        <f ca="1">结果表!D122</f>
        <v>33597</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 zoomScaleNormal="100" zoomScaleSheetLayoutView="100" zoomScalePageLayoutView="80" workbookViewId="0">
      <selection activeCell="G31" sqref="G3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2120</v>
      </c>
      <c r="B1" s="2419"/>
      <c r="C1" s="2420"/>
      <c r="D1" s="2419"/>
      <c r="E1" s="2419"/>
      <c r="F1" s="2421" t="s">
        <v>2121</v>
      </c>
      <c r="G1" s="2073" t="s">
        <v>3176</v>
      </c>
      <c r="H1" s="2422" t="str">
        <f>IF(G1="现房","——","估价对象范围")</f>
        <v>——</v>
      </c>
      <c r="I1" s="2423"/>
    </row>
    <row r="2" spans="1:12" ht="21.75" customHeight="1" thickBot="1">
      <c r="A2" s="3176" t="str">
        <f>项目基本情况!S2</f>
        <v>北京市东城区香河园街1号院1、2、3号楼房地产</v>
      </c>
      <c r="B2" s="3177"/>
      <c r="C2" s="3177"/>
      <c r="D2" s="3177"/>
      <c r="E2" s="3177"/>
      <c r="F2" s="3177"/>
      <c r="G2" s="3177"/>
      <c r="H2" s="3177"/>
      <c r="I2" s="3178"/>
    </row>
    <row r="3" spans="1:12" ht="12.75">
      <c r="A3" s="3179" t="s">
        <v>2122</v>
      </c>
      <c r="B3" s="3180"/>
      <c r="C3" s="3180"/>
      <c r="D3" s="3180"/>
      <c r="E3" s="3180"/>
      <c r="F3" s="3180"/>
      <c r="G3" s="3180"/>
      <c r="H3" s="3180"/>
      <c r="I3" s="3180"/>
    </row>
    <row r="4" spans="1:12" ht="14.25">
      <c r="A4" s="2426" t="s">
        <v>2123</v>
      </c>
      <c r="B4" s="2427" t="s">
        <v>2124</v>
      </c>
      <c r="C4" s="2428" t="s">
        <v>3206</v>
      </c>
      <c r="D4" s="2428" t="s">
        <v>3207</v>
      </c>
      <c r="E4" s="3160" t="s">
        <v>2125</v>
      </c>
      <c r="F4" s="3173"/>
      <c r="G4" s="3173"/>
      <c r="H4" s="3173"/>
      <c r="I4" s="316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1" t="s">
        <v>2126</v>
      </c>
      <c r="B5" s="3077">
        <v>25</v>
      </c>
      <c r="C5" s="3181"/>
      <c r="D5" s="3169"/>
      <c r="E5" s="140" t="s">
        <v>2127</v>
      </c>
      <c r="F5" s="2430"/>
      <c r="G5" s="2430"/>
      <c r="H5" s="2430"/>
      <c r="I5" s="1834"/>
    </row>
    <row r="6" spans="1:12" ht="12.75">
      <c r="A6" s="3151"/>
      <c r="B6" s="3077"/>
      <c r="C6" s="3183"/>
      <c r="D6" s="3169"/>
      <c r="E6" s="140" t="s">
        <v>2128</v>
      </c>
      <c r="F6" s="2430"/>
      <c r="G6" s="2430"/>
      <c r="H6" s="2430"/>
      <c r="I6" s="1834"/>
    </row>
    <row r="7" spans="1:12" ht="12.75">
      <c r="A7" s="3151"/>
      <c r="B7" s="3077"/>
      <c r="C7" s="3182"/>
      <c r="D7" s="3169"/>
      <c r="E7" s="140" t="s">
        <v>2129</v>
      </c>
      <c r="F7" s="2430"/>
      <c r="G7" s="2430"/>
      <c r="H7" s="2430"/>
      <c r="I7" s="1834"/>
    </row>
    <row r="8" spans="1:12" ht="12.75">
      <c r="A8" s="3151" t="s">
        <v>2130</v>
      </c>
      <c r="B8" s="3077">
        <v>15</v>
      </c>
      <c r="C8" s="3181"/>
      <c r="D8" s="3169"/>
      <c r="E8" s="140" t="s">
        <v>2131</v>
      </c>
      <c r="F8" s="2430"/>
      <c r="G8" s="2430"/>
      <c r="H8" s="2430"/>
      <c r="I8" s="1834"/>
    </row>
    <row r="9" spans="1:12" ht="12.75">
      <c r="A9" s="3151"/>
      <c r="B9" s="3077"/>
      <c r="C9" s="3182"/>
      <c r="D9" s="3169"/>
      <c r="E9" s="140" t="s">
        <v>2132</v>
      </c>
      <c r="F9" s="2430"/>
      <c r="G9" s="2430"/>
      <c r="H9" s="2430"/>
      <c r="I9" s="1834"/>
    </row>
    <row r="10" spans="1:12" ht="12.75">
      <c r="A10" s="3151" t="s">
        <v>2133</v>
      </c>
      <c r="B10" s="3077">
        <v>15</v>
      </c>
      <c r="C10" s="3181"/>
      <c r="D10" s="3169"/>
      <c r="E10" s="140" t="s">
        <v>2134</v>
      </c>
      <c r="F10" s="2430"/>
      <c r="G10" s="2430"/>
      <c r="H10" s="2430"/>
      <c r="I10" s="1834"/>
    </row>
    <row r="11" spans="1:12" ht="12.75">
      <c r="A11" s="3151"/>
      <c r="B11" s="3077"/>
      <c r="C11" s="3182"/>
      <c r="D11" s="3169"/>
      <c r="E11" s="140" t="s">
        <v>2135</v>
      </c>
      <c r="F11" s="2430"/>
      <c r="G11" s="2430"/>
      <c r="H11" s="2430"/>
      <c r="I11" s="1834"/>
    </row>
    <row r="12" spans="1:12" ht="12.75">
      <c r="A12" s="3151" t="s">
        <v>2136</v>
      </c>
      <c r="B12" s="3077">
        <v>15</v>
      </c>
      <c r="C12" s="3181"/>
      <c r="D12" s="3169"/>
      <c r="E12" s="140" t="s">
        <v>2137</v>
      </c>
      <c r="F12" s="2430"/>
      <c r="G12" s="2430"/>
      <c r="H12" s="2430"/>
      <c r="I12" s="1834"/>
    </row>
    <row r="13" spans="1:12" ht="12.75">
      <c r="A13" s="3151"/>
      <c r="B13" s="3077"/>
      <c r="C13" s="3182"/>
      <c r="D13" s="3169"/>
      <c r="E13" s="140" t="s">
        <v>2138</v>
      </c>
      <c r="F13" s="2430"/>
      <c r="G13" s="2430"/>
      <c r="H13" s="2430"/>
      <c r="I13" s="1834"/>
    </row>
    <row r="14" spans="1:12" ht="12.75">
      <c r="A14" s="3151" t="s">
        <v>2139</v>
      </c>
      <c r="B14" s="3077">
        <v>30</v>
      </c>
      <c r="C14" s="3181">
        <v>6</v>
      </c>
      <c r="D14" s="3169">
        <v>4</v>
      </c>
      <c r="E14" s="140" t="s">
        <v>2140</v>
      </c>
      <c r="F14" s="2430"/>
      <c r="G14" s="2430"/>
      <c r="H14" s="2430"/>
      <c r="I14" s="1834"/>
    </row>
    <row r="15" spans="1:12" ht="12.75">
      <c r="A15" s="3151"/>
      <c r="B15" s="3077"/>
      <c r="C15" s="3183"/>
      <c r="D15" s="3169"/>
      <c r="E15" s="140" t="s">
        <v>2141</v>
      </c>
      <c r="F15" s="2430"/>
      <c r="G15" s="2430"/>
      <c r="H15" s="2430"/>
      <c r="I15" s="1834"/>
    </row>
    <row r="16" spans="1:12" ht="12.75">
      <c r="A16" s="3151"/>
      <c r="B16" s="3077"/>
      <c r="C16" s="3182"/>
      <c r="D16" s="3169"/>
      <c r="E16" s="140" t="s">
        <v>2142</v>
      </c>
      <c r="F16" s="2430"/>
      <c r="G16" s="2430"/>
      <c r="H16" s="2430"/>
      <c r="I16" s="1834"/>
    </row>
    <row r="17" spans="1:35" ht="15">
      <c r="A17" s="2431" t="s">
        <v>2143</v>
      </c>
      <c r="B17" s="64"/>
      <c r="C17" s="141">
        <f>SUM(C5:C16)</f>
        <v>6</v>
      </c>
      <c r="D17" s="141">
        <f>SUM(D5:D16)</f>
        <v>4</v>
      </c>
      <c r="E17" s="138"/>
      <c r="F17" s="138"/>
      <c r="G17" s="138"/>
      <c r="H17" s="138"/>
      <c r="I17" s="138"/>
      <c r="K17" s="2429"/>
      <c r="L17" s="2432" t="s">
        <v>2144</v>
      </c>
      <c r="M17" s="2432" t="s">
        <v>2145</v>
      </c>
    </row>
    <row r="18" spans="1:35" ht="15.75" thickBot="1">
      <c r="A18" s="2433" t="s">
        <v>2146</v>
      </c>
      <c r="B18" s="2434"/>
      <c r="C18" s="142">
        <f>ROUND(C17/SUM(C17:D17),2)</f>
        <v>0.6</v>
      </c>
      <c r="D18" s="142">
        <f>1-C18</f>
        <v>0.4</v>
      </c>
      <c r="E18" s="138"/>
      <c r="F18" s="138"/>
      <c r="G18" s="138"/>
      <c r="H18" s="138"/>
      <c r="I18" s="138"/>
      <c r="K18" s="2429" t="s">
        <v>2147</v>
      </c>
      <c r="L18" s="2429">
        <f>IF(C1="",'数据-汇总表'!E3,SUMIF(项目类型,C1,'数据-汇总表'!E17:E26)+SUMIF(项目类型,C1,'数据-汇总表'!I17:I26))</f>
        <v>7253.4400000000014</v>
      </c>
      <c r="M18" s="2429">
        <f>IF(C1="",'数据-汇总表'!E3,SUMIF(项目类型,C1,'数据-汇总表'!E17:E26))</f>
        <v>7253.4400000000014</v>
      </c>
    </row>
    <row r="19" spans="1:35" ht="15">
      <c r="A19" s="2435" t="s">
        <v>2148</v>
      </c>
      <c r="B19" s="2436" t="s">
        <v>2149</v>
      </c>
      <c r="C19" s="143">
        <f ca="1">SUMIF(INDIRECT("'"&amp;C4&amp;"'"&amp;"!A:A"),结果表!B19,INDIRECT("'"&amp;C4&amp;"'"&amp;"!B:B"))</f>
        <v>38003</v>
      </c>
      <c r="D19" s="144">
        <f ca="1">SUMIF(INDIRECT("'"&amp;D4&amp;"'"&amp;"!A:A"),结果表!B19,INDIRECT("'"&amp;D4&amp;"'"&amp;"!B:B"))</f>
        <v>26989</v>
      </c>
      <c r="E19" s="2435" t="s">
        <v>2150</v>
      </c>
      <c r="F19" s="2436" t="s">
        <v>2149</v>
      </c>
      <c r="G19" s="145">
        <f ca="1">ROUND(C19*$C$18+D19*$D$18,0)</f>
        <v>33597</v>
      </c>
      <c r="H19" s="2437" t="s">
        <v>2151</v>
      </c>
      <c r="I19" s="138"/>
      <c r="K19" s="2429" t="s">
        <v>2152</v>
      </c>
      <c r="L19" s="2429">
        <f>IF(C1="",'数据-汇总表'!D3,SUMIF(项目类型,C1,'数据-汇总表'!D17:D26)+SUMIF(项目类型,C1,'数据-汇总表'!H17:H27))</f>
        <v>2044.09</v>
      </c>
      <c r="M19" s="2429">
        <f>IF(C1="",'数据-汇总表'!D3,SUMIF(项目类型,C1,'数据-汇总表'!D17:D26))</f>
        <v>2044.09</v>
      </c>
    </row>
    <row r="20" spans="1:35" ht="15">
      <c r="A20" s="2438"/>
      <c r="B20" s="1249" t="s">
        <v>2153</v>
      </c>
      <c r="C20" s="146">
        <f ca="1">SUMIF(INDIRECT("'"&amp;C4&amp;"'"&amp;"!A:A"),结果表!B20,INDIRECT("'"&amp;C4&amp;"'"&amp;"!B:B"))</f>
        <v>52393</v>
      </c>
      <c r="D20" s="147">
        <f ca="1">SUMIF(INDIRECT("'"&amp;D4&amp;"'"&amp;"!A:A"),结果表!B20,INDIRECT("'"&amp;D4&amp;"'"&amp;"!B:B"))</f>
        <v>37209</v>
      </c>
      <c r="E20" s="2438"/>
      <c r="F20" s="1249" t="s">
        <v>2153</v>
      </c>
      <c r="G20" s="148">
        <f ca="1">ROUND(C20*$C$18+D20*$D$18,0)</f>
        <v>46319</v>
      </c>
      <c r="H20" s="982" t="s">
        <v>2154</v>
      </c>
      <c r="I20" s="138"/>
    </row>
    <row r="21" spans="1:35" ht="15" customHeight="1" thickBot="1">
      <c r="A21" s="1002"/>
      <c r="B21" s="2439" t="s">
        <v>2155</v>
      </c>
      <c r="C21" s="789">
        <f ca="1">ROUND(C19*10000/L19,0)</f>
        <v>185916</v>
      </c>
      <c r="D21" s="790">
        <f ca="1">ROUND(D19*10000/L19,0)</f>
        <v>132034</v>
      </c>
      <c r="E21" s="1002"/>
      <c r="F21" s="2439" t="s">
        <v>2155</v>
      </c>
      <c r="G21" s="149">
        <f ca="1">ROUND(G19*10000/L19,0)</f>
        <v>164362</v>
      </c>
      <c r="H21" s="2440" t="s">
        <v>2154</v>
      </c>
      <c r="I21" s="138"/>
    </row>
    <row r="22" spans="1:35" ht="15" thickBot="1">
      <c r="A22" s="2282" t="s">
        <v>2156</v>
      </c>
      <c r="B22" s="2441"/>
      <c r="C22" s="2442"/>
      <c r="D22" s="791">
        <f ca="1">IF(C19&lt;D19,D19/C19-1,C19/D19-1)</f>
        <v>0.40809218570528727</v>
      </c>
      <c r="E22" s="138"/>
      <c r="F22" s="138"/>
      <c r="G22" s="138"/>
      <c r="H22" s="138"/>
      <c r="I22" s="138"/>
    </row>
    <row r="23" spans="1:35" ht="13.5" thickBot="1">
      <c r="A23" s="2419"/>
      <c r="B23" s="2419"/>
      <c r="C23" s="2419"/>
      <c r="D23" s="2419"/>
      <c r="E23" s="138"/>
      <c r="F23" s="138"/>
      <c r="G23" s="138"/>
      <c r="H23" s="138"/>
      <c r="I23" s="138"/>
    </row>
    <row r="24" spans="1:35" ht="14.25">
      <c r="A24" s="3190" t="s">
        <v>2157</v>
      </c>
      <c r="B24" s="2436" t="s">
        <v>2149</v>
      </c>
      <c r="C24" s="145">
        <f>IF(B30=0,0,D30)</f>
        <v>0</v>
      </c>
      <c r="D24" s="2443"/>
      <c r="E24" s="138"/>
      <c r="F24" s="138"/>
      <c r="G24" s="138"/>
      <c r="H24" s="138"/>
      <c r="I24" s="138"/>
    </row>
    <row r="25" spans="1:35" ht="14.25">
      <c r="A25" s="3191"/>
      <c r="B25" s="1249"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45" t="s">
        <v>3044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33597</v>
      </c>
      <c r="D32" s="2450" t="s">
        <v>2164</v>
      </c>
      <c r="E32" s="138"/>
      <c r="F32" s="138"/>
      <c r="G32" s="138"/>
      <c r="H32" s="138"/>
      <c r="I32" s="138"/>
    </row>
    <row r="33" spans="1:15" ht="15">
      <c r="A33" s="959" t="s">
        <v>2165</v>
      </c>
      <c r="B33" s="2451"/>
      <c r="C33" s="2452" t="s">
        <v>3208</v>
      </c>
      <c r="D33" s="2453" t="s">
        <v>3206</v>
      </c>
      <c r="E33" s="2454" t="s">
        <v>2166</v>
      </c>
      <c r="F33" s="2455" t="str">
        <f>IF(D32="楼面单价","取值（单价）","取值（总价）")</f>
        <v>取值（总价）</v>
      </c>
      <c r="G33" s="138"/>
      <c r="H33" s="138"/>
      <c r="I33" s="138"/>
    </row>
    <row r="34" spans="1:15" ht="15">
      <c r="A34" s="2456"/>
      <c r="B34" s="2457" t="s">
        <v>2167</v>
      </c>
      <c r="C34" s="157">
        <f ca="1">IF(C33="自定义",F34,C32-C35)</f>
        <v>29532</v>
      </c>
      <c r="D34" s="1057">
        <f ca="1">IF(C33="自定义",ROUND(C34/C32,3),IF(C33="收益比率",SUMIF(INDIRECT("'"&amp;D33&amp;"'"&amp;"!b:b"),"土地收益比率",INDIRECT("'"&amp;D33&amp;"'"&amp;"!c:c")),SUMIF(INDIRECT("'"&amp;D33&amp;"'"&amp;"!b:b"),"土地成本比率",INDIRECT("'"&amp;D33&amp;"'"&amp;"!c:c"))))</f>
        <v>0.879</v>
      </c>
      <c r="E34" s="2458" t="s">
        <v>2168</v>
      </c>
      <c r="F34" s="1739"/>
      <c r="G34" s="138"/>
      <c r="H34" s="138"/>
      <c r="I34" s="138"/>
    </row>
    <row r="35" spans="1:15" ht="15.75" thickBot="1">
      <c r="A35" s="2459"/>
      <c r="B35" s="2460" t="s">
        <v>2169</v>
      </c>
      <c r="C35" s="1443">
        <f ca="1">IF(C33="自定义",F35,ROUND(C32*D35,0))</f>
        <v>4065</v>
      </c>
      <c r="D35" s="1444">
        <f ca="1">IF(C33="自定义",ROUND(C35/C32,3),IF(C33="收益比率",SUMIF(INDIRECT("'"&amp;D33&amp;"'"&amp;"!b:b"),"建筑物收益比率",INDIRECT("'"&amp;D33&amp;"'"&amp;"!c:c")),SUMIF(INDIRECT("'"&amp;D33&amp;"'"&amp;"!b:b"),"建筑物成本比率",INDIRECT("'"&amp;D33&amp;"'"&amp;"!c:c"))))</f>
        <v>0.121</v>
      </c>
      <c r="E35" s="2461" t="s">
        <v>2170</v>
      </c>
      <c r="F35" s="163"/>
      <c r="G35" s="138"/>
      <c r="H35" s="138"/>
      <c r="I35" s="138"/>
    </row>
    <row r="36" spans="1:15" ht="15.75" thickBot="1">
      <c r="A36" s="3170" t="s">
        <v>2171</v>
      </c>
      <c r="B36" s="2462" t="s">
        <v>2172</v>
      </c>
      <c r="C36" s="154"/>
      <c r="D36" s="2463"/>
      <c r="E36" s="2464"/>
      <c r="F36" s="2465"/>
      <c r="G36" s="138"/>
      <c r="H36" s="138"/>
      <c r="I36" s="138"/>
    </row>
    <row r="37" spans="1:15" ht="15.75" thickBot="1">
      <c r="A37" s="3171"/>
      <c r="B37" s="2268" t="s">
        <v>2173</v>
      </c>
      <c r="C37" s="156"/>
      <c r="D37" s="1394"/>
      <c r="E37" s="1394"/>
      <c r="F37" s="2465"/>
      <c r="G37" s="138"/>
      <c r="H37" s="138"/>
      <c r="I37" s="138"/>
    </row>
    <row r="38" spans="1:15" ht="15.75" thickBot="1">
      <c r="A38" s="3172"/>
      <c r="B38" s="2466" t="s">
        <v>2174</v>
      </c>
      <c r="C38" s="727"/>
      <c r="D38" s="2467" t="s">
        <v>2175</v>
      </c>
      <c r="E38" s="1394"/>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hidden="1">
      <c r="A44" s="2475" t="s">
        <v>2183</v>
      </c>
      <c r="B44" s="2476"/>
      <c r="C44" s="2476"/>
      <c r="D44" s="2477"/>
      <c r="E44" s="2477"/>
      <c r="F44" s="2478"/>
      <c r="G44" s="2478"/>
      <c r="H44" s="2478"/>
      <c r="I44" s="2478"/>
      <c r="J44" s="2479" t="s">
        <v>2184</v>
      </c>
      <c r="K44" s="2480"/>
      <c r="L44" s="2480"/>
      <c r="M44" s="2480"/>
      <c r="N44" s="2480"/>
      <c r="O44" s="2480"/>
    </row>
    <row r="45" spans="1:15" ht="14.25" hidden="1" customHeight="1" thickBot="1">
      <c r="A45" s="3187" t="s">
        <v>2185</v>
      </c>
      <c r="B45" s="3188"/>
      <c r="C45" s="3189"/>
      <c r="D45" s="164">
        <f ca="1">ROUND(H101*F45,0)</f>
        <v>33597</v>
      </c>
      <c r="E45" s="165" t="s">
        <v>2186</v>
      </c>
      <c r="F45" s="166">
        <v>1</v>
      </c>
      <c r="G45" s="167" t="s">
        <v>2187</v>
      </c>
      <c r="H45" s="138"/>
      <c r="I45" s="138"/>
      <c r="J45" s="3106" t="s">
        <v>2188</v>
      </c>
      <c r="K45" s="3106"/>
      <c r="L45" s="3106"/>
      <c r="M45" s="3106"/>
      <c r="N45" s="3106"/>
      <c r="O45" s="3106"/>
    </row>
    <row r="46" spans="1:15" ht="14.25" hidden="1" customHeight="1">
      <c r="A46" s="3184" t="s">
        <v>2189</v>
      </c>
      <c r="B46" s="3185"/>
      <c r="C46" s="3185"/>
      <c r="D46" s="3185"/>
      <c r="E46" s="3185"/>
      <c r="F46" s="3185"/>
      <c r="G46" s="3186"/>
      <c r="H46" s="2481"/>
      <c r="I46" s="168"/>
      <c r="J46" s="1812">
        <v>1</v>
      </c>
      <c r="K46" s="3106" t="s">
        <v>2190</v>
      </c>
      <c r="L46" s="3106"/>
      <c r="M46" s="3107"/>
      <c r="N46" s="3107"/>
      <c r="O46" s="3107"/>
    </row>
    <row r="47" spans="1:15" ht="12" hidden="1" customHeight="1">
      <c r="A47" s="169" t="s">
        <v>2191</v>
      </c>
      <c r="B47" s="170"/>
      <c r="C47" s="171"/>
      <c r="D47" s="172" t="s">
        <v>2192</v>
      </c>
      <c r="E47" s="24" t="s">
        <v>2193</v>
      </c>
      <c r="F47" s="173" t="s">
        <v>2194</v>
      </c>
      <c r="G47" s="174" t="s">
        <v>2195</v>
      </c>
      <c r="H47" s="2481"/>
      <c r="I47" s="168"/>
      <c r="J47" s="1812">
        <v>2</v>
      </c>
      <c r="K47" s="3106" t="s">
        <v>2196</v>
      </c>
      <c r="L47" s="3106"/>
      <c r="M47" s="3108">
        <f>'数据-取费表'!B2</f>
        <v>43109</v>
      </c>
      <c r="N47" s="3108"/>
      <c r="O47" s="3108"/>
    </row>
    <row r="48" spans="1:15" ht="25.5" hidden="1">
      <c r="A48" s="3174" t="s">
        <v>2197</v>
      </c>
      <c r="B48" s="3175"/>
      <c r="C48" s="3175"/>
      <c r="D48" s="140">
        <f>IF(H48="情况1",0,IF(H48="情况2",D52,IF(H48="情况3",D53,IF(H48="情况4",D54))))</f>
        <v>0</v>
      </c>
      <c r="E48" s="1801" t="str">
        <f>IF(H48="情况4","(销售额-原购置价)×税（费）率","销售额×税（费）率")</f>
        <v>销售额×税（费）率</v>
      </c>
      <c r="F48" s="175" t="str">
        <f>IF(H48="情况1","免征",'数据-取费表'!B41)</f>
        <v>免征</v>
      </c>
      <c r="G48" s="2482" t="s">
        <v>2198</v>
      </c>
      <c r="H48" s="2483" t="s">
        <v>2199</v>
      </c>
      <c r="I48" s="2481"/>
      <c r="J48" s="1812">
        <v>3</v>
      </c>
      <c r="K48" s="3106" t="s">
        <v>2200</v>
      </c>
      <c r="L48" s="3106"/>
      <c r="M48" s="3109">
        <f ca="1">H101</f>
        <v>33597</v>
      </c>
      <c r="N48" s="3109"/>
      <c r="O48" s="3109"/>
    </row>
    <row r="49" spans="1:35" ht="25.5" hidden="1" customHeight="1">
      <c r="A49" s="176" t="s">
        <v>2201</v>
      </c>
      <c r="B49" s="3154" t="s">
        <v>2202</v>
      </c>
      <c r="C49" s="3154"/>
      <c r="D49" s="177">
        <v>0</v>
      </c>
      <c r="E49" s="23" t="s">
        <v>2203</v>
      </c>
      <c r="F49" s="28" t="s">
        <v>34</v>
      </c>
      <c r="G49" s="3135"/>
      <c r="H49" s="138"/>
      <c r="I49" s="2484"/>
      <c r="J49" s="1812">
        <v>4</v>
      </c>
      <c r="K49" s="3106" t="str">
        <f>IF(项目基本情况!E8="房地产抵押价值","房地产抵押价值","抵押担保权已注销时的房地产抵押价值")</f>
        <v>房地产抵押价值</v>
      </c>
      <c r="L49" s="3106"/>
      <c r="M49" s="3109">
        <f ca="1">IF(项目基本情况!E8="房地产抵押价值",H107,H109)</f>
        <v>33597</v>
      </c>
      <c r="N49" s="3109"/>
      <c r="O49" s="3109"/>
    </row>
    <row r="50" spans="1:35" ht="25.5" hidden="1" customHeight="1">
      <c r="A50" s="178"/>
      <c r="B50" s="3154" t="s">
        <v>2204</v>
      </c>
      <c r="C50" s="3154"/>
      <c r="D50" s="179"/>
      <c r="E50" s="31"/>
      <c r="F50" s="180"/>
      <c r="G50" s="3136"/>
      <c r="H50" s="138"/>
      <c r="I50" s="2484"/>
      <c r="J50" s="3106" t="s">
        <v>2205</v>
      </c>
      <c r="K50" s="3106"/>
      <c r="L50" s="3106"/>
      <c r="M50" s="3106"/>
      <c r="N50" s="3106"/>
      <c r="O50" s="3106"/>
    </row>
    <row r="51" spans="1:35" ht="12" hidden="1" customHeight="1">
      <c r="A51" s="181"/>
      <c r="B51" s="3154" t="s">
        <v>2206</v>
      </c>
      <c r="C51" s="3154"/>
      <c r="D51" s="182"/>
      <c r="E51" s="30"/>
      <c r="F51" s="180"/>
      <c r="G51" s="3137"/>
      <c r="H51" s="138"/>
      <c r="I51" s="2484"/>
      <c r="J51" s="2485" t="s">
        <v>2207</v>
      </c>
      <c r="K51" s="3106" t="s">
        <v>2208</v>
      </c>
      <c r="L51" s="3106"/>
      <c r="M51" s="2485" t="s">
        <v>2209</v>
      </c>
      <c r="N51" s="2485" t="s">
        <v>2210</v>
      </c>
      <c r="O51" s="2485" t="s">
        <v>2211</v>
      </c>
    </row>
    <row r="52" spans="1:35" ht="24" hidden="1" customHeight="1">
      <c r="A52" s="183" t="s">
        <v>2212</v>
      </c>
      <c r="B52" s="3154" t="s">
        <v>2213</v>
      </c>
      <c r="C52" s="3154"/>
      <c r="D52" s="182">
        <f ca="1">ROUND(D45*'数据-取费表'!B41/(1+'数据-取费表'!C42),0)</f>
        <v>1792</v>
      </c>
      <c r="E52" s="11" t="s">
        <v>2214</v>
      </c>
      <c r="F52" s="184">
        <f>'数据-取费表'!B41</f>
        <v>5.6000000000000001E-2</v>
      </c>
      <c r="G52" s="2486"/>
      <c r="H52" s="138"/>
      <c r="I52" s="2484"/>
      <c r="J52" s="1812">
        <v>1</v>
      </c>
      <c r="K52" s="3129" t="s">
        <v>2215</v>
      </c>
      <c r="L52" s="3129"/>
      <c r="M52" s="1754">
        <f>D48</f>
        <v>0</v>
      </c>
      <c r="N52" s="1812" t="str">
        <f>E48</f>
        <v>销售额×税（费）率</v>
      </c>
      <c r="O52" s="1755" t="str">
        <f>F48</f>
        <v>免征</v>
      </c>
    </row>
    <row r="53" spans="1:35" ht="12" hidden="1" customHeight="1">
      <c r="A53" s="183" t="s">
        <v>2216</v>
      </c>
      <c r="B53" s="3155" t="s">
        <v>2217</v>
      </c>
      <c r="C53" s="3156"/>
      <c r="D53" s="182">
        <f ca="1">ROUND(D45*'数据-取费表'!B41/(1+'数据-取费表'!C42),0)</f>
        <v>1792</v>
      </c>
      <c r="E53" s="11" t="s">
        <v>2214</v>
      </c>
      <c r="F53" s="184">
        <f>'数据-取费表'!B41</f>
        <v>5.6000000000000001E-2</v>
      </c>
      <c r="G53" s="2486"/>
      <c r="H53" s="138"/>
      <c r="I53" s="2484"/>
      <c r="J53" s="1812">
        <v>2</v>
      </c>
      <c r="K53" s="3129" t="s">
        <v>2218</v>
      </c>
      <c r="L53" s="3129"/>
      <c r="M53" s="1754">
        <f t="shared" ref="M53:O54" ca="1" si="0">D55</f>
        <v>17</v>
      </c>
      <c r="N53" s="1812" t="str">
        <f t="shared" si="0"/>
        <v>销售额×税（费）率</v>
      </c>
      <c r="O53" s="1755">
        <f t="shared" si="0"/>
        <v>5.0000000000000001E-4</v>
      </c>
    </row>
    <row r="54" spans="1:35" ht="12" hidden="1" customHeight="1">
      <c r="A54" s="183" t="s">
        <v>2219</v>
      </c>
      <c r="B54" s="3155" t="s">
        <v>2220</v>
      </c>
      <c r="C54" s="3156"/>
      <c r="D54" s="182">
        <f ca="1">C68</f>
        <v>1792</v>
      </c>
      <c r="E54" s="30" t="s">
        <v>2221</v>
      </c>
      <c r="F54" s="184">
        <f>'数据-取费表'!B41</f>
        <v>5.6000000000000001E-2</v>
      </c>
      <c r="G54" s="2486"/>
      <c r="H54" s="2487"/>
      <c r="I54" s="2484"/>
      <c r="J54" s="1812">
        <v>3</v>
      </c>
      <c r="K54" s="3129" t="s">
        <v>2222</v>
      </c>
      <c r="L54" s="3129"/>
      <c r="M54" s="1754">
        <f t="shared" ca="1" si="0"/>
        <v>19016</v>
      </c>
      <c r="N54" s="1812" t="str">
        <f t="shared" si="0"/>
        <v>增值额×税（费）率</v>
      </c>
      <c r="O54" s="1756" t="str">
        <f t="shared" si="0"/>
        <v>——</v>
      </c>
    </row>
    <row r="55" spans="1:35" ht="24" hidden="1" customHeight="1">
      <c r="A55" s="3193" t="s">
        <v>2223</v>
      </c>
      <c r="B55" s="3175"/>
      <c r="C55" s="3175"/>
      <c r="D55" s="185">
        <f ca="1">IF(H55="个人住宅",0,ROUND(D45*I55,0))</f>
        <v>17</v>
      </c>
      <c r="E55" s="11" t="s">
        <v>2224</v>
      </c>
      <c r="F55" s="184">
        <f>IF(H55="正常",I55,"免征")</f>
        <v>5.0000000000000001E-4</v>
      </c>
      <c r="G55" s="2486"/>
      <c r="H55" s="2483" t="s">
        <v>2225</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hidden="1">
      <c r="A56" s="3193" t="s">
        <v>2226</v>
      </c>
      <c r="B56" s="3175"/>
      <c r="C56" s="3175"/>
      <c r="D56" s="185">
        <f ca="1">IF(H56="个人住宅",D57,D58)</f>
        <v>19016</v>
      </c>
      <c r="E56" s="11" t="s">
        <v>2227</v>
      </c>
      <c r="F56" s="184" t="str">
        <f>IF(H56="正常",F58,"免征")</f>
        <v>——</v>
      </c>
      <c r="G56" s="2488" t="s">
        <v>2228</v>
      </c>
      <c r="H56" s="2489" t="s">
        <v>2225</v>
      </c>
      <c r="I56" s="2490"/>
      <c r="J56" s="1812" t="str">
        <f>IF(项目基本情况!K6="上海银行",IF(J55="",4,J55+1),"")</f>
        <v/>
      </c>
      <c r="K56" s="3112" t="str">
        <f>IF(项目基本情况!K6="上海银行","其他处置费用","")</f>
        <v/>
      </c>
      <c r="L56" s="3113"/>
      <c r="M56" s="1754" t="str">
        <f>IF(项目基本情况!K6="上海银行",M69,"")</f>
        <v/>
      </c>
      <c r="N56" s="3115" t="str">
        <f>IF(项目基本情况!K6="上海银行","包含处置中涉及的律师、诉讼、拍卖、评估等费用","")</f>
        <v/>
      </c>
      <c r="O56" s="3116"/>
    </row>
    <row r="57" spans="1:35" ht="12.75" hidden="1">
      <c r="A57" s="183" t="s">
        <v>2201</v>
      </c>
      <c r="B57" s="3160" t="s">
        <v>2229</v>
      </c>
      <c r="C57" s="3161"/>
      <c r="D57" s="187">
        <v>0</v>
      </c>
      <c r="E57" s="23" t="s">
        <v>2203</v>
      </c>
      <c r="F57" s="155"/>
      <c r="G57" s="2486"/>
      <c r="H57" s="2490"/>
      <c r="I57" s="2490"/>
      <c r="J57" s="3129">
        <f>IF(AND(J55="",J56=""),4,IF(项目基本情况!K6="上海银行",结果表!J56+1,结果表!J55+1))</f>
        <v>4</v>
      </c>
      <c r="K57" s="3129" t="s">
        <v>2230</v>
      </c>
      <c r="L57" s="2491" t="s">
        <v>2231</v>
      </c>
      <c r="M57" s="1759"/>
      <c r="N57" s="1760">
        <f ca="1">SUMIF(M52:M56,"&lt;9e307")</f>
        <v>19033</v>
      </c>
      <c r="O57" s="2492"/>
      <c r="P57" s="1753">
        <f ca="1">N57/M49</f>
        <v>0.5665089144864125</v>
      </c>
    </row>
    <row r="58" spans="1:35" ht="24.75" hidden="1">
      <c r="A58" s="183" t="s">
        <v>2212</v>
      </c>
      <c r="B58" s="3160" t="s">
        <v>2232</v>
      </c>
      <c r="C58" s="3173"/>
      <c r="D58" s="185">
        <f ca="1">IF(H58="转让取得",C81,C97)</f>
        <v>19016</v>
      </c>
      <c r="E58" s="11" t="s">
        <v>2227</v>
      </c>
      <c r="F58" s="24" t="s">
        <v>34</v>
      </c>
      <c r="G58" s="2486"/>
      <c r="H58" s="2489" t="s">
        <v>2233</v>
      </c>
      <c r="I58" s="2490"/>
      <c r="J58" s="3129"/>
      <c r="K58" s="3129"/>
      <c r="L58" s="2491" t="s">
        <v>2234</v>
      </c>
      <c r="M58" s="1761"/>
      <c r="N58" s="2493" t="str">
        <f ca="1">NUMBERSTRING(INT(N57*10000),2)&amp;"元整"</f>
        <v>壹亿玖仟零叁拾叁万元整</v>
      </c>
      <c r="O58" s="2494"/>
    </row>
    <row r="59" spans="1:35" ht="24.75" hidden="1" thickBot="1">
      <c r="A59" s="3133" t="s">
        <v>2235</v>
      </c>
      <c r="B59" s="3134"/>
      <c r="C59" s="3134"/>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31">
        <f>J57+1</f>
        <v>5</v>
      </c>
      <c r="K59" s="3129" t="s">
        <v>2237</v>
      </c>
      <c r="L59" s="1812" t="s">
        <v>2231</v>
      </c>
      <c r="M59" s="1762"/>
      <c r="N59" s="1763">
        <f ca="1">M49-N57</f>
        <v>14564</v>
      </c>
      <c r="O59" s="2496"/>
    </row>
    <row r="60" spans="1:35" ht="12" hidden="1" customHeight="1">
      <c r="A60" s="2497"/>
      <c r="B60" s="2419"/>
      <c r="C60" s="2419"/>
      <c r="D60" s="2419"/>
      <c r="E60" s="2169"/>
      <c r="F60" s="2490"/>
      <c r="G60" s="2490"/>
      <c r="H60" s="2498"/>
      <c r="I60" s="138"/>
      <c r="J60" s="3132"/>
      <c r="K60" s="3129"/>
      <c r="L60" s="2491" t="s">
        <v>2234</v>
      </c>
      <c r="M60" s="1761"/>
      <c r="N60" s="2493" t="str">
        <f ca="1">NUMBERSTRING(INT(N59*10000),2)&amp;"元整"</f>
        <v>壹亿肆仟伍佰陆拾肆万元整</v>
      </c>
      <c r="O60" s="2494"/>
    </row>
    <row r="61" spans="1:35" ht="13.5" hidden="1" thickBot="1">
      <c r="A61" s="3192" t="s">
        <v>2238</v>
      </c>
      <c r="B61" s="3192"/>
      <c r="C61" s="3192"/>
      <c r="D61" s="3192"/>
      <c r="E61" s="3192"/>
      <c r="F61" s="2490"/>
      <c r="G61" s="2490"/>
      <c r="H61" s="2498"/>
      <c r="I61" s="138"/>
      <c r="J61" s="1812">
        <f>J59+1</f>
        <v>6</v>
      </c>
      <c r="K61" s="3129" t="s">
        <v>2239</v>
      </c>
      <c r="L61" s="3129"/>
      <c r="M61" s="1764"/>
      <c r="N61" s="1765">
        <f ca="1">ROUND(N59*10000/'数据-汇总表'!E3,0)</f>
        <v>20079</v>
      </c>
      <c r="O61" s="2499"/>
    </row>
    <row r="62" spans="1:35" ht="12.75" hidden="1">
      <c r="A62" s="3149" t="s">
        <v>2240</v>
      </c>
      <c r="B62" s="3150"/>
      <c r="C62" s="1804"/>
      <c r="D62" s="1804" t="s">
        <v>2241</v>
      </c>
      <c r="E62" s="192" t="s">
        <v>2242</v>
      </c>
      <c r="F62" s="2490"/>
      <c r="G62" s="2490"/>
      <c r="H62" s="2498"/>
      <c r="I62" s="138"/>
    </row>
    <row r="63" spans="1:35" ht="12.75" hidden="1">
      <c r="A63" s="203" t="s">
        <v>775</v>
      </c>
      <c r="B63" s="193" t="s">
        <v>2243</v>
      </c>
      <c r="C63" s="194">
        <f ca="1">ROUND((C64+C65)/(1+'数据-取费表'!C42),0)</f>
        <v>31997</v>
      </c>
      <c r="D63" s="195"/>
      <c r="E63" s="196"/>
      <c r="F63" s="2490"/>
      <c r="G63" s="2490"/>
      <c r="H63" s="2498"/>
      <c r="I63" s="138"/>
      <c r="J63" s="3114" t="s">
        <v>2244</v>
      </c>
      <c r="K63" s="2500" t="s">
        <v>2245</v>
      </c>
      <c r="L63" s="1752">
        <f ca="1">IF(M49&gt;10000,M49*0.5%,IF(AND(M49&gt;1000,M49&lt;=10000),M49*1%,IF(AND(M49&gt;100,M49&lt;=1000),M49*3%,IF(AND(M49&gt;10,M49&lt;=100),M49*5%,M49*8%))))</f>
        <v>167.98500000000001</v>
      </c>
      <c r="M63" s="24">
        <f ca="1">ROUND(L63,1)</f>
        <v>168</v>
      </c>
      <c r="Z63" s="2424"/>
      <c r="AI63" s="2425"/>
    </row>
    <row r="64" spans="1:35" ht="14.25" hidden="1" customHeight="1">
      <c r="A64" s="197" t="s">
        <v>770</v>
      </c>
      <c r="B64" s="198" t="s">
        <v>2246</v>
      </c>
      <c r="C64" s="199">
        <f ca="1">D45</f>
        <v>33597</v>
      </c>
      <c r="D64" s="200" t="s">
        <v>32</v>
      </c>
      <c r="E64" s="201"/>
      <c r="F64" s="2490"/>
      <c r="G64" s="2490"/>
      <c r="H64" s="2498"/>
      <c r="I64" s="138"/>
      <c r="J64" s="3114"/>
      <c r="K64" s="2500" t="s">
        <v>2247</v>
      </c>
      <c r="L64" s="1752">
        <f ca="1">IF(M49&gt;2000,M49*0.5%,IF(AND(M49&gt;1000,M49&lt;=2000),M49*0.6%,IF(AND(M49&gt;500,M49&lt;=1000),M49*0.7%,IF(AND(M49&gt;200,M49&lt;=500),M49*0.8%,IF(AND(M49&gt;100,M49&lt;=200),M49*0.9%,IF(AND(M49&gt;50,M49&lt;=100),M49*1%,IF(AND(M49&gt;20,M49&lt;=50),M49*1.5%,IF(AND(M49&gt;10,M49&lt;=20),M49*2%,IF(AND(M49&gt;1,M49&lt;=10),M49*2.5%)))))))))</f>
        <v>167.98500000000001</v>
      </c>
      <c r="M64" s="24">
        <f t="shared" ref="M64:M65" ca="1" si="1">ROUND(L64,1)</f>
        <v>168</v>
      </c>
      <c r="N64" s="138" t="s">
        <v>2248</v>
      </c>
      <c r="Z64" s="2424"/>
      <c r="AI64" s="2425"/>
    </row>
    <row r="65" spans="1:35" ht="14.25" hidden="1" customHeight="1">
      <c r="A65" s="197" t="s">
        <v>771</v>
      </c>
      <c r="B65" s="198" t="s">
        <v>2249</v>
      </c>
      <c r="C65" s="202"/>
      <c r="D65" s="200"/>
      <c r="E65" s="201"/>
      <c r="F65" s="2490"/>
      <c r="G65" s="2490"/>
      <c r="H65" s="2498"/>
      <c r="I65" s="138"/>
      <c r="J65" s="3114"/>
      <c r="K65" s="2500" t="s">
        <v>2250</v>
      </c>
      <c r="L65" s="1752">
        <f ca="1">IF(M49&gt;1000,M49*0.1%,IF(AND(M49&gt;500,M49&lt;=1000),M49*0.5%,IF(AND(M49&gt;50,M49&lt;=500),M49*1%,IF(AND(M49&gt;1,M49&lt;=50),M49*1.5%))))</f>
        <v>33.597000000000001</v>
      </c>
      <c r="M65" s="24">
        <f t="shared" ca="1" si="1"/>
        <v>33.6</v>
      </c>
      <c r="N65" s="138" t="s">
        <v>2248</v>
      </c>
      <c r="Z65" s="2424"/>
      <c r="AI65" s="2425"/>
    </row>
    <row r="66" spans="1:35" ht="14.25" hidden="1" customHeight="1">
      <c r="A66" s="203" t="s">
        <v>772</v>
      </c>
      <c r="B66" s="204" t="s">
        <v>2251</v>
      </c>
      <c r="C66" s="205"/>
      <c r="D66" s="206" t="s">
        <v>32</v>
      </c>
      <c r="E66" s="1776" t="s">
        <v>1372</v>
      </c>
      <c r="F66" s="2490"/>
      <c r="G66" s="2490"/>
      <c r="H66" s="2498"/>
      <c r="I66" s="138"/>
      <c r="J66" s="3114"/>
      <c r="K66" s="2500" t="s">
        <v>2252</v>
      </c>
      <c r="L66" s="1752">
        <f ca="1">M49*0.5%</f>
        <v>167.98500000000001</v>
      </c>
      <c r="M66" s="24">
        <f ca="1">IF(L66&gt;0.5,0.5,ROUND(L66,0))</f>
        <v>0.5</v>
      </c>
      <c r="N66" s="138" t="s">
        <v>2253</v>
      </c>
      <c r="Z66" s="2424"/>
      <c r="AI66" s="2425"/>
    </row>
    <row r="67" spans="1:35" ht="14.25" hidden="1" customHeight="1">
      <c r="A67" s="203" t="s">
        <v>773</v>
      </c>
      <c r="B67" s="204" t="s">
        <v>2254</v>
      </c>
      <c r="C67" s="207">
        <f ca="1">C63-C66</f>
        <v>31997</v>
      </c>
      <c r="D67" s="200" t="s">
        <v>32</v>
      </c>
      <c r="E67" s="201"/>
      <c r="F67" s="2490"/>
      <c r="G67" s="2490"/>
      <c r="H67" s="2498"/>
      <c r="I67" s="138"/>
      <c r="J67" s="3114"/>
      <c r="K67" s="2500" t="s">
        <v>2255</v>
      </c>
      <c r="L67" s="1752">
        <f ca="1">IF(M49&gt;=10000,(8.25+(M49-10000)*0.01%),IF(AND(M49&gt;=8000,M49&lt;10000),(7.85+(M49-8000)*0.02%),IF(AND(M49&gt;=5000,M49&lt;8000),(6.65+(M49-5000)*0.04%),IF(AND(M49&gt;=2000,M49&lt;5000),(4.25+(PM49-2000)*0.08%),IF(AND(M49&gt;=1000,M49&lt;2000),(2.75+(M49-1000)*0.15%),IF(AND(M49&gt;=100,M49&lt;1000),(0.5+(M49-100)*0.25%),IF(AND(M49&gt;0,M49&lt;100),M49*0.5%)))))))</f>
        <v>10.6097</v>
      </c>
      <c r="M67" s="24">
        <f ca="1">ROUND(L67*0.9,1)</f>
        <v>9.5</v>
      </c>
      <c r="Z67" s="2424"/>
      <c r="AI67" s="2425"/>
    </row>
    <row r="68" spans="1:35" ht="14.25" hidden="1" customHeight="1" thickBot="1">
      <c r="A68" s="208" t="s">
        <v>774</v>
      </c>
      <c r="B68" s="209" t="s">
        <v>2256</v>
      </c>
      <c r="C68" s="210">
        <f ca="1">IF(C67&lt;=0,0,ROUND(C67*D68,0))</f>
        <v>1792</v>
      </c>
      <c r="D68" s="211">
        <f>'数据-取费表'!B41</f>
        <v>5.6000000000000001E-2</v>
      </c>
      <c r="E68" s="212"/>
      <c r="F68" s="2490"/>
      <c r="G68" s="2490"/>
      <c r="H68" s="2498"/>
      <c r="I68" s="138"/>
      <c r="J68" s="3114"/>
      <c r="K68" s="2500" t="s">
        <v>2257</v>
      </c>
      <c r="L68" s="1752">
        <f ca="1">IF(M49&gt;10000,M49*0.5%,IF(AND(M49&gt;5000,M49&lt;=10000),M49*1%,IF(AND(M49&gt;1000,M49&lt;=5000),M49*2%,IF(AND(M49&gt;200,M49&lt;=1000),M49*3%,M49*5%))))</f>
        <v>167.98500000000001</v>
      </c>
      <c r="M68" s="24">
        <f ca="1">ROUND(L68,1)</f>
        <v>168</v>
      </c>
      <c r="Z68" s="2424"/>
      <c r="AI68" s="2425"/>
    </row>
    <row r="69" spans="1:35" s="2447" customFormat="1" ht="16.5" hidden="1" customHeight="1">
      <c r="A69" s="2501"/>
      <c r="B69" s="2502"/>
      <c r="C69" s="2503"/>
      <c r="D69" s="2504"/>
      <c r="E69" s="2505"/>
      <c r="F69" s="2169"/>
      <c r="G69" s="2169"/>
      <c r="H69" s="2168"/>
      <c r="I69" s="2419"/>
      <c r="J69" s="3114"/>
      <c r="K69" s="2500" t="s">
        <v>2258</v>
      </c>
      <c r="L69" s="2506"/>
      <c r="M69" s="24">
        <f ca="1">ROUND(SUM(M63:M68),0)</f>
        <v>548</v>
      </c>
      <c r="N69" s="1753">
        <f ca="1">M69/M49</f>
        <v>1.6310980147036937E-2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58" t="s">
        <v>2259</v>
      </c>
      <c r="B70" s="3159"/>
      <c r="C70" s="3159"/>
      <c r="D70" s="3159"/>
      <c r="E70" s="3159"/>
      <c r="F70" s="3159"/>
      <c r="G70" s="3159"/>
      <c r="H70" s="315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49" t="s">
        <v>2240</v>
      </c>
      <c r="B71" s="3150"/>
      <c r="C71" s="1804"/>
      <c r="D71" s="1804"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2260</v>
      </c>
      <c r="C72" s="207">
        <f ca="1">ROUND(D45/(1+'数据-取费表'!C42),0)</f>
        <v>31997</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2261</v>
      </c>
      <c r="C73" s="207">
        <f ca="1">C74+C78</f>
        <v>192</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2262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2267</v>
      </c>
      <c r="C76" s="200">
        <f>IF(F75="购房发票",ROUND(C75*H75*D76,0),0)</f>
        <v>0</v>
      </c>
      <c r="D76" s="222">
        <v>0.05</v>
      </c>
      <c r="E76" s="3155" t="s">
        <v>2268</v>
      </c>
      <c r="F76" s="3154"/>
      <c r="G76" s="3154"/>
      <c r="H76" s="315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2272</v>
      </c>
      <c r="C78" s="225">
        <f ca="1">ROUND(D45*D78/(1+'数据-取费表'!C42),0)</f>
        <v>192</v>
      </c>
      <c r="D78" s="226">
        <f>'数据-取费表'!B43</f>
        <v>6.000000000000001E-3</v>
      </c>
      <c r="E78" s="3146" t="s">
        <v>2273</v>
      </c>
      <c r="F78" s="3147"/>
      <c r="G78" s="3147"/>
      <c r="H78" s="31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2274</v>
      </c>
      <c r="C79" s="207">
        <f ca="1">C72-C73</f>
        <v>31805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2275</v>
      </c>
      <c r="C80" s="227">
        <f ca="1">IF(C79&lt;=0,0,C79/C73)</f>
        <v>165.65104166666666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2276</v>
      </c>
      <c r="C81" s="228">
        <f ca="1">ROUND(IF(C79&lt;=0,0,IF(C80&gt;=200%,C79*60%-C73*35%,IF(C80&gt;=100%,C79*50%-C73*15%,IF(C80&gt;=50%,C79*40%-C73*5%,IF(C80&lt;50%,C79*30%,0))))),0)</f>
        <v>19016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58" t="s">
        <v>2277</v>
      </c>
      <c r="B83" s="3159"/>
      <c r="C83" s="3159"/>
      <c r="D83" s="3159"/>
      <c r="E83" s="3159"/>
      <c r="F83" s="3159"/>
      <c r="G83" s="3159"/>
      <c r="H83" s="315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49" t="s">
        <v>2240</v>
      </c>
      <c r="B84" s="3150"/>
      <c r="C84" s="1804"/>
      <c r="D84" s="1804"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2260</v>
      </c>
      <c r="C85" s="207">
        <f ca="1">ROUND(D45/(1+'数据-取费表'!C42),0)</f>
        <v>31997</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2261</v>
      </c>
      <c r="C86" s="207">
        <f ca="1">IF(H88="仅含出让金",C87+C90+C91+C92+C93+C94,C87+C91+C92+C93+C94)</f>
        <v>192</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2278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2279</v>
      </c>
      <c r="C88" s="236"/>
      <c r="D88" s="226"/>
      <c r="E88" s="237" t="s">
        <v>2280</v>
      </c>
      <c r="F88" s="1800"/>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2269</v>
      </c>
      <c r="C89" s="225">
        <f>ROUND(C88*D89,0)</f>
        <v>0</v>
      </c>
      <c r="D89" s="226">
        <f>'数据-取费表'!B48+'数据-取费表'!B49</f>
        <v>3.0499999999999999E-2</v>
      </c>
      <c r="E89" s="237"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2283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2284</v>
      </c>
      <c r="B91" s="198" t="s">
        <v>2285</v>
      </c>
      <c r="C91" s="225">
        <f>IF(H91="——",成本法!C33,I91)</f>
        <v>0</v>
      </c>
      <c r="D91" s="226"/>
      <c r="E91" s="3146" t="s">
        <v>2286</v>
      </c>
      <c r="F91" s="3147"/>
      <c r="G91" s="314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2288</v>
      </c>
      <c r="B92" s="198" t="s">
        <v>2289</v>
      </c>
      <c r="C92" s="225">
        <f>ROUND((C87+C90+C91)*D92,0)</f>
        <v>0</v>
      </c>
      <c r="D92" s="226">
        <v>0.1</v>
      </c>
      <c r="E92" s="3146" t="s">
        <v>2290</v>
      </c>
      <c r="F92" s="3147"/>
      <c r="G92" s="3147"/>
      <c r="H92" s="31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2291</v>
      </c>
      <c r="B93" s="198" t="s">
        <v>2272</v>
      </c>
      <c r="C93" s="225">
        <f ca="1">ROUND(D45*D93/(1+'数据-取费表'!C42),0)</f>
        <v>192</v>
      </c>
      <c r="D93" s="226">
        <f>'数据-取费表'!B43</f>
        <v>6.000000000000001E-3</v>
      </c>
      <c r="E93" s="3146" t="s">
        <v>2273</v>
      </c>
      <c r="F93" s="3147"/>
      <c r="G93" s="3147"/>
      <c r="H93" s="31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2292</v>
      </c>
      <c r="B94" s="198" t="s">
        <v>2293</v>
      </c>
      <c r="C94" s="236">
        <f>ROUND((C87+C90+C91)*D94,0)</f>
        <v>0</v>
      </c>
      <c r="D94" s="226">
        <v>0.2</v>
      </c>
      <c r="E94" s="3194" t="s">
        <v>2294</v>
      </c>
      <c r="F94" s="3195"/>
      <c r="G94" s="3195"/>
      <c r="H94" s="319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2274</v>
      </c>
      <c r="C95" s="207">
        <f ca="1">ROUND(C85-C86,0)</f>
        <v>31805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2275</v>
      </c>
      <c r="C96" s="227">
        <f ca="1">IF(C95&lt;=0,0,C95/C86)</f>
        <v>165.65104166666666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2276</v>
      </c>
      <c r="C97" s="228">
        <f ca="1">ROUND(IF(C95&lt;=0,0,IF(C96&gt;=200%,C95*60%-C86*35%,IF(C96&gt;=100%,C95*50%-C86*15%,IF(C96&gt;=50%,C95*40%-C86*5%,IF(C96&lt;50%,C95*30%,0))))),0)</f>
        <v>19016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9"/>
      <c r="F98" s="2169"/>
      <c r="G98" s="2169"/>
      <c r="H98" s="2168"/>
      <c r="I98" s="138"/>
    </row>
    <row r="99" spans="1:35" ht="21.75" hidden="1" customHeight="1" thickBot="1">
      <c r="A99" s="2475" t="s">
        <v>2295</v>
      </c>
      <c r="B99" s="2419"/>
      <c r="C99" s="2419"/>
      <c r="D99" s="2419"/>
      <c r="E99" s="2169"/>
      <c r="F99" s="2169"/>
      <c r="G99" s="2169"/>
      <c r="H99" s="2168"/>
      <c r="I99" s="138"/>
    </row>
    <row r="100" spans="1:35" ht="18.75" hidden="1" customHeight="1">
      <c r="A100" s="3098" t="s">
        <v>2296</v>
      </c>
      <c r="B100" s="3099"/>
      <c r="C100" s="3099"/>
      <c r="D100" s="3130"/>
      <c r="E100" s="3099" t="s">
        <v>2297</v>
      </c>
      <c r="F100" s="3099"/>
      <c r="G100" s="3099"/>
      <c r="H100" s="3130"/>
      <c r="I100" s="138"/>
    </row>
    <row r="101" spans="1:35" ht="18.75" hidden="1" customHeight="1">
      <c r="A101" s="3138" t="s">
        <v>2298</v>
      </c>
      <c r="B101" s="3139"/>
      <c r="C101" s="736" t="str">
        <f>C4</f>
        <v>成本法</v>
      </c>
      <c r="D101" s="737" t="str">
        <f>D4</f>
        <v>收益法（汇总）</v>
      </c>
      <c r="E101" s="3110" t="s">
        <v>2299</v>
      </c>
      <c r="F101" s="3111"/>
      <c r="G101" s="2521" t="s">
        <v>2300</v>
      </c>
      <c r="H101" s="1047">
        <f ca="1">H118</f>
        <v>33597</v>
      </c>
      <c r="I101" s="138"/>
    </row>
    <row r="102" spans="1:35" ht="18.75" hidden="1" customHeight="1">
      <c r="A102" s="3140" t="s">
        <v>2301</v>
      </c>
      <c r="B102" s="2521" t="s">
        <v>2300</v>
      </c>
      <c r="C102" s="736">
        <f ca="1">C19</f>
        <v>38003</v>
      </c>
      <c r="D102" s="737">
        <f ca="1">D19</f>
        <v>26989</v>
      </c>
      <c r="E102" s="3110"/>
      <c r="F102" s="3111"/>
      <c r="G102" s="2521" t="s">
        <v>2302</v>
      </c>
      <c r="H102" s="371">
        <f ca="1">I118</f>
        <v>46319</v>
      </c>
      <c r="I102" s="138"/>
    </row>
    <row r="103" spans="1:35" ht="42.75" hidden="1" customHeight="1">
      <c r="A103" s="3140"/>
      <c r="B103" s="2521" t="s">
        <v>2302</v>
      </c>
      <c r="C103" s="738">
        <f ca="1">C20</f>
        <v>52393</v>
      </c>
      <c r="D103" s="739">
        <f ca="1">D20</f>
        <v>37209</v>
      </c>
      <c r="E103" s="3104" t="s">
        <v>2303</v>
      </c>
      <c r="F103" s="3105"/>
      <c r="G103" s="2522" t="s">
        <v>2304</v>
      </c>
      <c r="H103" s="1047">
        <f>IF(D36="正常操作",H104+H105+H106,H105+H106)</f>
        <v>0</v>
      </c>
      <c r="I103" s="138"/>
    </row>
    <row r="104" spans="1:35" ht="18.75" hidden="1" customHeight="1">
      <c r="A104" s="3140" t="s">
        <v>2305</v>
      </c>
      <c r="B104" s="2523" t="s">
        <v>2300</v>
      </c>
      <c r="C104" s="740">
        <f ca="1">H118</f>
        <v>33597</v>
      </c>
      <c r="D104" s="741"/>
      <c r="E104" s="2268" t="s">
        <v>2306</v>
      </c>
      <c r="F104" s="2260"/>
      <c r="G104" s="2522" t="s">
        <v>2304</v>
      </c>
      <c r="H104" s="1048">
        <f>IF(D36="同一抵押权人同一抵押物续贷",C36&amp;"（未扣减，详见特别提示）",C36)</f>
        <v>0</v>
      </c>
      <c r="I104" s="138"/>
    </row>
    <row r="105" spans="1:35" ht="18.75" hidden="1" customHeight="1" thickBot="1">
      <c r="A105" s="3152"/>
      <c r="B105" s="2524" t="s">
        <v>2302</v>
      </c>
      <c r="C105" s="742">
        <f ca="1">I118</f>
        <v>46319</v>
      </c>
      <c r="D105" s="743"/>
      <c r="E105" s="2268" t="s">
        <v>2307</v>
      </c>
      <c r="F105" s="2260"/>
      <c r="G105" s="2522" t="s">
        <v>2304</v>
      </c>
      <c r="H105" s="1048">
        <f>C37</f>
        <v>0</v>
      </c>
      <c r="I105" s="138"/>
    </row>
    <row r="106" spans="1:35" ht="18.75" hidden="1" customHeight="1">
      <c r="A106" s="2419" t="s">
        <v>2308</v>
      </c>
      <c r="B106" s="2419"/>
      <c r="C106" s="2419"/>
      <c r="D106" s="2419"/>
      <c r="E106" s="2525" t="s">
        <v>2309</v>
      </c>
      <c r="F106" s="2260"/>
      <c r="G106" s="2522" t="s">
        <v>2304</v>
      </c>
      <c r="H106" s="1048">
        <f>C38</f>
        <v>0</v>
      </c>
      <c r="I106" s="138"/>
    </row>
    <row r="107" spans="1:35" ht="18.75" hidden="1" customHeight="1">
      <c r="A107" s="138"/>
      <c r="B107" s="138"/>
      <c r="C107" s="138"/>
      <c r="D107" s="138"/>
      <c r="E107" s="3141" t="str">
        <f>IF(项目基本情况!E8="已注销","——","3.房地产抵押价值")</f>
        <v>3.房地产抵押价值</v>
      </c>
      <c r="F107" s="3111"/>
      <c r="G107" s="2521" t="s">
        <v>2300</v>
      </c>
      <c r="H107" s="1047">
        <f ca="1">IF(E107="——","——",H101-H103)</f>
        <v>33597</v>
      </c>
      <c r="I107" s="138"/>
    </row>
    <row r="108" spans="1:35" ht="18.75" hidden="1" customHeight="1">
      <c r="A108" s="138"/>
      <c r="B108" s="138"/>
      <c r="C108" s="138"/>
      <c r="D108" s="138"/>
      <c r="E108" s="3141"/>
      <c r="F108" s="3111"/>
      <c r="G108" s="2521" t="s">
        <v>2302</v>
      </c>
      <c r="H108" s="371">
        <f ca="1">ROUND(H107*10000/'数据-汇总表'!E3,0)</f>
        <v>46319</v>
      </c>
      <c r="I108" s="138"/>
    </row>
    <row r="109" spans="1:35" ht="18.75" hidden="1"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1" t="s">
        <v>2300</v>
      </c>
      <c r="H109" s="348" t="str">
        <f>IF(E109="——","——",H101-H105-H106)</f>
        <v>——</v>
      </c>
      <c r="I109" s="138"/>
    </row>
    <row r="110" spans="1:35" ht="18.75" hidden="1" customHeight="1">
      <c r="A110" s="138"/>
      <c r="B110" s="138"/>
      <c r="C110" s="138"/>
      <c r="D110" s="138"/>
      <c r="E110" s="3141"/>
      <c r="F110" s="3111"/>
      <c r="G110" s="2521" t="s">
        <v>2302</v>
      </c>
      <c r="H110" s="371" t="str">
        <f>IF(H109="——","——",ROUND(H109*10000/'数据-汇总表'!E3,0))</f>
        <v>——</v>
      </c>
      <c r="I110" s="138"/>
    </row>
    <row r="111" spans="1:35" ht="18.75" hidden="1" customHeight="1">
      <c r="A111" s="138"/>
      <c r="B111" s="138"/>
      <c r="C111" s="138"/>
      <c r="D111" s="138"/>
      <c r="E111" s="3142" t="str">
        <f>IF(项目基本情况!E9="抵押净值",IF(OR(项目基本情况!E8="已注销",项目基本情况!E8="房地产抵押价值"),"4.抵押净值","5.抵押净值"),"——")</f>
        <v>——</v>
      </c>
      <c r="F111" s="3143"/>
      <c r="G111" s="2521" t="s">
        <v>2300</v>
      </c>
      <c r="H111" s="1047" t="str">
        <f>IF(E111="——","——",N59)</f>
        <v>——</v>
      </c>
      <c r="I111" s="138"/>
    </row>
    <row r="112" spans="1:35" ht="18.75" hidden="1" customHeight="1" thickBot="1">
      <c r="A112" s="138"/>
      <c r="B112" s="138"/>
      <c r="C112" s="138"/>
      <c r="D112" s="138"/>
      <c r="E112" s="3144"/>
      <c r="F112" s="3145"/>
      <c r="G112" s="2526" t="s">
        <v>2302</v>
      </c>
      <c r="H112" s="790" t="str">
        <f>IF(E111="——","——",N61)</f>
        <v>——</v>
      </c>
      <c r="I112" s="138"/>
    </row>
    <row r="113" spans="1:11" ht="18.75" hidden="1" customHeight="1">
      <c r="A113" s="138"/>
      <c r="B113" s="138"/>
      <c r="C113" s="138"/>
      <c r="D113" s="138"/>
      <c r="E113" s="3153" t="s">
        <v>2308</v>
      </c>
      <c r="F113" s="3153"/>
      <c r="G113" s="3153"/>
      <c r="H113" s="3153"/>
      <c r="I113" s="138"/>
    </row>
    <row r="114" spans="1:11" ht="3.75" hidden="1" customHeight="1">
      <c r="A114" s="2419"/>
      <c r="B114" s="2419"/>
      <c r="C114" s="2419"/>
      <c r="D114" s="2419"/>
      <c r="E114" s="2497"/>
      <c r="F114" s="2497"/>
      <c r="G114" s="2497"/>
      <c r="H114" s="2497"/>
      <c r="I114" s="2419"/>
    </row>
    <row r="115" spans="1:11" ht="18.75" customHeight="1">
      <c r="A115" s="3166" t="s">
        <v>2310</v>
      </c>
      <c r="B115" s="3167"/>
      <c r="C115" s="3167"/>
      <c r="D115" s="3167"/>
      <c r="E115" s="3167"/>
      <c r="F115" s="3167"/>
      <c r="G115" s="3167"/>
      <c r="H115" s="3167"/>
      <c r="I115" s="3168"/>
    </row>
    <row r="116" spans="1:11" ht="27" customHeight="1">
      <c r="A116" s="3077" t="s">
        <v>2311</v>
      </c>
      <c r="B116" s="3120" t="s">
        <v>2312</v>
      </c>
      <c r="C116" s="3120" t="s">
        <v>2313</v>
      </c>
      <c r="D116" s="3126" t="s">
        <v>2314</v>
      </c>
      <c r="E116" s="3127"/>
      <c r="F116" s="3162" t="s">
        <v>2315</v>
      </c>
      <c r="G116" s="3162"/>
      <c r="H116" s="3077" t="s">
        <v>2316</v>
      </c>
      <c r="I116" s="3077"/>
    </row>
    <row r="117" spans="1:11" ht="18.75" customHeight="1">
      <c r="A117" s="3077"/>
      <c r="B117" s="3121"/>
      <c r="C117" s="3121"/>
      <c r="D117" s="1798" t="s">
        <v>2317</v>
      </c>
      <c r="E117" s="1798" t="s">
        <v>2318</v>
      </c>
      <c r="F117" s="1798" t="s">
        <v>2317</v>
      </c>
      <c r="G117" s="1798" t="s">
        <v>2319</v>
      </c>
      <c r="H117" s="1798" t="s">
        <v>2317</v>
      </c>
      <c r="I117" s="1798" t="s">
        <v>2319</v>
      </c>
    </row>
    <row r="118" spans="1:11" ht="24.75" customHeight="1">
      <c r="A118" s="2527" t="str">
        <f>项目基本情况!S2</f>
        <v>北京市东城区香河园街1号院1、2、3号楼房地产</v>
      </c>
      <c r="B118" s="1798">
        <f>M18</f>
        <v>7253.4400000000014</v>
      </c>
      <c r="C118" s="1798">
        <f>M19</f>
        <v>2044.09</v>
      </c>
      <c r="D118" s="1798">
        <f ca="1">ROUND(IF(D32="总价",C34,E118*B118/10000),0)</f>
        <v>29532</v>
      </c>
      <c r="E118" s="1798">
        <f ca="1">ROUND(IF(C33="自定义",IF(D32="楼面单价",C34,D118*10000/B118),I118-G118),0)</f>
        <v>40715</v>
      </c>
      <c r="F118" s="1798">
        <f ca="1">ROUND(IF(D32="总价",C35,G118*B118/10000),0)</f>
        <v>4065</v>
      </c>
      <c r="G118" s="1798">
        <f ca="1">ROUND(IF(D32="楼面单价",C35,F118*10000/B118),0)</f>
        <v>5604</v>
      </c>
      <c r="H118" s="1798">
        <f ca="1">ROUND(IF(D32="总价",C32,I118*B118/10000),0)</f>
        <v>33597</v>
      </c>
      <c r="I118" s="1798">
        <f ca="1">ROUND(IF(D32="楼面单价",C32,H118*10000/B118),0)</f>
        <v>46319</v>
      </c>
    </row>
    <row r="119" spans="1:11" ht="18.75" customHeight="1">
      <c r="A119" s="3077" t="s">
        <v>2320</v>
      </c>
      <c r="B119" s="3077"/>
      <c r="C119" s="3077"/>
      <c r="D119" s="3122" t="str">
        <f ca="1">NUMBERSTRING(INT(D118*10000),2)&amp;"元整"</f>
        <v>贰亿玖仟伍佰叁拾贰万元整</v>
      </c>
      <c r="E119" s="3123"/>
      <c r="F119" s="3122" t="str">
        <f ca="1">NUMBERSTRING(INT(F118*10000),2)&amp;"元整"</f>
        <v>肆仟零陆拾伍万元整</v>
      </c>
      <c r="G119" s="3123"/>
      <c r="H119" s="3122" t="str">
        <f ca="1">NUMBERSTRING(INT(H118*10000),2)&amp;"元整"</f>
        <v>叁亿叁仟伍佰玖拾柒万元整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4" t="str">
        <f>IF(D120=0,"故，本次评估不存在"&amp;A120,"故，本次评估"&amp;A120&amp;"为人民币"&amp;D120&amp;"万元整。")</f>
        <v>故，本次评估不存在估价师知悉的法定优先受偿款</v>
      </c>
    </row>
    <row r="121" spans="1:11" ht="18.75" customHeight="1">
      <c r="A121" s="3163" t="s">
        <v>2320</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33597</v>
      </c>
      <c r="E122" s="3118"/>
      <c r="F122" s="3118"/>
      <c r="G122" s="3118"/>
      <c r="H122" s="3118"/>
      <c r="I122" s="3119"/>
    </row>
    <row r="123" spans="1:11" ht="18.75" customHeight="1">
      <c r="A123" s="3077" t="s">
        <v>2320</v>
      </c>
      <c r="B123" s="3077"/>
      <c r="C123" s="3077"/>
      <c r="D123" s="3122" t="str">
        <f ca="1">NUMBERSTRING(INT(D122*10000),2)&amp;"元整"</f>
        <v>叁亿叁仟伍佰玖拾柒万元整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7" t="s">
        <v>2320</v>
      </c>
      <c r="B125" s="3077"/>
      <c r="C125" s="3077"/>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7" t="s">
        <v>2320</v>
      </c>
      <c r="B127" s="3077"/>
      <c r="C127" s="3077"/>
      <c r="D127" s="3122" t="e">
        <f>NUMBERSTRING(INT(D126*10000),2)&amp;"元整"</f>
        <v>#VALUE!</v>
      </c>
      <c r="E127" s="3124"/>
      <c r="F127" s="3124"/>
      <c r="G127" s="3124"/>
      <c r="H127" s="3124"/>
      <c r="I127" s="3123"/>
    </row>
    <row r="128" spans="1:11" ht="21.75" customHeight="1">
      <c r="A128" s="3125" t="s">
        <v>2321</v>
      </c>
      <c r="B128" s="3125"/>
      <c r="C128" s="3125"/>
      <c r="D128" s="3125"/>
      <c r="E128" s="3125"/>
      <c r="F128" s="3125"/>
      <c r="G128" s="3125"/>
      <c r="H128" s="3125"/>
      <c r="I128" s="3125"/>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 sqref="D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1">
        <f>MATCH(B1,'数据-取费表'!A6:A16,0)+5</f>
        <v>8</v>
      </c>
    </row>
    <row r="2" spans="1:9" s="244" customFormat="1" ht="18" customHeight="1">
      <c r="A2" s="245" t="s">
        <v>2330</v>
      </c>
      <c r="B2" s="246">
        <f ca="1">IF(D2="——",C52,C52-E2)</f>
        <v>38003</v>
      </c>
      <c r="C2" s="243" t="s">
        <v>2331</v>
      </c>
      <c r="D2" s="2550" t="s">
        <v>70</v>
      </c>
      <c r="E2" s="1442"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52393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21054</v>
      </c>
      <c r="D5" s="255" t="s">
        <v>2337</v>
      </c>
      <c r="E5" s="256" t="s">
        <v>2338</v>
      </c>
      <c r="F5" s="256" t="s">
        <v>2339</v>
      </c>
      <c r="G5" s="257"/>
    </row>
    <row r="6" spans="1:9" s="258" customFormat="1" ht="13.5" customHeight="1">
      <c r="A6" s="951" t="s">
        <v>2340</v>
      </c>
      <c r="B6" s="259" t="s">
        <v>2341</v>
      </c>
      <c r="C6" s="260">
        <f ca="1">基准地价修正!B2</f>
        <v>20290</v>
      </c>
      <c r="D6" s="261"/>
      <c r="E6" s="262"/>
      <c r="F6" s="262"/>
      <c r="G6" s="263"/>
    </row>
    <row r="7" spans="1:9" s="258" customFormat="1" ht="13.5" customHeight="1">
      <c r="A7" s="951" t="s">
        <v>2342</v>
      </c>
      <c r="B7" s="259" t="s">
        <v>2343</v>
      </c>
      <c r="C7" s="264">
        <f ca="1">ROUND(C6*F7,0)</f>
        <v>619</v>
      </c>
      <c r="D7" s="264"/>
      <c r="E7" s="262"/>
      <c r="F7" s="265">
        <f>'数据-取费表'!B48+'数据-取费表'!B49</f>
        <v>3.0499999999999999E-2</v>
      </c>
      <c r="G7" s="263"/>
    </row>
    <row r="8" spans="1:9" s="267" customFormat="1">
      <c r="A8" s="951" t="s">
        <v>2344</v>
      </c>
      <c r="B8" s="259" t="s">
        <v>2345</v>
      </c>
      <c r="C8" s="264">
        <f>IF(G8="已包含在土地购买价格中","0",IF(B1="",'数据-取费表'!B29,IF(G9="全部缴纳",C9+C10,H9)))</f>
        <v>145</v>
      </c>
      <c r="D8" s="266"/>
      <c r="E8" s="264"/>
      <c r="F8" s="265"/>
      <c r="G8" s="2553" t="s">
        <v>3195</v>
      </c>
    </row>
    <row r="9" spans="1:9" s="258" customFormat="1" ht="13.5" customHeight="1">
      <c r="A9" s="952" t="s">
        <v>800</v>
      </c>
      <c r="B9" s="268" t="s">
        <v>2346</v>
      </c>
      <c r="C9" s="269">
        <f ca="1">ROUND(D9*E9/10000,0)</f>
        <v>0</v>
      </c>
      <c r="D9" s="1034">
        <f ca="1">IF(B1="",'数据-汇总表'!E5,IF(INDIRECT("'数据-取费表'!c"&amp;$G$1)="住宅",INDIRECT("'数据-取费表'!k"&amp;$G$1),0))</f>
        <v>0</v>
      </c>
      <c r="E9" s="269">
        <f>'数据-取费表'!B27</f>
        <v>0</v>
      </c>
      <c r="F9" s="265"/>
      <c r="G9" s="2554" t="s">
        <v>3196</v>
      </c>
      <c r="H9" s="1392"/>
      <c r="I9" s="2555" t="s">
        <v>2347</v>
      </c>
    </row>
    <row r="10" spans="1:9" s="258" customFormat="1" ht="13.5" customHeight="1">
      <c r="A10" s="952" t="s">
        <v>801</v>
      </c>
      <c r="B10" s="268" t="s">
        <v>2348</v>
      </c>
      <c r="C10" s="269">
        <f ca="1">ROUND(D10*E10/10000,0)</f>
        <v>145</v>
      </c>
      <c r="D10" s="1034">
        <f ca="1">IF(B1="",'数据-汇总表'!E6,IF(INDIRECT("'数据-取费表'!c"&amp;$G$1)="住宅",INDIRECT("'数据-取费表'!s"&amp;$G$1),INDIRECT("'数据-取费表'!k"&amp;$G$1)+INDIRECT("'数据-取费表'!s"&amp;$G$1)))</f>
        <v>7253.4400000000014</v>
      </c>
      <c r="E10" s="269">
        <f>'数据-取费表'!B28</f>
        <v>200</v>
      </c>
      <c r="F10" s="265"/>
      <c r="G10" s="270"/>
    </row>
    <row r="11" spans="1:9" s="258" customFormat="1" ht="13.5" hidden="1" customHeight="1">
      <c r="A11" s="271" t="s">
        <v>7</v>
      </c>
      <c r="B11" s="259" t="s">
        <v>2349</v>
      </c>
      <c r="C11" s="255"/>
      <c r="D11" s="1036"/>
      <c r="E11" s="262"/>
      <c r="F11" s="262"/>
      <c r="G11" s="263"/>
    </row>
    <row r="12" spans="1:9" s="258" customFormat="1" ht="13.5" hidden="1" customHeight="1">
      <c r="A12" s="271" t="s">
        <v>8</v>
      </c>
      <c r="B12" s="259" t="s">
        <v>2350</v>
      </c>
      <c r="C12" s="255">
        <v>0</v>
      </c>
      <c r="D12" s="1036"/>
      <c r="E12" s="272"/>
      <c r="F12" s="265">
        <v>3.0499999999999999E-2</v>
      </c>
      <c r="G12" s="263"/>
    </row>
    <row r="13" spans="1:9" s="258" customFormat="1" ht="13.5" hidden="1" customHeight="1">
      <c r="A13" s="271" t="s">
        <v>9</v>
      </c>
      <c r="B13" s="259" t="s">
        <v>2351</v>
      </c>
      <c r="C13" s="255"/>
      <c r="D13" s="1036"/>
      <c r="E13" s="262"/>
      <c r="F13" s="262"/>
      <c r="G13" s="263"/>
    </row>
    <row r="14" spans="1:9" s="258" customFormat="1" ht="13.5" hidden="1" customHeight="1">
      <c r="A14" s="271" t="s">
        <v>10</v>
      </c>
      <c r="B14" s="259" t="s">
        <v>2352</v>
      </c>
      <c r="C14" s="255"/>
      <c r="D14" s="1036"/>
      <c r="E14" s="262"/>
      <c r="F14" s="262"/>
      <c r="G14" s="263" t="s">
        <v>2353</v>
      </c>
    </row>
    <row r="15" spans="1:9" s="258" customFormat="1" ht="13.5" hidden="1" customHeight="1">
      <c r="A15" s="271" t="s">
        <v>11</v>
      </c>
      <c r="B15" s="259" t="s">
        <v>2354</v>
      </c>
      <c r="C15" s="264"/>
      <c r="D15" s="1036"/>
      <c r="E15" s="262"/>
      <c r="F15" s="262"/>
      <c r="G15" s="263" t="s">
        <v>2355</v>
      </c>
    </row>
    <row r="16" spans="1:9" s="258" customFormat="1" ht="13.5" hidden="1" customHeight="1">
      <c r="A16" s="271" t="s">
        <v>12</v>
      </c>
      <c r="B16" s="259" t="s">
        <v>2352</v>
      </c>
      <c r="C16" s="264"/>
      <c r="D16" s="1036"/>
      <c r="E16" s="262"/>
      <c r="F16" s="262"/>
      <c r="G16" s="263"/>
    </row>
    <row r="17" spans="1:7" s="258" customFormat="1" ht="13.5" hidden="1" customHeight="1">
      <c r="A17" s="271" t="s">
        <v>13</v>
      </c>
      <c r="B17" s="259" t="s">
        <v>2356</v>
      </c>
      <c r="C17" s="273"/>
      <c r="D17" s="1037"/>
      <c r="E17" s="273"/>
      <c r="F17" s="273"/>
      <c r="G17" s="263" t="s">
        <v>2355</v>
      </c>
    </row>
    <row r="18" spans="1:7" s="258" customFormat="1" ht="13.5" hidden="1" customHeight="1">
      <c r="A18" s="271" t="s">
        <v>14</v>
      </c>
      <c r="B18" s="259" t="s">
        <v>2357</v>
      </c>
      <c r="C18" s="264">
        <v>0</v>
      </c>
      <c r="D18" s="1036"/>
      <c r="E18" s="262"/>
      <c r="F18" s="265">
        <v>3.0499999999999999E-2</v>
      </c>
      <c r="G18" s="263" t="s">
        <v>2358</v>
      </c>
    </row>
    <row r="19" spans="1:7" s="267" customFormat="1" ht="13.5" customHeight="1">
      <c r="A19" s="299" t="s">
        <v>2359</v>
      </c>
      <c r="B19" s="254" t="s">
        <v>2360</v>
      </c>
      <c r="C19" s="255" t="str">
        <f>IF(G19="已包含在土地取得成本中","0",ROUND(D19*E19/10000,0))</f>
        <v>0</v>
      </c>
      <c r="D19" s="1038">
        <f ca="1">D9+D10</f>
        <v>7253.4400000000014</v>
      </c>
      <c r="E19" s="255">
        <f>'数据-取费表'!B31</f>
        <v>200</v>
      </c>
      <c r="F19" s="275"/>
      <c r="G19" s="2553" t="s">
        <v>3197</v>
      </c>
    </row>
    <row r="20" spans="1:7" s="258" customFormat="1" ht="13.5" customHeight="1">
      <c r="A20" s="299" t="s">
        <v>2361</v>
      </c>
      <c r="B20" s="254" t="s">
        <v>2362</v>
      </c>
      <c r="C20" s="276">
        <f ca="1">ROUND((C5+C19)*F20,0)</f>
        <v>632</v>
      </c>
      <c r="D20" s="276"/>
      <c r="E20" s="276"/>
      <c r="F20" s="277">
        <f>'数据-取费表'!B37</f>
        <v>0.03</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6">
        <f ca="1">ROUND(SUM(C23:C25),0)</f>
        <v>2078</v>
      </c>
      <c r="D22" s="279">
        <f ca="1">C26</f>
        <v>1.4E-3</v>
      </c>
      <c r="E22" s="280" t="s">
        <v>2366</v>
      </c>
      <c r="F22" s="281">
        <f ca="1">'数据-取费表'!B40</f>
        <v>4.7500000000000001E-2</v>
      </c>
      <c r="G22" s="278" t="str">
        <f>IF('数据-取费表'!B22&lt;=1,"单利计息","复利计息")</f>
        <v>复利计息</v>
      </c>
    </row>
    <row r="23" spans="1:7" s="258" customFormat="1" ht="13.5" customHeight="1">
      <c r="A23" s="953" t="s">
        <v>2370</v>
      </c>
      <c r="B23" s="259" t="s">
        <v>2371</v>
      </c>
      <c r="C23" s="1357">
        <f ca="1">ROUND(IF('数据-取费表'!B22&lt;=1,C5*F22*'数据-取费表'!B23,C5*(POWER((1+F22),'数据-取费表'!B23)-1)),0)</f>
        <v>2048</v>
      </c>
      <c r="D23" s="282"/>
      <c r="E23" s="282"/>
      <c r="F23" s="283"/>
      <c r="G23" s="284" t="s">
        <v>2372</v>
      </c>
    </row>
    <row r="24" spans="1:7" s="258" customFormat="1" ht="13.5" customHeight="1">
      <c r="A24" s="953" t="s">
        <v>2373</v>
      </c>
      <c r="B24" s="259" t="s">
        <v>2374</v>
      </c>
      <c r="C24" s="1357">
        <f ca="1">ROUND(IF('数据-取费表'!B22&lt;=1,C19*F22*('数据-取费表'!B19/2+'数据-取费表'!B21),C19*(POWER((1+F22),('数据-取费表'!B19/2+'数据-取费表'!B21))-1)),0)</f>
        <v>0</v>
      </c>
      <c r="D24" s="282"/>
      <c r="E24" s="282"/>
      <c r="F24" s="283"/>
      <c r="G24" s="284" t="s">
        <v>2375</v>
      </c>
    </row>
    <row r="25" spans="1:7" s="258" customFormat="1" ht="24">
      <c r="A25" s="953" t="s">
        <v>2376</v>
      </c>
      <c r="B25" s="259" t="s">
        <v>2377</v>
      </c>
      <c r="C25" s="1357">
        <f ca="1">ROUND(IF('数据-取费表'!B22&lt;=1,C20*F22*'数据-取费表'!B23/2,C20*(POWER((1+F22),'数据-取费表'!B23/2)-1)),0)</f>
        <v>30</v>
      </c>
      <c r="D25" s="282"/>
      <c r="E25" s="285"/>
      <c r="F25" s="283"/>
      <c r="G25" s="286" t="s">
        <v>2378</v>
      </c>
    </row>
    <row r="26" spans="1:7" s="258" customFormat="1">
      <c r="A26" s="953"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6506</v>
      </c>
      <c r="D27" s="279">
        <f ca="1">C29</f>
        <v>8.9999999999999993E-3</v>
      </c>
      <c r="E27" s="280" t="s">
        <v>2382</v>
      </c>
      <c r="F27" s="290">
        <f ca="1">IF(B1="",'数据-取费表'!Q16,INDIRECT("'数据-取费表'!q"&amp;$G$1))</f>
        <v>0.3</v>
      </c>
      <c r="G27" s="291" t="s">
        <v>2383</v>
      </c>
    </row>
    <row r="28" spans="1:7" s="258" customFormat="1" ht="13.5" customHeight="1">
      <c r="A28" s="953" t="s">
        <v>791</v>
      </c>
      <c r="B28" s="292" t="s">
        <v>2384</v>
      </c>
      <c r="C28" s="293">
        <f ca="1">ROUND((C5+C19+C20)*F27*'数据-取费表'!B21/'数据-取费表'!B20,0)</f>
        <v>6506</v>
      </c>
      <c r="D28" s="279"/>
      <c r="E28" s="280"/>
      <c r="F28" s="290"/>
      <c r="G28" s="291"/>
    </row>
    <row r="29" spans="1:7" s="258" customFormat="1" ht="13.5" customHeight="1">
      <c r="A29" s="953" t="s">
        <v>792</v>
      </c>
      <c r="B29" s="292" t="s">
        <v>2385</v>
      </c>
      <c r="C29" s="282">
        <f ca="1">ROUND(C21*F27*'数据-取费表'!B21/'数据-取费表'!B20,4)</f>
        <v>8.9999999999999993E-3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33400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3621</v>
      </c>
      <c r="D33" s="276"/>
      <c r="E33" s="256"/>
      <c r="F33" s="285"/>
      <c r="G33" s="278"/>
    </row>
    <row r="34" spans="1:7" s="302" customFormat="1" ht="13.5" customHeight="1">
      <c r="A34" s="953" t="s">
        <v>791</v>
      </c>
      <c r="B34" s="259" t="s">
        <v>2393</v>
      </c>
      <c r="C34" s="264">
        <f ca="1">IF(B1="",IF(F34=100%,'数据-取费表'!M16,'数据-取费表'!O16),IF(F34=100%,INDIRECT("'数据-取费表'!m"&amp;$G$1)+INDIRECT("'数据-取费表'!t"&amp;$G$1),INDIRECT("'数据-取费表'!o"&amp;$G$1)+INDIRECT("'数据-取费表'!aq"&amp;$G$1)))</f>
        <v>3264</v>
      </c>
      <c r="D34" s="261"/>
      <c r="E34" s="264"/>
      <c r="F34" s="301">
        <f ca="1">IF('数据-取费表'!B24=0,1,IF(B1="",'数据-取费表'!N16,INDIRECT("'数据-取费表'!n"&amp;$G$1)))</f>
        <v>1</v>
      </c>
      <c r="G34" s="263" t="s">
        <v>2394</v>
      </c>
    </row>
    <row r="35" spans="1:7" ht="13.5" customHeight="1">
      <c r="A35" s="953" t="s">
        <v>796</v>
      </c>
      <c r="B35" s="259" t="s">
        <v>2395</v>
      </c>
      <c r="C35" s="264">
        <f ca="1">ROUND(C34*F35,0)</f>
        <v>163</v>
      </c>
      <c r="D35" s="264"/>
      <c r="E35" s="264"/>
      <c r="F35" s="303">
        <f>'数据-取费表'!B33</f>
        <v>0.05</v>
      </c>
      <c r="G35" s="263" t="s">
        <v>2396</v>
      </c>
    </row>
    <row r="36" spans="1:7" ht="24">
      <c r="A36" s="953"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3" t="s">
        <v>798</v>
      </c>
      <c r="B37" s="259" t="s">
        <v>2399</v>
      </c>
      <c r="C37" s="293">
        <f ca="1">ROUND(E37*D37*F34/10000,0)</f>
        <v>145</v>
      </c>
      <c r="D37" s="261">
        <f ca="1">D19</f>
        <v>7253.4400000000014</v>
      </c>
      <c r="E37" s="293">
        <f>'数据-取费表'!B35</f>
        <v>200</v>
      </c>
      <c r="F37" s="303"/>
      <c r="G37" s="305" t="s">
        <v>2400</v>
      </c>
    </row>
    <row r="38" spans="1:7" ht="13.5" customHeight="1">
      <c r="A38" s="953" t="s">
        <v>799</v>
      </c>
      <c r="B38" s="259" t="s">
        <v>2401</v>
      </c>
      <c r="C38" s="264">
        <f ca="1">ROUND(C34*F38,0)</f>
        <v>49</v>
      </c>
      <c r="D38" s="264"/>
      <c r="E38" s="264"/>
      <c r="F38" s="303">
        <f>'数据-取费表'!B36</f>
        <v>1.4999999999999999E-2</v>
      </c>
      <c r="G38" s="263" t="s">
        <v>2396</v>
      </c>
    </row>
    <row r="39" spans="1:7" s="258" customFormat="1" ht="13.5" customHeight="1">
      <c r="A39" s="299" t="s">
        <v>2402</v>
      </c>
      <c r="B39" s="254" t="s">
        <v>2403</v>
      </c>
      <c r="C39" s="276">
        <f ca="1">ROUND(C33*F20,0)</f>
        <v>109</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177</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ROUND(IF('数据-取费表'!B22&lt;=1,C33*F22*'数据-取费表'!B21/2,C33*(POWER((1+F22),'数据-取费表'!B21/2)-1)),0)</f>
        <v>172</v>
      </c>
      <c r="D42" s="282"/>
      <c r="E42" s="282"/>
      <c r="F42" s="283"/>
      <c r="G42" s="3197" t="s">
        <v>2412</v>
      </c>
    </row>
    <row r="43" spans="1:7" ht="13.5" customHeight="1">
      <c r="A43" s="953" t="s">
        <v>792</v>
      </c>
      <c r="B43" s="259" t="s">
        <v>2413</v>
      </c>
      <c r="C43" s="282">
        <f ca="1">ROUND(IF('数据-取费表'!B22&lt;=1,C39*F22*'数据-取费表'!B21/2,C39*(POWER((1+F22),'数据-取费表'!B21/2)-1)),0)</f>
        <v>5</v>
      </c>
      <c r="D43" s="282"/>
      <c r="E43" s="282"/>
      <c r="F43" s="283"/>
      <c r="G43" s="3198"/>
    </row>
    <row r="44" spans="1:7" ht="13.5" customHeight="1">
      <c r="A44" s="953" t="s">
        <v>793</v>
      </c>
      <c r="B44" s="259" t="s">
        <v>2414</v>
      </c>
      <c r="C44" s="282">
        <f ca="1">ROUND(IF('数据-取费表'!B22&lt;=1,C40*F22*'数据-取费表'!B21/2,C40*(POWER((1+F22),'数据-取费表'!B21/2)-1)),4)</f>
        <v>1.4E-3</v>
      </c>
      <c r="D44" s="282"/>
      <c r="E44" s="282"/>
      <c r="F44" s="283"/>
      <c r="G44" s="3199"/>
    </row>
    <row r="45" spans="1:7" s="258" customFormat="1" ht="13.5" customHeight="1">
      <c r="A45" s="299" t="s">
        <v>2415</v>
      </c>
      <c r="B45" s="288" t="s">
        <v>2381</v>
      </c>
      <c r="C45" s="289">
        <f ca="1">C46</f>
        <v>1119</v>
      </c>
      <c r="D45" s="279">
        <f ca="1">C47</f>
        <v>8.9999999999999993E-3</v>
      </c>
      <c r="E45" s="280" t="s">
        <v>2407</v>
      </c>
      <c r="F45" s="290"/>
      <c r="G45" s="291" t="s">
        <v>2416</v>
      </c>
    </row>
    <row r="46" spans="1:7" s="258" customFormat="1" ht="13.5" customHeight="1">
      <c r="A46" s="953" t="s">
        <v>791</v>
      </c>
      <c r="B46" s="292" t="s">
        <v>2417</v>
      </c>
      <c r="C46" s="293">
        <f ca="1">ROUND((C33+C39)*F27,0)</f>
        <v>1119</v>
      </c>
      <c r="D46" s="307"/>
      <c r="E46" s="280"/>
      <c r="F46" s="290"/>
      <c r="G46" s="291"/>
    </row>
    <row r="47" spans="1:7" s="258" customFormat="1" ht="13.5" customHeight="1">
      <c r="A47" s="953" t="s">
        <v>792</v>
      </c>
      <c r="B47" s="292" t="s">
        <v>2418</v>
      </c>
      <c r="C47" s="282">
        <f ca="1">ROUND(C40*F27,4)</f>
        <v>8.9999999999999993E-3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5546</v>
      </c>
      <c r="D49" s="276"/>
      <c r="E49" s="276"/>
      <c r="F49" s="308"/>
      <c r="G49" s="278" t="s">
        <v>2422</v>
      </c>
    </row>
    <row r="50" spans="1:7" s="302" customFormat="1" ht="24">
      <c r="A50" s="299" t="s">
        <v>2423</v>
      </c>
      <c r="B50" s="254" t="s">
        <v>2424</v>
      </c>
      <c r="C50" s="276"/>
      <c r="D50" s="276"/>
      <c r="E50" s="276"/>
      <c r="F50" s="308">
        <f>IF('数据-取费表'!B24=0,'数据-取费表'!N16,1)</f>
        <v>0.83</v>
      </c>
      <c r="G50" s="291" t="s">
        <v>2425</v>
      </c>
    </row>
    <row r="51" spans="1:7" ht="16.5" customHeight="1">
      <c r="A51" s="299" t="s">
        <v>2426</v>
      </c>
      <c r="B51" s="254" t="s">
        <v>2427</v>
      </c>
      <c r="C51" s="276">
        <f ca="1">ROUND(C49*F50,0)</f>
        <v>4603</v>
      </c>
      <c r="D51" s="276"/>
      <c r="E51" s="276"/>
      <c r="F51" s="308"/>
      <c r="G51" s="278" t="s">
        <v>2428</v>
      </c>
    </row>
    <row r="52" spans="1:7" s="252" customFormat="1" ht="16.5" thickBot="1">
      <c r="A52" s="309" t="s">
        <v>2429</v>
      </c>
      <c r="B52" s="310"/>
      <c r="C52" s="311">
        <f ca="1">C31+C51</f>
        <v>38003</v>
      </c>
      <c r="D52" s="310"/>
      <c r="E52" s="310"/>
      <c r="F52" s="310"/>
      <c r="G52" s="312"/>
    </row>
    <row r="55" spans="1:7" ht="15">
      <c r="B55" s="314" t="s">
        <v>2430</v>
      </c>
      <c r="C55" s="315"/>
    </row>
    <row r="56" spans="1:7">
      <c r="B56" s="317" t="s">
        <v>1515</v>
      </c>
      <c r="C56" s="319">
        <f ca="1">1-C57</f>
        <v>0.879</v>
      </c>
    </row>
    <row r="57" spans="1:7">
      <c r="B57" s="317" t="s">
        <v>1516</v>
      </c>
      <c r="C57" s="318">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1" t="str">
        <f>项目基本情况!B1</f>
        <v>北京市东城区香河园街1号院1、2、3号楼房地产抵押价值预评估</v>
      </c>
      <c r="C37" s="3011"/>
      <c r="D37" s="3011"/>
      <c r="E37" s="3011"/>
      <c r="F37" s="3011"/>
      <c r="G37" s="3011"/>
      <c r="H37" s="3011"/>
      <c r="I37" s="3011"/>
    </row>
    <row r="38" spans="1:9">
      <c r="A38" s="1018"/>
      <c r="B38" s="1018"/>
    </row>
    <row r="39" spans="1:9">
      <c r="A39" s="1016" t="s">
        <v>818</v>
      </c>
      <c r="B39" s="1016" t="s">
        <v>820</v>
      </c>
    </row>
    <row r="40" spans="1:9">
      <c r="A40" s="1016"/>
      <c r="B40" s="1945" t="str">
        <f>项目基本情况!B5</f>
        <v>当代节能置业股份有限公司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梁津（注册号：1119970066)、欧红伟（注册号：1120000080)</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6" t="s">
        <v>2431</v>
      </c>
      <c r="D1" s="242"/>
      <c r="E1" s="242"/>
      <c r="F1" s="242"/>
      <c r="G1" s="1381">
        <f>MATCH(B1,'数据-取费表'!A6:A16,0)+5</f>
        <v>8</v>
      </c>
      <c r="H1" s="1284" t="str">
        <f>IF(ISERROR(FIND("住宅",B1)),"非住宅","住宅")</f>
        <v>非住宅</v>
      </c>
    </row>
    <row r="2" spans="1:8" s="244" customFormat="1" ht="18" customHeight="1">
      <c r="A2" s="245" t="s">
        <v>2330</v>
      </c>
      <c r="B2" s="246">
        <f ca="1">ROUND(IF(D2="——",C52/10000,C52/10000-E2),0)</f>
        <v>5063</v>
      </c>
      <c r="C2" s="243" t="s">
        <v>2331</v>
      </c>
      <c r="D2" s="2550" t="s">
        <v>70</v>
      </c>
      <c r="E2" s="1442"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6980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1450688</v>
      </c>
      <c r="D5" s="255" t="s">
        <v>2337</v>
      </c>
      <c r="E5" s="256" t="s">
        <v>2338</v>
      </c>
      <c r="F5" s="256" t="s">
        <v>2339</v>
      </c>
      <c r="G5" s="257"/>
    </row>
    <row r="6" spans="1:8" s="258" customFormat="1" ht="13.5" customHeight="1">
      <c r="A6" s="951" t="s">
        <v>2340</v>
      </c>
      <c r="B6" s="259" t="s">
        <v>2341</v>
      </c>
      <c r="C6" s="260"/>
      <c r="D6" s="261"/>
      <c r="E6" s="262"/>
      <c r="F6" s="262"/>
      <c r="G6" s="263"/>
    </row>
    <row r="7" spans="1:8" s="258" customFormat="1" ht="13.5" customHeight="1">
      <c r="A7" s="951" t="s">
        <v>2342</v>
      </c>
      <c r="B7" s="259" t="s">
        <v>2343</v>
      </c>
      <c r="C7" s="264">
        <f>ROUND(C6*F7,0)</f>
        <v>0</v>
      </c>
      <c r="D7" s="264"/>
      <c r="E7" s="262"/>
      <c r="F7" s="265">
        <f>'数据-取费表'!B48+'数据-取费表'!B49</f>
        <v>3.0499999999999999E-2</v>
      </c>
      <c r="G7" s="263"/>
    </row>
    <row r="8" spans="1:8" s="267" customFormat="1">
      <c r="A8" s="951" t="s">
        <v>2344</v>
      </c>
      <c r="B8" s="259" t="s">
        <v>2345</v>
      </c>
      <c r="C8" s="264">
        <f ca="1">IF(G8="已包含在土地购买价格中",0,C9+C10)</f>
        <v>1450688</v>
      </c>
      <c r="D8" s="266"/>
      <c r="E8" s="264"/>
      <c r="F8" s="265"/>
      <c r="G8" s="2553"/>
    </row>
    <row r="9" spans="1:8" s="258" customFormat="1" ht="13.5" customHeight="1">
      <c r="A9" s="952" t="s">
        <v>800</v>
      </c>
      <c r="B9" s="268" t="s">
        <v>2346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2348</v>
      </c>
      <c r="C10" s="269">
        <f ca="1">ROUND(D10*E10,0)</f>
        <v>1450688</v>
      </c>
      <c r="D10" s="1034">
        <f ca="1">IF(B1="",'数据-汇总表'!E6,IF(INDIRECT("'数据-取费表'!c"&amp;$G$1)="住宅",INDIRECT("'数据-取费表'!s"&amp;$G$1),INDIRECT("'数据-取费表'!k"&amp;$G$1)+INDIRECT("'数据-取费表'!s"&amp;$G$1)))</f>
        <v>7253.4400000000014</v>
      </c>
      <c r="E10" s="269">
        <f>'数据-取费表'!B28</f>
        <v>200</v>
      </c>
      <c r="F10" s="265"/>
      <c r="G10" s="270"/>
    </row>
    <row r="11" spans="1:8" s="258" customFormat="1" ht="13.5" hidden="1" customHeight="1">
      <c r="A11" s="271" t="s">
        <v>7</v>
      </c>
      <c r="B11" s="259" t="s">
        <v>2349</v>
      </c>
      <c r="C11" s="255"/>
      <c r="D11" s="1036"/>
      <c r="E11" s="262"/>
      <c r="F11" s="262"/>
      <c r="G11" s="263"/>
    </row>
    <row r="12" spans="1:8" s="258" customFormat="1" ht="13.5" hidden="1" customHeight="1">
      <c r="A12" s="271" t="s">
        <v>8</v>
      </c>
      <c r="B12" s="259" t="s">
        <v>2432</v>
      </c>
      <c r="C12" s="255">
        <v>0</v>
      </c>
      <c r="D12" s="1036"/>
      <c r="E12" s="272"/>
      <c r="F12" s="265">
        <v>3.0499999999999999E-2</v>
      </c>
      <c r="G12" s="263"/>
    </row>
    <row r="13" spans="1:8" s="258" customFormat="1" ht="13.5" hidden="1" customHeight="1">
      <c r="A13" s="271" t="s">
        <v>9</v>
      </c>
      <c r="B13" s="259" t="s">
        <v>2433</v>
      </c>
      <c r="C13" s="255"/>
      <c r="D13" s="1036"/>
      <c r="E13" s="262"/>
      <c r="F13" s="262"/>
      <c r="G13" s="263"/>
    </row>
    <row r="14" spans="1:8" s="258" customFormat="1" ht="13.5" hidden="1" customHeight="1">
      <c r="A14" s="271" t="s">
        <v>10</v>
      </c>
      <c r="B14" s="259" t="s">
        <v>2345</v>
      </c>
      <c r="C14" s="255"/>
      <c r="D14" s="1036"/>
      <c r="E14" s="262"/>
      <c r="F14" s="262"/>
      <c r="G14" s="263" t="s">
        <v>2434</v>
      </c>
    </row>
    <row r="15" spans="1:8" s="258" customFormat="1" ht="13.5" hidden="1" customHeight="1">
      <c r="A15" s="271" t="s">
        <v>11</v>
      </c>
      <c r="B15" s="259" t="s">
        <v>2435</v>
      </c>
      <c r="C15" s="264"/>
      <c r="D15" s="1036"/>
      <c r="E15" s="262"/>
      <c r="F15" s="262"/>
      <c r="G15" s="263" t="s">
        <v>2436</v>
      </c>
    </row>
    <row r="16" spans="1:8" s="258" customFormat="1" ht="13.5" hidden="1" customHeight="1">
      <c r="A16" s="271" t="s">
        <v>12</v>
      </c>
      <c r="B16" s="259" t="s">
        <v>2345</v>
      </c>
      <c r="C16" s="264"/>
      <c r="D16" s="1036"/>
      <c r="E16" s="262"/>
      <c r="F16" s="262"/>
      <c r="G16" s="263"/>
    </row>
    <row r="17" spans="1:7" s="258" customFormat="1" ht="13.5" hidden="1" customHeight="1">
      <c r="A17" s="271" t="s">
        <v>13</v>
      </c>
      <c r="B17" s="259" t="s">
        <v>2437</v>
      </c>
      <c r="C17" s="273"/>
      <c r="D17" s="1037"/>
      <c r="E17" s="273"/>
      <c r="F17" s="273"/>
      <c r="G17" s="263" t="s">
        <v>2436</v>
      </c>
    </row>
    <row r="18" spans="1:7" s="258" customFormat="1" ht="13.5" hidden="1" customHeight="1">
      <c r="A18" s="271" t="s">
        <v>14</v>
      </c>
      <c r="B18" s="259" t="s">
        <v>2438</v>
      </c>
      <c r="C18" s="264">
        <v>0</v>
      </c>
      <c r="D18" s="1036"/>
      <c r="E18" s="262"/>
      <c r="F18" s="265">
        <v>3.0499999999999999E-2</v>
      </c>
      <c r="G18" s="263" t="s">
        <v>2439</v>
      </c>
    </row>
    <row r="19" spans="1:7" s="267" customFormat="1" ht="13.5" customHeight="1">
      <c r="A19" s="299" t="s">
        <v>2440</v>
      </c>
      <c r="B19" s="254" t="s">
        <v>2441</v>
      </c>
      <c r="C19" s="255">
        <f ca="1">IF(G19="已包含在土地取得成本中","0",ROUND(D19*E19,0))</f>
        <v>1450688</v>
      </c>
      <c r="D19" s="1038">
        <f ca="1">D9+D10</f>
        <v>7253.4400000000014</v>
      </c>
      <c r="E19" s="255">
        <f>'数据-取费表'!B31</f>
        <v>200</v>
      </c>
      <c r="F19" s="275"/>
      <c r="G19" s="2553"/>
    </row>
    <row r="20" spans="1:7" s="258" customFormat="1" ht="13.5" customHeight="1">
      <c r="A20" s="299" t="s">
        <v>2442</v>
      </c>
      <c r="B20" s="254" t="s">
        <v>2443</v>
      </c>
      <c r="C20" s="276">
        <f ca="1">ROUND((C5+C19)*F20,0)</f>
        <v>87041</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2">
        <f ca="1">ROUND(SUM(C23:C25),0)</f>
        <v>286310</v>
      </c>
      <c r="D22" s="279">
        <f ca="1">C26</f>
        <v>1.4E-3</v>
      </c>
      <c r="E22" s="280" t="s">
        <v>2447</v>
      </c>
      <c r="F22" s="281">
        <f ca="1">'数据-取费表'!B40</f>
        <v>4.7500000000000001E-2</v>
      </c>
      <c r="G22" s="278" t="str">
        <f>IF('数据-取费表'!B22&lt;=1,"单利计息","复利计息")</f>
        <v>复利计息</v>
      </c>
    </row>
    <row r="23" spans="1:7" s="258" customFormat="1" ht="13.5" customHeight="1">
      <c r="A23" s="953" t="s">
        <v>2340</v>
      </c>
      <c r="B23" s="259" t="s">
        <v>2451</v>
      </c>
      <c r="C23" s="1383">
        <f ca="1">ROUND(IF('数据-取费表'!B22&lt;=1,C5*F22*'数据-取费表'!B22,C5*(POWER((1+F22),'数据-取费表'!B22)-1)),0)</f>
        <v>141088</v>
      </c>
      <c r="D23" s="282"/>
      <c r="E23" s="282"/>
      <c r="F23" s="283"/>
      <c r="G23" s="284" t="s">
        <v>2452</v>
      </c>
    </row>
    <row r="24" spans="1:7" s="258" customFormat="1" ht="13.5" customHeight="1">
      <c r="A24" s="953" t="s">
        <v>2342</v>
      </c>
      <c r="B24" s="259" t="s">
        <v>2453</v>
      </c>
      <c r="C24" s="1383">
        <f ca="1">ROUND(IF('数据-取费表'!B22&lt;=1,C19*F22*('数据-取费表'!B19/2+'数据-取费表'!B20),C19*(POWER((1+F22),('数据-取费表'!B19/2+'数据-取费表'!B20))-1)),0)</f>
        <v>141088</v>
      </c>
      <c r="D24" s="282"/>
      <c r="E24" s="282"/>
      <c r="F24" s="283"/>
      <c r="G24" s="284" t="s">
        <v>2454</v>
      </c>
    </row>
    <row r="25" spans="1:7" s="258" customFormat="1" ht="24">
      <c r="A25" s="953" t="s">
        <v>2344</v>
      </c>
      <c r="B25" s="259" t="s">
        <v>2455</v>
      </c>
      <c r="C25" s="1383">
        <f ca="1">ROUND(IF('数据-取费表'!B22&lt;=1,C20*F22*'数据-取费表'!B22/2,C20*(POWER((1+F22),'数据-取费表'!B22/2)-1)),0)</f>
        <v>4134</v>
      </c>
      <c r="D25" s="282"/>
      <c r="E25" s="285"/>
      <c r="F25" s="283"/>
      <c r="G25" s="286" t="s">
        <v>2456</v>
      </c>
    </row>
    <row r="26" spans="1:7" s="258" customFormat="1">
      <c r="A26" s="953"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896525</v>
      </c>
      <c r="D27" s="279">
        <f ca="1">C29</f>
        <v>8.9999999999999993E-3</v>
      </c>
      <c r="E27" s="280" t="s">
        <v>2382</v>
      </c>
      <c r="F27" s="290">
        <f ca="1">IF(B1="",'数据-取费表'!Q16,INDIRECT("'数据-取费表'!q"&amp;$G$1))</f>
        <v>0.3</v>
      </c>
      <c r="G27" s="291" t="s">
        <v>2383</v>
      </c>
    </row>
    <row r="28" spans="1:7" s="258" customFormat="1" ht="13.5" customHeight="1">
      <c r="A28" s="953" t="s">
        <v>791</v>
      </c>
      <c r="B28" s="292" t="s">
        <v>2384</v>
      </c>
      <c r="C28" s="293">
        <f ca="1">ROUND((C5+C19+C20)*F27,0)</f>
        <v>896525</v>
      </c>
      <c r="D28" s="279"/>
      <c r="E28" s="280"/>
      <c r="F28" s="290"/>
      <c r="G28" s="291"/>
    </row>
    <row r="29" spans="1:7" s="258" customFormat="1" ht="13.5" customHeight="1">
      <c r="A29" s="953" t="s">
        <v>792</v>
      </c>
      <c r="B29" s="292" t="s">
        <v>2385</v>
      </c>
      <c r="C29" s="282">
        <f ca="1">ROUND(C21*F27,4)</f>
        <v>8.9999999999999993E-3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4602507</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36212799</v>
      </c>
      <c r="D33" s="276"/>
      <c r="E33" s="256"/>
      <c r="F33" s="285"/>
      <c r="G33" s="278"/>
    </row>
    <row r="34" spans="1:7" s="302" customFormat="1" ht="13.5" customHeight="1">
      <c r="A34" s="953" t="s">
        <v>791</v>
      </c>
      <c r="B34" s="259" t="s">
        <v>2393</v>
      </c>
      <c r="C34" s="264">
        <f ca="1">ROUND(IF(B1="",SUMPRODUCT('数据-取费表'!K6:K14,'数据-取费表'!L6:L14),INDIRECT("'数据-取费表'!l"&amp;$G$1)*INDIRECT("'数据-取费表'!k"&amp;$G$1)+'数据-取费表'!L14*INDIRECT("'数据-取费表'!S"&amp;$G$1)),0)</f>
        <v>32640480</v>
      </c>
      <c r="D34" s="261"/>
      <c r="E34" s="264"/>
      <c r="F34" s="301"/>
      <c r="G34" s="263"/>
    </row>
    <row r="35" spans="1:7" ht="13.5" customHeight="1">
      <c r="A35" s="953" t="s">
        <v>796</v>
      </c>
      <c r="B35" s="259" t="s">
        <v>2395</v>
      </c>
      <c r="C35" s="264">
        <f ca="1">ROUND(C34*F35,0)</f>
        <v>1632024</v>
      </c>
      <c r="D35" s="264"/>
      <c r="E35" s="264"/>
      <c r="F35" s="303">
        <f>'数据-取费表'!B33</f>
        <v>0.05</v>
      </c>
      <c r="G35" s="263" t="s">
        <v>2396</v>
      </c>
    </row>
    <row r="36" spans="1:7" ht="24">
      <c r="A36" s="953"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3" t="s">
        <v>798</v>
      </c>
      <c r="B37" s="259" t="s">
        <v>2399</v>
      </c>
      <c r="C37" s="293">
        <f ca="1">ROUND(E37*D37,0)</f>
        <v>1450688</v>
      </c>
      <c r="D37" s="261">
        <f ca="1">D19</f>
        <v>7253.4400000000014</v>
      </c>
      <c r="E37" s="293">
        <f>'数据-取费表'!B35</f>
        <v>200</v>
      </c>
      <c r="F37" s="303"/>
      <c r="G37" s="305"/>
    </row>
    <row r="38" spans="1:7" ht="13.5" customHeight="1">
      <c r="A38" s="953" t="s">
        <v>799</v>
      </c>
      <c r="B38" s="259" t="s">
        <v>2401</v>
      </c>
      <c r="C38" s="264">
        <f ca="1">ROUND(C34*F38,0)</f>
        <v>489607</v>
      </c>
      <c r="D38" s="264"/>
      <c r="E38" s="264"/>
      <c r="F38" s="303">
        <f>'数据-取费表'!B36</f>
        <v>1.4999999999999999E-2</v>
      </c>
      <c r="G38" s="263" t="s">
        <v>2396</v>
      </c>
    </row>
    <row r="39" spans="1:7" s="258" customFormat="1" ht="13.5" customHeight="1">
      <c r="A39" s="299" t="s">
        <v>2402</v>
      </c>
      <c r="B39" s="254" t="s">
        <v>2403</v>
      </c>
      <c r="C39" s="276">
        <f ca="1">ROUND(C33*F20,0)</f>
        <v>1086384</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1771711</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ROUND(IF('数据-取费表'!B22&lt;=1,C33*F22*'数据-取费表'!B20/2,C33*(POWER((1+F22),'数据-取费表'!B20/2)-1)),0)</f>
        <v>1720108</v>
      </c>
      <c r="D42" s="282"/>
      <c r="E42" s="282"/>
      <c r="F42" s="283"/>
      <c r="G42" s="3197" t="s">
        <v>2459</v>
      </c>
    </row>
    <row r="43" spans="1:7" ht="13.5" customHeight="1">
      <c r="A43" s="953" t="s">
        <v>792</v>
      </c>
      <c r="B43" s="259" t="s">
        <v>2413</v>
      </c>
      <c r="C43" s="282">
        <f ca="1">ROUND(IF('数据-取费表'!B22&lt;=1,C39*F22*'数据-取费表'!B20/2,C39*(POWER((1+F22),'数据-取费表'!B20/2)-1)),0)</f>
        <v>51603</v>
      </c>
      <c r="D43" s="282"/>
      <c r="E43" s="282"/>
      <c r="F43" s="283"/>
      <c r="G43" s="3198"/>
    </row>
    <row r="44" spans="1:7" ht="13.5" customHeight="1">
      <c r="A44" s="953" t="s">
        <v>793</v>
      </c>
      <c r="B44" s="259" t="s">
        <v>2414</v>
      </c>
      <c r="C44" s="282">
        <f ca="1">ROUND(IF('数据-取费表'!B22&lt;=1,C40*F22*'数据-取费表'!B20/2,C40*(POWER((1+F22),'数据-取费表'!B20/2)-1)),4)</f>
        <v>1.4E-3</v>
      </c>
      <c r="D44" s="282"/>
      <c r="E44" s="282"/>
      <c r="F44" s="283"/>
      <c r="G44" s="3199"/>
    </row>
    <row r="45" spans="1:7" s="258" customFormat="1" ht="13.5" customHeight="1">
      <c r="A45" s="299" t="s">
        <v>2415</v>
      </c>
      <c r="B45" s="288" t="s">
        <v>2381</v>
      </c>
      <c r="C45" s="289">
        <f ca="1">C46</f>
        <v>11189755</v>
      </c>
      <c r="D45" s="279">
        <f ca="1">C47</f>
        <v>8.9999999999999993E-3</v>
      </c>
      <c r="E45" s="280" t="s">
        <v>2407</v>
      </c>
      <c r="F45" s="290"/>
      <c r="G45" s="291" t="s">
        <v>2416</v>
      </c>
    </row>
    <row r="46" spans="1:7" s="258" customFormat="1" ht="13.5" customHeight="1">
      <c r="A46" s="953" t="s">
        <v>791</v>
      </c>
      <c r="B46" s="292" t="s">
        <v>2417</v>
      </c>
      <c r="C46" s="293">
        <f ca="1">ROUND((C33+C39)*F27,0)</f>
        <v>11189755</v>
      </c>
      <c r="D46" s="307"/>
      <c r="E46" s="280"/>
      <c r="F46" s="290"/>
      <c r="G46" s="291"/>
    </row>
    <row r="47" spans="1:7" s="258" customFormat="1" ht="13.5" customHeight="1">
      <c r="A47" s="953" t="s">
        <v>792</v>
      </c>
      <c r="B47" s="292" t="s">
        <v>2418</v>
      </c>
      <c r="C47" s="282">
        <f ca="1">ROUND(C40*F27,4)</f>
        <v>8.9999999999999993E-3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55456967</v>
      </c>
      <c r="D49" s="276"/>
      <c r="E49" s="276"/>
      <c r="F49" s="308"/>
      <c r="G49" s="278" t="s">
        <v>2422</v>
      </c>
    </row>
    <row r="50" spans="1:7" s="302" customFormat="1">
      <c r="A50" s="299" t="s">
        <v>2423</v>
      </c>
      <c r="B50" s="254" t="s">
        <v>2424</v>
      </c>
      <c r="C50" s="276"/>
      <c r="D50" s="276"/>
      <c r="E50" s="276"/>
      <c r="F50" s="308">
        <f>IF('数据-取费表'!B24=0,'数据-取费表'!N16,1)</f>
        <v>0.83</v>
      </c>
      <c r="G50" s="291"/>
    </row>
    <row r="51" spans="1:7" ht="16.5" customHeight="1">
      <c r="A51" s="299" t="s">
        <v>2426</v>
      </c>
      <c r="B51" s="254" t="s">
        <v>2461</v>
      </c>
      <c r="C51" s="276">
        <f ca="1">ROUND(C49*F50,0)</f>
        <v>46029283</v>
      </c>
      <c r="D51" s="276"/>
      <c r="E51" s="276"/>
      <c r="F51" s="308"/>
      <c r="G51" s="278" t="s">
        <v>2428</v>
      </c>
    </row>
    <row r="52" spans="1:7" s="252" customFormat="1" ht="16.5" thickBot="1">
      <c r="A52" s="309" t="s">
        <v>2429</v>
      </c>
      <c r="B52" s="310"/>
      <c r="C52" s="311">
        <f ca="1">C31+C51</f>
        <v>50631790</v>
      </c>
      <c r="D52" s="310"/>
      <c r="E52" s="310"/>
      <c r="F52" s="310"/>
      <c r="G52" s="312"/>
    </row>
    <row r="55" spans="1:7" ht="15">
      <c r="B55" s="314" t="s">
        <v>2430</v>
      </c>
      <c r="C55" s="315"/>
    </row>
    <row r="56" spans="1:7">
      <c r="B56" s="317" t="s">
        <v>1515</v>
      </c>
      <c r="C56" s="319">
        <f ca="1">1-C57</f>
        <v>9.099999999999997E-2</v>
      </c>
    </row>
    <row r="57" spans="1:7">
      <c r="B57" s="317" t="s">
        <v>1516</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7" t="s">
        <v>2468</v>
      </c>
      <c r="D5" s="2557" t="s">
        <v>2469</v>
      </c>
      <c r="E5" s="2557" t="s">
        <v>2470</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2474</v>
      </c>
      <c r="B8" s="177"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1335</v>
      </c>
      <c r="B11" s="974" t="s">
        <v>2483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2484</v>
      </c>
      <c r="C12" s="24">
        <f ca="1">ROUND(C11*F12,0)</f>
        <v>0</v>
      </c>
      <c r="D12" s="975"/>
      <c r="E12" s="375"/>
      <c r="F12" s="978">
        <f>'数据-取费表'!B33</f>
        <v>0.05</v>
      </c>
      <c r="G12" s="8" t="s">
        <v>2485</v>
      </c>
      <c r="H12" s="970"/>
      <c r="I12" s="970"/>
      <c r="J12" s="970"/>
      <c r="K12" s="971"/>
    </row>
    <row r="13" spans="1:33" s="977" customFormat="1" ht="13.5" customHeight="1">
      <c r="A13" s="973" t="s">
        <v>1337</v>
      </c>
      <c r="B13" s="974" t="s">
        <v>2486</v>
      </c>
      <c r="C13" s="24">
        <f ca="1">ROUND(IF(C1="",SUMIF('数据-取费表'!C:C,"住宅",'数据-取费表'!P:P)*F13,IF(INDIRECT("'数据-取费表'!c"&amp;$K$1)="住宅",INDIRECT("'数据-取费表'!P"&amp;$K$1)*F13,0)),0)</f>
        <v>0</v>
      </c>
      <c r="D13" s="1035"/>
      <c r="E13" s="375"/>
      <c r="F13" s="978">
        <f>'数据-取费表'!B34</f>
        <v>0</v>
      </c>
      <c r="G13" s="8" t="s">
        <v>2487</v>
      </c>
      <c r="H13" s="970"/>
      <c r="I13" s="970"/>
      <c r="J13" s="970"/>
      <c r="K13" s="971"/>
    </row>
    <row r="14" spans="1:33" s="979" customFormat="1" ht="13.5" customHeight="1">
      <c r="A14" s="973" t="s">
        <v>1338</v>
      </c>
      <c r="B14" s="974" t="s">
        <v>2488</v>
      </c>
      <c r="C14" s="24">
        <f ca="1">ROUND(D14*E14*F11/10000,0)</f>
        <v>0</v>
      </c>
      <c r="D14" s="1035">
        <f ca="1">IF(C1="",'数据-汇总表'!E3,INDIRECT("'数据-取费表'!K"&amp;$K$1)+INDIRECT("'数据-取费表'!S"&amp;$K$1))</f>
        <v>7253.4400000000014</v>
      </c>
      <c r="E14" s="24">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2490</v>
      </c>
      <c r="C15" s="985">
        <f ca="1">ROUND(C11*F15,0)</f>
        <v>0</v>
      </c>
      <c r="D15" s="980"/>
      <c r="E15" s="985"/>
      <c r="F15" s="986">
        <f>'数据-取费表'!B36</f>
        <v>1.4999999999999999E-2</v>
      </c>
      <c r="G15" s="140"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7253.4400000000014</v>
      </c>
      <c r="E17" s="24">
        <f>'数据-取费表'!B32</f>
        <v>0</v>
      </c>
      <c r="F17" s="980"/>
      <c r="G17" s="140" t="s">
        <v>2494</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2495</v>
      </c>
      <c r="C18" s="24">
        <f ca="1">C19+C20-IF(C1="",'数据-取费表'!B29,IF(G18="已全部缴纳",C19+C20,H18))</f>
        <v>0</v>
      </c>
      <c r="D18" s="1035"/>
      <c r="E18" s="24"/>
      <c r="F18" s="978"/>
      <c r="G18" s="2559"/>
      <c r="H18" s="1580"/>
      <c r="I18" s="2560"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2498</v>
      </c>
      <c r="C20" s="24">
        <f ca="1">ROUND(D20*E20/10000,0)</f>
        <v>145</v>
      </c>
      <c r="D20" s="1035">
        <f ca="1">IF(C1="",'数据-汇总表'!E6,IF(INDIRECT("'数据-取费表'!c"&amp;$K$1)="住宅",INDIRECT("'数据-取费表'!s"&amp;$K$1),INDIRECT("'数据-取费表'!k"&amp;$K$1)+INDIRECT("'数据-取费表'!s"&amp;$K$1)))</f>
        <v>7253.4400000000014</v>
      </c>
      <c r="E20" s="24">
        <f>'数据-取费表'!B28</f>
        <v>200</v>
      </c>
      <c r="F20" s="978"/>
      <c r="G20" s="15"/>
      <c r="H20" s="983"/>
      <c r="I20" s="983"/>
      <c r="J20" s="983"/>
      <c r="K20" s="984"/>
    </row>
    <row r="21" spans="1:33" s="977" customFormat="1" ht="13.5" customHeight="1">
      <c r="A21" s="963" t="s">
        <v>802</v>
      </c>
      <c r="B21" s="987" t="s">
        <v>2499</v>
      </c>
      <c r="C21" s="988">
        <f ca="1">C16+C17+C18</f>
        <v>0</v>
      </c>
      <c r="D21" s="989"/>
      <c r="E21" s="325"/>
      <c r="F21" s="325"/>
      <c r="G21" s="140" t="s">
        <v>2500</v>
      </c>
      <c r="H21" s="981"/>
      <c r="I21" s="981"/>
      <c r="J21" s="981"/>
      <c r="K21" s="982"/>
    </row>
    <row r="22" spans="1:33" s="977" customFormat="1" ht="13.5" customHeight="1">
      <c r="A22" s="963" t="s">
        <v>2472</v>
      </c>
      <c r="B22" s="987" t="s">
        <v>2501</v>
      </c>
      <c r="C22" s="988">
        <f ca="1">ROUND(C21*F22,0)</f>
        <v>0</v>
      </c>
      <c r="D22" s="325"/>
      <c r="E22" s="325"/>
      <c r="F22" s="990">
        <f>'数据-取费表'!B37</f>
        <v>0.03</v>
      </c>
      <c r="G22" s="8" t="s">
        <v>2502</v>
      </c>
      <c r="H22" s="970"/>
      <c r="I22" s="970"/>
      <c r="J22" s="970"/>
      <c r="K22" s="971"/>
    </row>
    <row r="23" spans="1:33" s="977" customFormat="1" ht="13.5" customHeight="1">
      <c r="A23" s="963" t="s">
        <v>2474</v>
      </c>
      <c r="B23" s="987" t="s">
        <v>2503</v>
      </c>
      <c r="C23" s="988">
        <f ca="1">ROUND(C4*F23*F11,0)</f>
        <v>0</v>
      </c>
      <c r="D23" s="325"/>
      <c r="E23" s="325"/>
      <c r="F23" s="990">
        <f>'数据-取费表'!B38</f>
        <v>0.03</v>
      </c>
      <c r="G23" s="8" t="s">
        <v>2504</v>
      </c>
      <c r="H23" s="970"/>
      <c r="I23" s="970"/>
      <c r="J23" s="970"/>
      <c r="K23" s="971"/>
    </row>
    <row r="24" spans="1:33" s="977" customFormat="1" ht="13.5" customHeight="1">
      <c r="A24" s="963" t="s">
        <v>2505</v>
      </c>
      <c r="B24" s="987" t="s">
        <v>2506</v>
      </c>
      <c r="C24" s="324">
        <f>ROUND(F24/(1+'数据-取费表'!C42),4)</f>
        <v>2.9000000000000001E-2</v>
      </c>
      <c r="D24" s="325" t="s">
        <v>15</v>
      </c>
      <c r="E24" s="325"/>
      <c r="F24" s="990">
        <f>'数据-取费表'!B48+'数据-取费表'!B49</f>
        <v>3.0499999999999999E-2</v>
      </c>
      <c r="G24" s="8" t="s">
        <v>2507</v>
      </c>
      <c r="H24" s="992"/>
      <c r="I24" s="992"/>
      <c r="J24" s="992"/>
      <c r="K24" s="993"/>
    </row>
    <row r="25" spans="1:33" s="977" customFormat="1" ht="13.5" customHeight="1">
      <c r="A25" s="963" t="s">
        <v>2508</v>
      </c>
      <c r="B25" s="989" t="s">
        <v>2509</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2512</v>
      </c>
      <c r="B28" s="2562" t="s">
        <v>2513</v>
      </c>
      <c r="C28" s="331">
        <f ca="1">C30</f>
        <v>0</v>
      </c>
      <c r="D28" s="324">
        <f ca="1">C29</f>
        <v>0</v>
      </c>
      <c r="E28" s="326" t="s">
        <v>15</v>
      </c>
      <c r="F28" s="332">
        <f ca="1">IF(C1="",'数据-取费表'!Q16,INDIRECT("'数据-取费表'!q"&amp;$K$1))</f>
        <v>0.3</v>
      </c>
      <c r="G28" s="991"/>
      <c r="H28" s="992"/>
      <c r="I28" s="992"/>
      <c r="J28" s="992"/>
      <c r="K28" s="993"/>
    </row>
    <row r="29" spans="1:33" s="335" customFormat="1" ht="13.5" customHeight="1">
      <c r="A29" s="973" t="s">
        <v>803</v>
      </c>
      <c r="B29" s="996" t="s">
        <v>2514</v>
      </c>
      <c r="C29" s="328">
        <f ca="1">ROUND((1+C24)*F28*'数据-取费表'!B24/'数据-取费表'!B20,4)</f>
        <v>0</v>
      </c>
      <c r="D29" s="328"/>
      <c r="E29" s="329"/>
      <c r="F29" s="334"/>
      <c r="G29" s="140" t="s">
        <v>2515</v>
      </c>
      <c r="H29" s="981"/>
      <c r="I29" s="981"/>
      <c r="J29" s="981"/>
      <c r="K29" s="982"/>
    </row>
    <row r="30" spans="1:33" s="335" customFormat="1" ht="13.5" customHeight="1">
      <c r="A30" s="973" t="s">
        <v>804</v>
      </c>
      <c r="B30" s="996" t="s">
        <v>2516</v>
      </c>
      <c r="C30" s="336">
        <f ca="1">ROUND((C21+C22+C23)*F28,0)</f>
        <v>0</v>
      </c>
      <c r="D30" s="328"/>
      <c r="E30" s="329"/>
      <c r="F30" s="334"/>
      <c r="G30" s="140"/>
      <c r="H30" s="981"/>
      <c r="I30" s="981"/>
      <c r="J30" s="981"/>
      <c r="K30" s="982"/>
    </row>
    <row r="31" spans="1:33" s="977" customFormat="1" ht="13.5" customHeight="1" thickBot="1">
      <c r="A31" s="2563" t="s">
        <v>2517</v>
      </c>
      <c r="B31" s="1007" t="s">
        <v>2518</v>
      </c>
      <c r="C31" s="1008">
        <f>ROUND(C4*F31/(1+'数据-取费表'!C42),0)</f>
        <v>0</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0</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7253.4400000000014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18" t="s">
        <v>2539</v>
      </c>
      <c r="D4" s="3219"/>
      <c r="E4" s="3220" t="s">
        <v>2540</v>
      </c>
      <c r="F4" s="3221"/>
      <c r="G4" s="3218" t="s">
        <v>2541</v>
      </c>
      <c r="H4" s="3219"/>
      <c r="I4" s="3218" t="s">
        <v>2542</v>
      </c>
      <c r="J4" s="3219"/>
      <c r="K4" s="2599" t="s">
        <v>2543</v>
      </c>
      <c r="L4" s="1132"/>
      <c r="M4" s="1133"/>
      <c r="N4" s="1133"/>
      <c r="O4" s="1133"/>
      <c r="P4" s="3222" t="s">
        <v>2544</v>
      </c>
      <c r="Q4" s="3223"/>
      <c r="R4" s="3205" t="s">
        <v>2540</v>
      </c>
      <c r="S4" s="3206"/>
      <c r="T4" s="3205" t="s">
        <v>2541</v>
      </c>
      <c r="U4" s="3206"/>
      <c r="V4" s="3230" t="s">
        <v>2542</v>
      </c>
      <c r="W4" s="3230"/>
      <c r="X4" s="1816"/>
      <c r="Y4" s="3205" t="s">
        <v>2544</v>
      </c>
      <c r="Z4" s="3206"/>
      <c r="AA4" s="3200" t="s">
        <v>2540</v>
      </c>
      <c r="AB4" s="3200" t="s">
        <v>2541</v>
      </c>
      <c r="AC4" s="3200" t="s">
        <v>2542</v>
      </c>
    </row>
    <row r="5" spans="1:29" ht="15">
      <c r="A5" s="404"/>
      <c r="B5" s="405"/>
      <c r="C5" s="3211" t="s">
        <v>2545</v>
      </c>
      <c r="D5" s="3212"/>
      <c r="E5" s="3209" t="s">
        <v>2546</v>
      </c>
      <c r="F5" s="3210"/>
      <c r="G5" s="3211" t="s">
        <v>2547</v>
      </c>
      <c r="H5" s="3212"/>
      <c r="I5" s="3211" t="s">
        <v>2548</v>
      </c>
      <c r="J5" s="3212"/>
      <c r="K5" s="2600"/>
      <c r="L5" s="1132"/>
      <c r="M5" s="1133"/>
      <c r="N5" s="1133"/>
      <c r="O5" s="1133"/>
      <c r="P5" s="3224"/>
      <c r="Q5" s="3225"/>
      <c r="R5" s="3207"/>
      <c r="S5" s="3208"/>
      <c r="T5" s="3207"/>
      <c r="U5" s="3208"/>
      <c r="V5" s="3230"/>
      <c r="W5" s="3230"/>
      <c r="X5" s="1816"/>
      <c r="Y5" s="3207"/>
      <c r="Z5" s="3208"/>
      <c r="AA5" s="3201"/>
      <c r="AB5" s="3201"/>
      <c r="AC5" s="3201"/>
    </row>
    <row r="6" spans="1:29" ht="15.75" thickBot="1">
      <c r="A6" s="406"/>
      <c r="B6" s="407"/>
      <c r="C6" s="3213" t="s">
        <v>2549</v>
      </c>
      <c r="D6" s="3214"/>
      <c r="E6" s="3215" t="s">
        <v>2549</v>
      </c>
      <c r="F6" s="3216"/>
      <c r="G6" s="3213" t="s">
        <v>2549</v>
      </c>
      <c r="H6" s="3214"/>
      <c r="I6" s="3213" t="s">
        <v>2549</v>
      </c>
      <c r="J6" s="3214"/>
      <c r="K6" s="2600" t="s">
        <v>2550</v>
      </c>
      <c r="L6" s="1132"/>
      <c r="M6" s="1133"/>
      <c r="N6" s="1133"/>
      <c r="O6" s="1133"/>
      <c r="P6" s="3226"/>
      <c r="Q6" s="3227"/>
      <c r="R6" s="3207"/>
      <c r="S6" s="3208"/>
      <c r="T6" s="3228"/>
      <c r="U6" s="3229"/>
      <c r="V6" s="3230"/>
      <c r="W6" s="3230"/>
      <c r="X6" s="1816"/>
      <c r="Y6" s="3228"/>
      <c r="Z6" s="3229"/>
      <c r="AA6" s="3202"/>
      <c r="AB6" s="3202"/>
      <c r="AC6" s="3202"/>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203" t="s">
        <v>2552</v>
      </c>
      <c r="Q7" s="3231"/>
      <c r="R7" s="770" t="s">
        <v>23</v>
      </c>
      <c r="S7" s="771">
        <f t="shared" ref="S7:S15" si="0">F7</f>
        <v>0</v>
      </c>
      <c r="T7" s="770" t="s">
        <v>23</v>
      </c>
      <c r="U7" s="771">
        <f t="shared" ref="U7:U15" si="1">H7</f>
        <v>0</v>
      </c>
      <c r="V7" s="770" t="s">
        <v>23</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2602" t="s">
        <v>3052</v>
      </c>
      <c r="F8" s="413">
        <f>SUMIF(61:61,E8,62:62)-SUMIF(61:61,C8,62:62)+100</f>
        <v>100</v>
      </c>
      <c r="G8" s="414" t="s">
        <v>3052</v>
      </c>
      <c r="H8" s="411">
        <f>SUMIF(61:61,G8,62:62)-SUMIF(61:61,C8,62:62)+100</f>
        <v>100</v>
      </c>
      <c r="I8" s="2602" t="s">
        <v>3052</v>
      </c>
      <c r="J8" s="411">
        <f>SUMIF(61:61,I8,62:62)-SUMIF(61:61,C8,62:62)+100</f>
        <v>100</v>
      </c>
      <c r="K8" s="2601"/>
      <c r="L8" s="1134"/>
      <c r="M8" s="1135"/>
      <c r="N8" s="1135"/>
      <c r="O8" s="1135"/>
      <c r="P8" s="3203" t="s">
        <v>2555</v>
      </c>
      <c r="Q8" s="3204"/>
      <c r="R8" s="770" t="s">
        <v>23</v>
      </c>
      <c r="S8" s="771">
        <f t="shared" si="0"/>
        <v>100</v>
      </c>
      <c r="T8" s="770" t="s">
        <v>23</v>
      </c>
      <c r="U8" s="771">
        <f t="shared" si="1"/>
        <v>100</v>
      </c>
      <c r="V8" s="770" t="s">
        <v>23</v>
      </c>
      <c r="W8" s="771">
        <f t="shared" si="2"/>
        <v>100</v>
      </c>
      <c r="X8" s="772"/>
      <c r="Y8" s="3203" t="s">
        <v>2555</v>
      </c>
      <c r="Z8" s="3204"/>
      <c r="AA8" s="773">
        <f t="shared" ref="AA8:AA19" si="3">D8/F8</f>
        <v>1</v>
      </c>
      <c r="AB8" s="773">
        <f t="shared" ref="AB8:AB19" si="4">D8/H8</f>
        <v>1</v>
      </c>
      <c r="AC8" s="773">
        <f t="shared" ref="AC8:AC19" si="5">D8/J8</f>
        <v>1</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17"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7"/>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17"/>
      <c r="Q11" s="1798" t="str">
        <f t="shared" si="6"/>
        <v>容积率</v>
      </c>
      <c r="R11" s="770" t="s">
        <v>21</v>
      </c>
      <c r="S11" s="771">
        <f t="shared" si="0"/>
        <v>100</v>
      </c>
      <c r="T11" s="770" t="s">
        <v>21</v>
      </c>
      <c r="U11" s="771">
        <f t="shared" si="1"/>
        <v>100</v>
      </c>
      <c r="V11" s="770" t="s">
        <v>21</v>
      </c>
      <c r="W11" s="771">
        <f t="shared" si="2"/>
        <v>100</v>
      </c>
      <c r="X11" s="772"/>
      <c r="Y11" s="3077"/>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17"/>
      <c r="Q12" s="1798">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17"/>
      <c r="Q13" s="1798">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17"/>
      <c r="Q14" s="1798">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4" t="s">
        <v>2563</v>
      </c>
      <c r="Q15" s="1813" t="str">
        <f t="shared" si="6"/>
        <v>居住社区成熟度</v>
      </c>
      <c r="R15" s="774" t="s">
        <v>21</v>
      </c>
      <c r="S15" s="775">
        <f t="shared" si="0"/>
        <v>100</v>
      </c>
      <c r="T15" s="774" t="s">
        <v>21</v>
      </c>
      <c r="U15" s="775">
        <f t="shared" si="1"/>
        <v>100</v>
      </c>
      <c r="V15" s="774" t="s">
        <v>21</v>
      </c>
      <c r="W15" s="775">
        <f t="shared" si="2"/>
        <v>100</v>
      </c>
      <c r="X15" s="1816"/>
      <c r="Y15" s="3237"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45"/>
      <c r="Q16" s="1813"/>
      <c r="R16" s="774"/>
      <c r="S16" s="775"/>
      <c r="T16" s="774"/>
      <c r="U16" s="775"/>
      <c r="V16" s="774"/>
      <c r="W16" s="775"/>
      <c r="X16" s="1816"/>
      <c r="Y16" s="3238"/>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5"/>
      <c r="Q17" s="1813" t="str">
        <f>B17</f>
        <v>交通便捷度</v>
      </c>
      <c r="R17" s="774" t="s">
        <v>21</v>
      </c>
      <c r="S17" s="775">
        <f>F17</f>
        <v>100</v>
      </c>
      <c r="T17" s="774" t="s">
        <v>21</v>
      </c>
      <c r="U17" s="775">
        <f>H17</f>
        <v>100</v>
      </c>
      <c r="V17" s="774" t="s">
        <v>21</v>
      </c>
      <c r="W17" s="775">
        <f>J17</f>
        <v>100</v>
      </c>
      <c r="X17" s="1816"/>
      <c r="Y17" s="323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45"/>
      <c r="Q18" s="1813"/>
      <c r="R18" s="774"/>
      <c r="S18" s="775"/>
      <c r="T18" s="774"/>
      <c r="U18" s="775"/>
      <c r="V18" s="774"/>
      <c r="W18" s="775"/>
      <c r="X18" s="1816"/>
      <c r="Y18" s="3238"/>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5"/>
      <c r="Q19" s="1813" t="str">
        <f>B19</f>
        <v>公共配套设施</v>
      </c>
      <c r="R19" s="774" t="s">
        <v>21</v>
      </c>
      <c r="S19" s="775">
        <f>F19</f>
        <v>100</v>
      </c>
      <c r="T19" s="774" t="s">
        <v>21</v>
      </c>
      <c r="U19" s="775">
        <f>H19</f>
        <v>100</v>
      </c>
      <c r="V19" s="774" t="s">
        <v>21</v>
      </c>
      <c r="W19" s="775">
        <f>J19</f>
        <v>100</v>
      </c>
      <c r="X19" s="1816"/>
      <c r="Y19" s="323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45"/>
      <c r="Q20" s="1813"/>
      <c r="R20" s="774"/>
      <c r="S20" s="775"/>
      <c r="T20" s="774"/>
      <c r="U20" s="775"/>
      <c r="V20" s="774"/>
      <c r="W20" s="775"/>
      <c r="X20" s="1816"/>
      <c r="Y20" s="3238"/>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5"/>
      <c r="Q21" s="1813" t="str">
        <f>B21</f>
        <v>基础设施水平</v>
      </c>
      <c r="R21" s="774" t="s">
        <v>17</v>
      </c>
      <c r="S21" s="775">
        <f>F21</f>
        <v>100</v>
      </c>
      <c r="T21" s="774" t="s">
        <v>17</v>
      </c>
      <c r="U21" s="775">
        <f>H21</f>
        <v>100</v>
      </c>
      <c r="V21" s="774" t="s">
        <v>17</v>
      </c>
      <c r="W21" s="775">
        <f>J21</f>
        <v>100</v>
      </c>
      <c r="X21" s="1816"/>
      <c r="Y21" s="3238"/>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45"/>
      <c r="Q22" s="1813"/>
      <c r="R22" s="774"/>
      <c r="S22" s="775"/>
      <c r="T22" s="774"/>
      <c r="U22" s="775"/>
      <c r="V22" s="774"/>
      <c r="W22" s="775"/>
      <c r="X22" s="1816"/>
      <c r="Y22" s="3238"/>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5"/>
      <c r="Q23" s="1813" t="str">
        <f>B23</f>
        <v>自然及人文环境</v>
      </c>
      <c r="R23" s="774" t="s">
        <v>21</v>
      </c>
      <c r="S23" s="775">
        <f>F23</f>
        <v>100</v>
      </c>
      <c r="T23" s="774" t="s">
        <v>21</v>
      </c>
      <c r="U23" s="775">
        <f>H23</f>
        <v>100</v>
      </c>
      <c r="V23" s="774" t="s">
        <v>21</v>
      </c>
      <c r="W23" s="775">
        <f>J23</f>
        <v>100</v>
      </c>
      <c r="X23" s="1816"/>
      <c r="Y23" s="323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45"/>
      <c r="Q24" s="1813"/>
      <c r="R24" s="774"/>
      <c r="S24" s="775"/>
      <c r="T24" s="774"/>
      <c r="U24" s="775"/>
      <c r="V24" s="774"/>
      <c r="W24" s="775"/>
      <c r="X24" s="1816"/>
      <c r="Y24" s="3238"/>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4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8"/>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45"/>
      <c r="Q26" s="1813" t="str">
        <f t="shared" si="11"/>
        <v>朝向</v>
      </c>
      <c r="R26" s="774" t="s">
        <v>21</v>
      </c>
      <c r="S26" s="775">
        <f t="shared" si="12"/>
        <v>100</v>
      </c>
      <c r="T26" s="774" t="s">
        <v>21</v>
      </c>
      <c r="U26" s="775">
        <f t="shared" si="13"/>
        <v>100</v>
      </c>
      <c r="V26" s="774" t="s">
        <v>21</v>
      </c>
      <c r="W26" s="775">
        <f t="shared" si="14"/>
        <v>100</v>
      </c>
      <c r="X26" s="1816"/>
      <c r="Y26" s="3238"/>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45"/>
      <c r="Q27" s="1798">
        <f t="shared" si="11"/>
        <v>111</v>
      </c>
      <c r="R27" s="770" t="s">
        <v>21</v>
      </c>
      <c r="S27" s="771">
        <f t="shared" si="12"/>
        <v>100</v>
      </c>
      <c r="T27" s="770" t="s">
        <v>21</v>
      </c>
      <c r="U27" s="771">
        <f t="shared" si="13"/>
        <v>100</v>
      </c>
      <c r="V27" s="770" t="s">
        <v>21</v>
      </c>
      <c r="W27" s="771">
        <f t="shared" si="14"/>
        <v>100</v>
      </c>
      <c r="X27" s="772"/>
      <c r="Y27" s="3238"/>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45"/>
      <c r="Q28" s="1813">
        <f t="shared" si="11"/>
        <v>111</v>
      </c>
      <c r="R28" s="774" t="s">
        <v>21</v>
      </c>
      <c r="S28" s="775">
        <f t="shared" si="12"/>
        <v>100</v>
      </c>
      <c r="T28" s="774" t="s">
        <v>21</v>
      </c>
      <c r="U28" s="775">
        <f t="shared" si="13"/>
        <v>100</v>
      </c>
      <c r="V28" s="774" t="s">
        <v>21</v>
      </c>
      <c r="W28" s="775">
        <f t="shared" si="14"/>
        <v>100</v>
      </c>
      <c r="X28" s="1816"/>
      <c r="Y28" s="3238"/>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45"/>
      <c r="Q29" s="1813">
        <f t="shared" si="11"/>
        <v>111</v>
      </c>
      <c r="R29" s="774" t="s">
        <v>21</v>
      </c>
      <c r="S29" s="775">
        <f t="shared" si="12"/>
        <v>100</v>
      </c>
      <c r="T29" s="774" t="s">
        <v>21</v>
      </c>
      <c r="U29" s="775">
        <f t="shared" si="13"/>
        <v>100</v>
      </c>
      <c r="V29" s="774" t="s">
        <v>21</v>
      </c>
      <c r="W29" s="775">
        <f t="shared" si="14"/>
        <v>100</v>
      </c>
      <c r="X29" s="1816"/>
      <c r="Y29" s="3238"/>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45"/>
      <c r="Q30" s="1813">
        <f t="shared" si="11"/>
        <v>111</v>
      </c>
      <c r="R30" s="774" t="s">
        <v>21</v>
      </c>
      <c r="S30" s="775">
        <f t="shared" si="12"/>
        <v>100</v>
      </c>
      <c r="T30" s="774" t="s">
        <v>21</v>
      </c>
      <c r="U30" s="775">
        <f t="shared" si="13"/>
        <v>100</v>
      </c>
      <c r="V30" s="774" t="s">
        <v>21</v>
      </c>
      <c r="W30" s="775">
        <f t="shared" si="14"/>
        <v>100</v>
      </c>
      <c r="X30" s="1816"/>
      <c r="Y30" s="3238"/>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45"/>
      <c r="Q31" s="1813">
        <f t="shared" si="11"/>
        <v>111</v>
      </c>
      <c r="R31" s="774" t="s">
        <v>21</v>
      </c>
      <c r="S31" s="775">
        <f t="shared" si="12"/>
        <v>100</v>
      </c>
      <c r="T31" s="774" t="s">
        <v>21</v>
      </c>
      <c r="U31" s="775">
        <f t="shared" si="13"/>
        <v>100</v>
      </c>
      <c r="V31" s="774" t="s">
        <v>21</v>
      </c>
      <c r="W31" s="775">
        <f t="shared" si="14"/>
        <v>100</v>
      </c>
      <c r="X31" s="1816"/>
      <c r="Y31" s="3238"/>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39" t="s">
        <v>2568</v>
      </c>
      <c r="Q32" s="1813" t="str">
        <f t="shared" si="11"/>
        <v>建筑类型</v>
      </c>
      <c r="R32" s="774" t="s">
        <v>21</v>
      </c>
      <c r="S32" s="775">
        <f t="shared" si="12"/>
        <v>100</v>
      </c>
      <c r="T32" s="774" t="s">
        <v>21</v>
      </c>
      <c r="U32" s="775">
        <f t="shared" si="13"/>
        <v>100</v>
      </c>
      <c r="V32" s="774" t="s">
        <v>21</v>
      </c>
      <c r="W32" s="775">
        <f t="shared" si="14"/>
        <v>100</v>
      </c>
      <c r="X32" s="1816"/>
      <c r="Y32" s="3242"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240"/>
      <c r="Q33" s="776" t="str">
        <f t="shared" si="11"/>
        <v>项目建筑规模</v>
      </c>
      <c r="R33" s="777" t="s">
        <v>21</v>
      </c>
      <c r="S33" s="778">
        <f t="shared" si="12"/>
        <v>100</v>
      </c>
      <c r="T33" s="777" t="s">
        <v>21</v>
      </c>
      <c r="U33" s="778">
        <f t="shared" si="13"/>
        <v>100</v>
      </c>
      <c r="V33" s="777" t="s">
        <v>21</v>
      </c>
      <c r="W33" s="778">
        <f t="shared" si="14"/>
        <v>100</v>
      </c>
      <c r="X33" s="779"/>
      <c r="Y33" s="3242"/>
      <c r="Z33" s="780" t="str">
        <f t="shared" si="18"/>
        <v>项目建筑规模</v>
      </c>
      <c r="AA33" s="1814">
        <f t="shared" si="15"/>
        <v>1</v>
      </c>
      <c r="AB33" s="1814">
        <f t="shared" si="16"/>
        <v>1</v>
      </c>
      <c r="AC33" s="1814">
        <f t="shared" si="17"/>
        <v>1</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40"/>
      <c r="Q34" s="1813" t="str">
        <f t="shared" si="11"/>
        <v>建筑结构</v>
      </c>
      <c r="R34" s="774" t="s">
        <v>21</v>
      </c>
      <c r="S34" s="775">
        <f t="shared" si="12"/>
        <v>100</v>
      </c>
      <c r="T34" s="774" t="s">
        <v>21</v>
      </c>
      <c r="U34" s="775">
        <f t="shared" si="13"/>
        <v>100</v>
      </c>
      <c r="V34" s="774" t="s">
        <v>21</v>
      </c>
      <c r="W34" s="775">
        <f t="shared" si="14"/>
        <v>100</v>
      </c>
      <c r="X34" s="1816"/>
      <c r="Y34" s="3242"/>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40"/>
      <c r="Q35" s="1813" t="str">
        <f t="shared" si="11"/>
        <v>建筑品质</v>
      </c>
      <c r="R35" s="774" t="s">
        <v>21</v>
      </c>
      <c r="S35" s="775">
        <f t="shared" si="12"/>
        <v>100</v>
      </c>
      <c r="T35" s="774" t="s">
        <v>21</v>
      </c>
      <c r="U35" s="775">
        <f t="shared" si="13"/>
        <v>100</v>
      </c>
      <c r="V35" s="774" t="s">
        <v>21</v>
      </c>
      <c r="W35" s="775">
        <f t="shared" si="14"/>
        <v>100</v>
      </c>
      <c r="X35" s="1816"/>
      <c r="Y35" s="3242"/>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40"/>
      <c r="Q36" s="1813" t="str">
        <f t="shared" si="11"/>
        <v>公共部分装修</v>
      </c>
      <c r="R36" s="774" t="s">
        <v>21</v>
      </c>
      <c r="S36" s="775">
        <f t="shared" si="12"/>
        <v>100</v>
      </c>
      <c r="T36" s="774" t="s">
        <v>21</v>
      </c>
      <c r="U36" s="775">
        <f t="shared" si="13"/>
        <v>100</v>
      </c>
      <c r="V36" s="774" t="s">
        <v>21</v>
      </c>
      <c r="W36" s="775">
        <f t="shared" si="14"/>
        <v>100</v>
      </c>
      <c r="X36" s="1816"/>
      <c r="Y36" s="3242"/>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0"/>
      <c r="Q37" s="1798"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40" t="s">
        <v>2568</v>
      </c>
      <c r="Q38" s="1813" t="str">
        <f t="shared" si="11"/>
        <v>物业管理</v>
      </c>
      <c r="R38" s="774" t="s">
        <v>21</v>
      </c>
      <c r="S38" s="775">
        <f t="shared" si="12"/>
        <v>100</v>
      </c>
      <c r="T38" s="774" t="s">
        <v>21</v>
      </c>
      <c r="U38" s="775">
        <f t="shared" si="13"/>
        <v>100</v>
      </c>
      <c r="V38" s="774" t="s">
        <v>21</v>
      </c>
      <c r="W38" s="775">
        <f t="shared" si="14"/>
        <v>100</v>
      </c>
      <c r="X38" s="1816"/>
      <c r="Y38" s="3242"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40"/>
      <c r="Q39" s="1813" t="str">
        <f t="shared" si="11"/>
        <v>市政基础设施</v>
      </c>
      <c r="R39" s="774" t="s">
        <v>21</v>
      </c>
      <c r="S39" s="775">
        <f t="shared" si="12"/>
        <v>100</v>
      </c>
      <c r="T39" s="774" t="s">
        <v>21</v>
      </c>
      <c r="U39" s="775">
        <f t="shared" si="13"/>
        <v>100</v>
      </c>
      <c r="V39" s="774" t="s">
        <v>21</v>
      </c>
      <c r="W39" s="775">
        <f t="shared" si="14"/>
        <v>100</v>
      </c>
      <c r="X39" s="1816"/>
      <c r="Y39" s="3242"/>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40"/>
      <c r="Q40" s="1813" t="str">
        <f t="shared" si="11"/>
        <v>房型</v>
      </c>
      <c r="R40" s="774" t="s">
        <v>21</v>
      </c>
      <c r="S40" s="775">
        <f t="shared" si="12"/>
        <v>100</v>
      </c>
      <c r="T40" s="774" t="s">
        <v>21</v>
      </c>
      <c r="U40" s="775">
        <f t="shared" si="13"/>
        <v>100</v>
      </c>
      <c r="V40" s="774" t="s">
        <v>21</v>
      </c>
      <c r="W40" s="775">
        <f t="shared" si="14"/>
        <v>100</v>
      </c>
      <c r="X40" s="1816"/>
      <c r="Y40" s="3242"/>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40"/>
      <c r="Q42" s="1813" t="str">
        <f t="shared" si="11"/>
        <v>内部装修</v>
      </c>
      <c r="R42" s="774" t="s">
        <v>21</v>
      </c>
      <c r="S42" s="775">
        <f t="shared" si="12"/>
        <v>100</v>
      </c>
      <c r="T42" s="774" t="s">
        <v>21</v>
      </c>
      <c r="U42" s="775">
        <f t="shared" si="13"/>
        <v>100</v>
      </c>
      <c r="V42" s="774" t="s">
        <v>21</v>
      </c>
      <c r="W42" s="775">
        <f t="shared" si="14"/>
        <v>100</v>
      </c>
      <c r="X42" s="1816"/>
      <c r="Y42" s="3242"/>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40"/>
      <c r="Q43" s="1813" t="str">
        <f t="shared" si="11"/>
        <v>内部装修维护情况</v>
      </c>
      <c r="R43" s="774" t="s">
        <v>21</v>
      </c>
      <c r="S43" s="775">
        <f t="shared" si="12"/>
        <v>100</v>
      </c>
      <c r="T43" s="774" t="s">
        <v>21</v>
      </c>
      <c r="U43" s="775">
        <f t="shared" si="13"/>
        <v>100</v>
      </c>
      <c r="V43" s="774" t="s">
        <v>21</v>
      </c>
      <c r="W43" s="775">
        <f t="shared" si="14"/>
        <v>100</v>
      </c>
      <c r="X43" s="1816"/>
      <c r="Y43" s="3242"/>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40"/>
      <c r="Q44" s="1798">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40"/>
      <c r="Q45" s="1813">
        <f t="shared" si="11"/>
        <v>111</v>
      </c>
      <c r="R45" s="774" t="s">
        <v>21</v>
      </c>
      <c r="S45" s="775">
        <f t="shared" si="12"/>
        <v>100</v>
      </c>
      <c r="T45" s="774" t="s">
        <v>21</v>
      </c>
      <c r="U45" s="775">
        <f t="shared" si="13"/>
        <v>100</v>
      </c>
      <c r="V45" s="774" t="s">
        <v>21</v>
      </c>
      <c r="W45" s="775">
        <f t="shared" si="14"/>
        <v>100</v>
      </c>
      <c r="X45" s="1816"/>
      <c r="Y45" s="324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41"/>
      <c r="Q46" s="1813">
        <f t="shared" si="11"/>
        <v>111</v>
      </c>
      <c r="R46" s="774" t="s">
        <v>20</v>
      </c>
      <c r="S46" s="775">
        <f t="shared" si="12"/>
        <v>100</v>
      </c>
      <c r="T46" s="774" t="s">
        <v>20</v>
      </c>
      <c r="U46" s="775">
        <f t="shared" si="13"/>
        <v>100</v>
      </c>
      <c r="V46" s="774" t="s">
        <v>20</v>
      </c>
      <c r="W46" s="775">
        <f t="shared" si="14"/>
        <v>100</v>
      </c>
      <c r="X46" s="1816"/>
      <c r="Y46" s="3243"/>
      <c r="Z46" s="1817">
        <f t="shared" si="18"/>
        <v>111</v>
      </c>
      <c r="AA46" s="1814">
        <f t="shared" si="15"/>
        <v>1</v>
      </c>
      <c r="AB46" s="1814">
        <f t="shared" si="16"/>
        <v>1</v>
      </c>
      <c r="AC46" s="1814">
        <f t="shared" si="17"/>
        <v>1</v>
      </c>
    </row>
    <row r="47" spans="1:29" ht="15">
      <c r="A47" s="479" t="s">
        <v>2580</v>
      </c>
      <c r="B47" s="480"/>
      <c r="C47" s="1409" t="s">
        <v>19</v>
      </c>
      <c r="D47" s="1410"/>
      <c r="E47" s="1411"/>
      <c r="F47" s="1412"/>
      <c r="G47" s="1413"/>
      <c r="H47" s="1414"/>
      <c r="I47" s="1411"/>
      <c r="J47" s="1414"/>
      <c r="K47" s="2624"/>
      <c r="L47" s="1145"/>
      <c r="M47" s="1146"/>
      <c r="N47" s="1133"/>
      <c r="O47" s="1146"/>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3203</v>
      </c>
      <c r="D1" s="1823" t="s">
        <v>70</v>
      </c>
      <c r="E1" s="1824" t="s">
        <v>1388</v>
      </c>
      <c r="F1" s="1285">
        <f ca="1">J53</f>
        <v>26.48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735</v>
      </c>
      <c r="C2" s="1848" t="s">
        <v>1518</v>
      </c>
      <c r="D2" s="1848"/>
      <c r="E2" s="1849"/>
      <c r="F2" s="1850"/>
      <c r="G2" s="1851"/>
      <c r="H2" s="1843"/>
      <c r="I2" s="1843"/>
      <c r="J2" s="1843"/>
      <c r="K2" s="1844"/>
      <c r="L2" s="1843"/>
      <c r="M2" s="1843"/>
    </row>
    <row r="3" spans="1:37" ht="18" customHeight="1" thickBot="1">
      <c r="A3" s="1852" t="s">
        <v>1519</v>
      </c>
      <c r="B3" s="1853">
        <f ca="1">IF(ISERROR(B2*10000/F43),0,ROUND(B2*10000/F43,0))</f>
        <v>39710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67</v>
      </c>
      <c r="D5" s="1825" t="s">
        <v>1403</v>
      </c>
      <c r="E5" s="1295"/>
      <c r="F5" s="1296"/>
      <c r="G5" s="1854"/>
      <c r="H5" s="344">
        <v>1</v>
      </c>
      <c r="I5" s="345" t="s">
        <v>1402</v>
      </c>
      <c r="J5" s="1294">
        <f ca="1">J6+J10+J12</f>
        <v>47</v>
      </c>
      <c r="K5" s="1825" t="s">
        <v>1403</v>
      </c>
      <c r="L5" s="1295"/>
      <c r="M5" s="1296"/>
    </row>
    <row r="6" spans="1:37" ht="18" customHeight="1">
      <c r="A6" s="1293" t="s">
        <v>1035</v>
      </c>
      <c r="B6" s="3246" t="s">
        <v>1404</v>
      </c>
      <c r="C6" s="1298">
        <f ca="1">ROUND(F6*F8*F7*(1-F9)/10000,0)</f>
        <v>67</v>
      </c>
      <c r="D6" s="164" t="s">
        <v>3037</v>
      </c>
      <c r="E6" s="347" t="s">
        <v>1406</v>
      </c>
      <c r="F6" s="348">
        <f ca="1">INDIRECT("'数据-取费表'!u"&amp;$G$1)</f>
        <v>9.9</v>
      </c>
      <c r="G6" s="1854"/>
      <c r="H6" s="1293" t="s">
        <v>1035</v>
      </c>
      <c r="I6" s="3246" t="s">
        <v>1404</v>
      </c>
      <c r="J6" s="346">
        <f ca="1">ROUND(M6*M8*M7*(1-M9)/10000,0)</f>
        <v>47</v>
      </c>
      <c r="K6" s="164" t="s">
        <v>3036</v>
      </c>
      <c r="L6" s="347" t="s">
        <v>1406</v>
      </c>
      <c r="M6" s="348">
        <f ca="1">INDIRECT("'数据-取费表'!z"&amp;$G$1)</f>
        <v>7.8</v>
      </c>
    </row>
    <row r="7" spans="1:37" ht="18" customHeight="1">
      <c r="A7" s="1297"/>
      <c r="B7" s="3247"/>
      <c r="C7" s="1299"/>
      <c r="D7" s="352"/>
      <c r="E7" s="2959" t="s">
        <v>1407</v>
      </c>
      <c r="F7" s="348">
        <f ca="1">IF(INDIRECT("'数据-取费表'!ah"&amp;$G$1)="",INDIRECT("'数据-取费表'!k"&amp;$G$1),INDIRECT("'数据-取费表'!ah"&amp;$G$1))</f>
        <v>185.09</v>
      </c>
      <c r="G7" s="1854"/>
      <c r="H7" s="349"/>
      <c r="I7" s="3247"/>
      <c r="J7" s="351"/>
      <c r="K7" s="352"/>
      <c r="L7" s="347" t="s">
        <v>1407</v>
      </c>
      <c r="M7" s="348">
        <f ca="1">F7</f>
        <v>185.09</v>
      </c>
    </row>
    <row r="8" spans="1:37" ht="18" customHeight="1">
      <c r="A8" s="349"/>
      <c r="B8" s="3247"/>
      <c r="C8" s="351"/>
      <c r="D8" s="352"/>
      <c r="E8" s="347" t="s">
        <v>1408</v>
      </c>
      <c r="F8" s="348">
        <f ca="1">INDIRECT("'数据-取费表'!ai"&amp;$G$1)</f>
        <v>365</v>
      </c>
      <c r="G8" s="1854"/>
      <c r="H8" s="349"/>
      <c r="I8" s="3247"/>
      <c r="J8" s="351"/>
      <c r="K8" s="352"/>
      <c r="L8" s="347" t="s">
        <v>1408</v>
      </c>
      <c r="M8" s="348">
        <f ca="1">INDIRECT("'数据-取费表'!ai"&amp;$G$1)</f>
        <v>365</v>
      </c>
    </row>
    <row r="9" spans="1:37" ht="18" customHeight="1">
      <c r="A9" s="349"/>
      <c r="B9" s="3248"/>
      <c r="C9" s="351"/>
      <c r="D9" s="352"/>
      <c r="E9" s="347" t="s">
        <v>1409</v>
      </c>
      <c r="F9" s="357">
        <f ca="1">INDIRECT("'数据-取费表'!w"&amp;$G$1)</f>
        <v>0</v>
      </c>
      <c r="G9" s="1854"/>
      <c r="H9" s="349"/>
      <c r="I9" s="3248"/>
      <c r="J9" s="351"/>
      <c r="K9" s="352"/>
      <c r="L9" s="358" t="s">
        <v>1409</v>
      </c>
      <c r="M9" s="359">
        <f ca="1">INDIRECT("'数据-取费表'!ab"&amp;$G$1)</f>
        <v>0.1</v>
      </c>
    </row>
    <row r="10" spans="1:37" ht="18" customHeight="1">
      <c r="A10" s="1293" t="s">
        <v>1039</v>
      </c>
      <c r="B10" s="1826" t="s">
        <v>1410</v>
      </c>
      <c r="C10" s="361">
        <f ca="1">ROUND(IF(F10="押一",F6*F8*F7/12*F11,IF(F10="押二",F6*F8*F7/12*2*F11,IF(F10="押三",F6*F8*F7/12*3*F11,C11*F11)))/10000,0)</f>
        <v>0</v>
      </c>
      <c r="D10" s="1827" t="s">
        <v>3033</v>
      </c>
      <c r="E10" s="358" t="s">
        <v>1412</v>
      </c>
      <c r="F10" s="1368" t="s">
        <v>3053</v>
      </c>
      <c r="G10" s="1854"/>
      <c r="H10" s="1293" t="s">
        <v>1039</v>
      </c>
      <c r="I10" s="1826" t="s">
        <v>1410</v>
      </c>
      <c r="J10" s="346">
        <f ca="1">ROUND(IF(M10="押一",M6*M8*M7/12*M11,IF(M10="押二",M6*M8*M7/12*2*M11,IF(M10="押三",M6*M8*M7/12*3*M11,J11*M11)))/10000,0)</f>
        <v>0</v>
      </c>
      <c r="K10" s="1827" t="s">
        <v>3033</v>
      </c>
      <c r="L10" s="358" t="s">
        <v>1412</v>
      </c>
      <c r="M10" s="1368" t="s">
        <v>3053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117</v>
      </c>
      <c r="D13" s="1333" t="s">
        <v>1417</v>
      </c>
      <c r="E13" s="1333" t="s">
        <v>1418</v>
      </c>
      <c r="F13" s="1334">
        <f ca="1">INDIRECT("'数据-取费表'!y"&amp;$G$1)</f>
        <v>0.83</v>
      </c>
      <c r="G13" s="1854"/>
      <c r="H13" s="1331">
        <v>2</v>
      </c>
      <c r="I13" s="1332" t="s">
        <v>1416</v>
      </c>
      <c r="J13" s="1292">
        <f ca="1">ROUND(J14*J15,0)</f>
        <v>113</v>
      </c>
      <c r="K13" s="1339" t="s">
        <v>1417</v>
      </c>
      <c r="L13" s="1855"/>
      <c r="M13" s="1856"/>
    </row>
    <row r="14" spans="1:37" ht="18" customHeight="1">
      <c r="A14" s="1203" t="s">
        <v>1034</v>
      </c>
      <c r="B14" s="347" t="s">
        <v>1419</v>
      </c>
      <c r="C14" s="363">
        <f ca="1">INDIRECT("'数据-取费表'!m"&amp;$G$1)+INDIRECT("'数据-取费表'!t"&amp;$G$1)</f>
        <v>83</v>
      </c>
      <c r="D14" s="2953" t="s">
        <v>1420</v>
      </c>
      <c r="E14" s="2951"/>
      <c r="F14" s="364"/>
      <c r="G14" s="1854"/>
      <c r="H14" s="1203" t="s">
        <v>1035</v>
      </c>
      <c r="I14" s="347" t="s">
        <v>1421</v>
      </c>
      <c r="J14" s="24">
        <f ca="1">C29</f>
        <v>141</v>
      </c>
      <c r="K14" s="2958"/>
      <c r="L14" s="981"/>
      <c r="M14" s="982"/>
    </row>
    <row r="15" spans="1:37" s="1861" customFormat="1" ht="18" customHeight="1" thickBot="1">
      <c r="A15" s="1203" t="s">
        <v>1036</v>
      </c>
      <c r="B15" s="347" t="s">
        <v>1422</v>
      </c>
      <c r="C15" s="24">
        <f ca="1">ROUND(C14*F15,0)</f>
        <v>4</v>
      </c>
      <c r="D15" s="365" t="s">
        <v>1423</v>
      </c>
      <c r="E15" s="365" t="s">
        <v>1424</v>
      </c>
      <c r="F15" s="366">
        <f>'数据-取费表'!B33</f>
        <v>0.05</v>
      </c>
      <c r="G15" s="1857"/>
      <c r="H15" s="1341" t="s">
        <v>1039</v>
      </c>
      <c r="I15" s="1342" t="s">
        <v>1418</v>
      </c>
      <c r="J15" s="1351">
        <f ca="1">INDIRECT("'数据-取费表'!ad"&amp;$G$1)</f>
        <v>0.8</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7</v>
      </c>
      <c r="K16" s="1339" t="s">
        <v>1427</v>
      </c>
      <c r="L16" s="2954"/>
      <c r="M16" s="1296"/>
    </row>
    <row r="17" spans="1:37" s="1861" customFormat="1" ht="18" customHeight="1">
      <c r="A17" s="1203" t="s">
        <v>1391</v>
      </c>
      <c r="B17" s="347" t="s">
        <v>1428</v>
      </c>
      <c r="C17" s="24">
        <f ca="1">ROUND(F17*(F43+INDIRECT("'数据-取费表'!S"&amp;$G$1))/10000,0)</f>
        <v>4</v>
      </c>
      <c r="D17" s="347" t="s">
        <v>1429</v>
      </c>
      <c r="E17" s="347" t="s">
        <v>1430</v>
      </c>
      <c r="F17" s="26">
        <f>'数据-取费表'!B35</f>
        <v>200</v>
      </c>
      <c r="G17" s="1857"/>
      <c r="H17" s="1203" t="s">
        <v>1035</v>
      </c>
      <c r="I17" s="347" t="s">
        <v>1431</v>
      </c>
      <c r="J17" s="24">
        <f ca="1">ROUND(IF(项目基本情况!B11="自然人",J5*M17,J18+J19+J20),1)</f>
        <v>3.8</v>
      </c>
      <c r="K17" s="2953" t="s">
        <v>1432</v>
      </c>
      <c r="L17" s="295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1</v>
      </c>
      <c r="D18" s="347" t="s">
        <v>1423</v>
      </c>
      <c r="E18" s="347" t="s">
        <v>1424</v>
      </c>
      <c r="F18" s="367">
        <f>'数据-取费表'!B36</f>
        <v>1.4999999999999999E-2</v>
      </c>
      <c r="G18" s="1857"/>
      <c r="H18" s="1203" t="s">
        <v>1034</v>
      </c>
      <c r="I18" s="347" t="s">
        <v>1435</v>
      </c>
      <c r="J18" s="24">
        <f ca="1">ROUND(J5*M18/(1+'数据-取费表'!C42),2)</f>
        <v>2.5099999999999998</v>
      </c>
      <c r="K18" s="295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92</v>
      </c>
      <c r="D19" s="140" t="s">
        <v>1438</v>
      </c>
      <c r="E19" s="2957"/>
      <c r="F19" s="26"/>
      <c r="G19" s="1854"/>
      <c r="H19" s="1203" t="s">
        <v>1036</v>
      </c>
      <c r="I19" s="347" t="s">
        <v>1439</v>
      </c>
      <c r="J19" s="24">
        <f ca="1">IF(K19="按租金收入计税",ROUND(J5*M19,2),ROUND(C29*M19*0.7,2))</f>
        <v>1.18</v>
      </c>
      <c r="K19" s="1831" t="s">
        <v>1440</v>
      </c>
      <c r="L19" s="347" t="s">
        <v>1424</v>
      </c>
      <c r="M19" s="367">
        <f>IF(K19="按租金收入计税",'数据-取费表'!B51,'数据-取费表'!B50)</f>
        <v>1.2E-2</v>
      </c>
    </row>
    <row r="20" spans="1:37" s="1861" customFormat="1" ht="18" customHeight="1">
      <c r="A20" s="1203" t="s">
        <v>1039</v>
      </c>
      <c r="B20" s="347" t="s">
        <v>1441</v>
      </c>
      <c r="C20" s="24">
        <f ca="1">ROUND(C19*F20,0)</f>
        <v>3</v>
      </c>
      <c r="D20" s="369" t="s">
        <v>1442</v>
      </c>
      <c r="E20" s="347" t="s">
        <v>1424</v>
      </c>
      <c r="F20" s="367">
        <f>'数据-取费表'!B37</f>
        <v>0.03</v>
      </c>
      <c r="G20" s="1857"/>
      <c r="H20" s="1203" t="s">
        <v>1390</v>
      </c>
      <c r="I20" s="164" t="s">
        <v>1443</v>
      </c>
      <c r="J20" s="25">
        <f ca="1">ROUND(M20*M21/10000,2)</f>
        <v>0.09</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52.16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57"/>
      <c r="F22" s="26"/>
      <c r="G22" s="1854"/>
      <c r="H22" s="1203" t="s">
        <v>1039</v>
      </c>
      <c r="I22" s="347" t="s">
        <v>1451</v>
      </c>
      <c r="J22" s="24">
        <f ca="1">ROUND(J14*M22,1)</f>
        <v>2.1</v>
      </c>
      <c r="K22" s="295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0.2</v>
      </c>
      <c r="K23" s="295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1393</v>
      </c>
      <c r="I24" s="1342" t="s">
        <v>1441</v>
      </c>
      <c r="J24" s="1343">
        <f ca="1">ROUND(J5*M24,1)</f>
        <v>0.7</v>
      </c>
      <c r="K24" s="1344" t="s">
        <v>1461</v>
      </c>
      <c r="L24" s="1342" t="s">
        <v>1424</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57"/>
      <c r="F25" s="26"/>
      <c r="G25" s="1854"/>
      <c r="H25" s="1331" t="s">
        <v>1031</v>
      </c>
      <c r="I25" s="1346" t="s">
        <v>1465</v>
      </c>
      <c r="J25" s="355">
        <f ca="1">J5-J16</f>
        <v>40</v>
      </c>
      <c r="K25" s="1347" t="s">
        <v>1466</v>
      </c>
      <c r="L25" s="1348"/>
      <c r="M25" s="1349"/>
    </row>
    <row r="26" spans="1:37">
      <c r="A26" s="1203" t="s">
        <v>1034</v>
      </c>
      <c r="B26" s="347" t="s">
        <v>1467</v>
      </c>
      <c r="C26" s="24">
        <f ca="1">ROUND((C19+C20)*F26,0)</f>
        <v>29</v>
      </c>
      <c r="D26" s="369" t="s">
        <v>1468</v>
      </c>
      <c r="E26" s="358" t="s">
        <v>1469</v>
      </c>
      <c r="F26" s="357">
        <f ca="1">INDIRECT("'数据-取费表'!q"&amp;$G$1)</f>
        <v>0.3</v>
      </c>
      <c r="G26" s="1854"/>
      <c r="H26" s="344" t="s">
        <v>1032</v>
      </c>
      <c r="I26" s="345" t="s">
        <v>1470</v>
      </c>
      <c r="J26" s="346">
        <f ca="1">IF(J5&lt;&gt;0,ROUND(J25*(1-((1+M28)/(1+M26))^M27)/(M26-M28),0),0)</f>
        <v>691</v>
      </c>
      <c r="K26" s="370" t="s">
        <v>1471</v>
      </c>
      <c r="L26" s="347" t="s">
        <v>1472</v>
      </c>
      <c r="M26" s="357">
        <f ca="1">INDIRECT("'数据-取费表'!I"&amp;$G$1)</f>
        <v>0.06</v>
      </c>
    </row>
    <row r="27" spans="1:37" ht="18" customHeight="1">
      <c r="A27" s="1203" t="s">
        <v>1036</v>
      </c>
      <c r="B27" s="347" t="s">
        <v>1473</v>
      </c>
      <c r="C27" s="24">
        <f ca="1">ROUND(F21*F26,4)</f>
        <v>8.9999999999999993E-3</v>
      </c>
      <c r="D27" s="369" t="s">
        <v>1474</v>
      </c>
      <c r="E27" s="365"/>
      <c r="F27" s="366"/>
      <c r="G27" s="1854"/>
      <c r="H27" s="349"/>
      <c r="I27" s="350"/>
      <c r="J27" s="351"/>
      <c r="K27" s="378" t="s">
        <v>1475</v>
      </c>
      <c r="L27" s="347" t="s">
        <v>1476</v>
      </c>
      <c r="M27" s="379">
        <f ca="1">INDIRECT("'数据-取费表'!ag"&amp;$G$1)</f>
        <v>23.7</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3.5000000000000003E-2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141</v>
      </c>
      <c r="D29" s="1344"/>
      <c r="E29" s="1342"/>
      <c r="F29" s="1345"/>
      <c r="G29" s="1857"/>
      <c r="H29" s="380" t="s">
        <v>1033</v>
      </c>
      <c r="I29" s="381" t="s">
        <v>1481</v>
      </c>
      <c r="J29" s="382">
        <f ca="1">ROUND(J26/(1+F40)^F41,0)</f>
        <v>588</v>
      </c>
      <c r="K29" s="383" t="s">
        <v>1482</v>
      </c>
      <c r="L29" s="384"/>
      <c r="M29" s="385">
        <f ca="1">INDIRECT("'数据-取费表'!k"&amp;$G$1)</f>
        <v>185.09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8</v>
      </c>
      <c r="D30" s="1339" t="s">
        <v>1427</v>
      </c>
      <c r="E30" s="2954"/>
      <c r="F30" s="1296"/>
      <c r="G30" s="1854"/>
      <c r="H30" s="745"/>
      <c r="I30" s="746"/>
      <c r="J30" s="747"/>
      <c r="K30" s="748"/>
      <c r="L30" s="749"/>
      <c r="M30" s="750"/>
    </row>
    <row r="31" spans="1:37" ht="18" customHeight="1">
      <c r="A31" s="1203" t="s">
        <v>1035</v>
      </c>
      <c r="B31" s="347" t="s">
        <v>1431</v>
      </c>
      <c r="C31" s="24">
        <f ca="1">ROUND(IF(项目基本情况!B11="自然人",C5*F31,C32+C33+C34),1)</f>
        <v>4.8</v>
      </c>
      <c r="D31" s="2953" t="s">
        <v>1432</v>
      </c>
      <c r="E31" s="295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3.57</v>
      </c>
      <c r="D32" s="295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1.18</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0.09</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52.16</v>
      </c>
      <c r="G35" s="1854"/>
      <c r="H35" s="745"/>
      <c r="I35" s="1863"/>
      <c r="J35" s="1864"/>
      <c r="K35" s="1865"/>
      <c r="L35" s="1862"/>
      <c r="M35" s="1862"/>
    </row>
    <row r="36" spans="1:18" ht="18" customHeight="1">
      <c r="A36" s="1354" t="s">
        <v>1039</v>
      </c>
      <c r="B36" s="347" t="s">
        <v>1451</v>
      </c>
      <c r="C36" s="24">
        <f ca="1">ROUND(C29*F36,1)</f>
        <v>2.1</v>
      </c>
      <c r="D36" s="2952"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0.2</v>
      </c>
      <c r="D37" s="2952" t="s">
        <v>1456</v>
      </c>
      <c r="E37" s="347" t="s">
        <v>1424</v>
      </c>
      <c r="F37" s="376">
        <f ca="1">INDIRECT("'数据-取费表'!Al"&amp;$G$1)</f>
        <v>1.5E-3</v>
      </c>
      <c r="G37" s="1854"/>
      <c r="H37" s="1862"/>
      <c r="I37" s="1863"/>
      <c r="J37" s="1864"/>
      <c r="K37" s="751"/>
      <c r="L37" s="1862"/>
      <c r="M37" s="1862"/>
    </row>
    <row r="38" spans="1:18" ht="18" customHeight="1" thickBot="1">
      <c r="A38" s="1341" t="s">
        <v>1393</v>
      </c>
      <c r="B38" s="1342" t="s">
        <v>1441</v>
      </c>
      <c r="C38" s="1343">
        <f ca="1">ROUND(C5*F38,1)</f>
        <v>1</v>
      </c>
      <c r="D38" s="1344" t="s">
        <v>1461</v>
      </c>
      <c r="E38" s="1342" t="s">
        <v>1424</v>
      </c>
      <c r="F38" s="1338">
        <f ca="1">INDIRECT("'数据-取费表'!Am"&amp;$G$1)</f>
        <v>1.4999999999999999E-2</v>
      </c>
      <c r="G38" s="1854"/>
      <c r="H38" s="1862"/>
      <c r="I38" s="1863"/>
      <c r="J38" s="1864"/>
      <c r="K38" s="1868"/>
      <c r="L38" s="1862"/>
      <c r="M38" s="1862"/>
    </row>
    <row r="39" spans="1:18" ht="24.6" customHeight="1" thickTop="1">
      <c r="A39" s="1331" t="s">
        <v>1031</v>
      </c>
      <c r="B39" s="1346" t="s">
        <v>1465</v>
      </c>
      <c r="C39" s="355">
        <f ca="1">C5-C30</f>
        <v>59</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147</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2.78</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f ca="1">ROUND(C40*10000/F43,0)</f>
        <v>7942</v>
      </c>
      <c r="D43" s="383" t="s">
        <v>1490</v>
      </c>
      <c r="E43" s="384" t="s">
        <v>1491</v>
      </c>
      <c r="F43" s="385">
        <f ca="1">INDIRECT("'数据-取费表'!k"&amp;$G$1)</f>
        <v>185.09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-157</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3204</v>
      </c>
      <c r="K47" s="1885" t="s">
        <v>1529</v>
      </c>
      <c r="L47" s="1886">
        <f ca="1">INDIRECT("'数据-取费表'!d"&amp;$G$1)</f>
        <v>40</v>
      </c>
      <c r="M47" s="1841" t="str">
        <f>IF(ISNUMBER(FIND("住宅",C1)),"住宅","非住宅")</f>
        <v>非住宅</v>
      </c>
      <c r="O47" s="1887" t="s">
        <v>1040</v>
      </c>
      <c r="P47" s="1888" t="s">
        <v>1530</v>
      </c>
      <c r="Q47" s="1889">
        <f ca="1">C40+J29</f>
        <v>735</v>
      </c>
      <c r="R47" s="1889" t="s">
        <v>1531</v>
      </c>
    </row>
    <row r="48" spans="1:18" s="1845" customFormat="1" ht="28.5" thickBot="1">
      <c r="A48" s="1362" t="s">
        <v>1135</v>
      </c>
      <c r="B48" s="345" t="s">
        <v>1402</v>
      </c>
      <c r="C48" s="2956">
        <f ca="1">C49+C53+C55</f>
        <v>0</v>
      </c>
      <c r="D48" s="1364"/>
      <c r="E48" s="1365"/>
      <c r="F48" s="1183"/>
      <c r="G48" s="792"/>
      <c r="H48" s="793"/>
      <c r="I48" s="1890" t="s">
        <v>1532</v>
      </c>
      <c r="J48" s="1891" t="s">
        <v>3205</v>
      </c>
      <c r="K48" s="1892" t="s">
        <v>1533</v>
      </c>
      <c r="L48" s="1893">
        <f ca="1">INDIRECT("'数据-取费表'!f"&amp;$G$1)</f>
        <v>26.48</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v>2008</v>
      </c>
      <c r="K49" s="1892" t="s">
        <v>1537</v>
      </c>
      <c r="L49" s="1896"/>
      <c r="O49" s="1897" t="s">
        <v>1042</v>
      </c>
      <c r="P49" s="1888" t="s">
        <v>1538</v>
      </c>
      <c r="Q49" s="1889">
        <f ca="1">C29</f>
        <v>141</v>
      </c>
      <c r="R49" s="1889" t="s">
        <v>1531</v>
      </c>
    </row>
    <row r="50" spans="1:18" s="1845" customFormat="1" ht="13.5" thickBot="1">
      <c r="A50" s="1197"/>
      <c r="B50" s="1200"/>
      <c r="C50" s="1370"/>
      <c r="D50" s="1174"/>
      <c r="E50" s="1279" t="s">
        <v>1407</v>
      </c>
      <c r="F50" s="1280">
        <f ca="1">F7</f>
        <v>185.09</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50</v>
      </c>
      <c r="K51" s="1903" t="s">
        <v>1543</v>
      </c>
      <c r="L51" s="1904">
        <f ca="1">ROUND(-PV(INDIRECT("'数据-取费表'!h"&amp;$G$1),L48,(C39-C13*C76),0),0)</f>
        <v>676</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f ca="1">J53</f>
        <v>26.48</v>
      </c>
      <c r="R52" s="1889" t="s">
        <v>1548</v>
      </c>
    </row>
    <row r="53" spans="1:18" s="1845" customFormat="1" ht="24.75" thickBot="1">
      <c r="A53" s="1407" t="s">
        <v>1137</v>
      </c>
      <c r="B53" s="1834" t="s">
        <v>1410</v>
      </c>
      <c r="C53" s="361">
        <f ca="1">ROUND(IF(F53="押一",F49*F51*F50/12*F11,IF(F53="押二",F49*F51*F50/12*2*F11,IF(F53="押三",F49*F51*F50/12*3*F11,C54*F11)))/10000,0)</f>
        <v>0</v>
      </c>
      <c r="D53" s="1827" t="s">
        <v>3033</v>
      </c>
      <c r="E53" s="358" t="s">
        <v>1412</v>
      </c>
      <c r="F53" s="1368"/>
      <c r="I53" s="1908" t="s">
        <v>1549</v>
      </c>
      <c r="J53" s="1909">
        <f ca="1">IF(M47="住宅",J51,IF(D1="——",MIN(J51,L48),IF(D1="在建（套用方法）",MIN(J51,L48-'数据-取费表'!B24),IF(D1="土地（套用方法）",MIN(J51,L48-'数据-取费表'!B20)))))</f>
        <v>26.48</v>
      </c>
      <c r="K53" s="3249" t="s">
        <v>1550</v>
      </c>
      <c r="L53" s="3250"/>
      <c r="O53" s="1887" t="s">
        <v>1046</v>
      </c>
      <c r="P53" s="1888" t="s">
        <v>1551</v>
      </c>
      <c r="Q53" s="1889">
        <f ca="1">Q47+Q48</f>
        <v>735</v>
      </c>
      <c r="R53" s="1889" t="s">
        <v>1047</v>
      </c>
    </row>
    <row r="54" spans="1:18" s="1845" customFormat="1" ht="13.5" thickBot="1">
      <c r="A54" s="1408"/>
      <c r="B54" s="1828" t="s">
        <v>1389</v>
      </c>
      <c r="C54" s="1180"/>
      <c r="D54" s="1827"/>
      <c r="E54" s="295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5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117</v>
      </c>
      <c r="D56" s="1917"/>
      <c r="E56" s="1918"/>
      <c r="F56" s="1910"/>
      <c r="I56" s="1919" t="s">
        <v>1556</v>
      </c>
      <c r="J56" s="1920" t="s">
        <v>3045</v>
      </c>
      <c r="K56" s="1890" t="s">
        <v>1557</v>
      </c>
      <c r="L56" s="1893" t="str">
        <f ca="1">IF(L48&lt;J51,"——",L48-J53)</f>
        <v>——</v>
      </c>
      <c r="O56" s="1887" t="s">
        <v>1040</v>
      </c>
      <c r="P56" s="1888" t="s">
        <v>1530</v>
      </c>
      <c r="Q56" s="1889">
        <f ca="1">C40+J29</f>
        <v>735</v>
      </c>
      <c r="R56" s="1889" t="s">
        <v>1531</v>
      </c>
    </row>
    <row r="57" spans="1:18" s="1845" customFormat="1" ht="24.75" thickBot="1">
      <c r="A57" s="1921"/>
      <c r="B57" s="1171" t="s">
        <v>1480</v>
      </c>
      <c r="C57" s="282">
        <f ca="1">C29</f>
        <v>141</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4</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1.3</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1.18</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0.09</v>
      </c>
      <c r="D62" s="1186" t="s">
        <v>1444</v>
      </c>
      <c r="E62" s="1171" t="s">
        <v>1445</v>
      </c>
      <c r="F62" s="371">
        <f t="shared" si="0"/>
        <v>18</v>
      </c>
      <c r="I62" s="1932" t="s">
        <v>1572</v>
      </c>
      <c r="J62" s="1933" t="s">
        <v>1573</v>
      </c>
      <c r="K62" s="1933" t="s">
        <v>1574</v>
      </c>
      <c r="L62" s="1933" t="s">
        <v>1575</v>
      </c>
      <c r="M62" s="1934" t="s">
        <v>1576</v>
      </c>
      <c r="O62" s="1887" t="s">
        <v>1046</v>
      </c>
      <c r="P62" s="1888" t="s">
        <v>1551</v>
      </c>
      <c r="Q62" s="1889">
        <f ca="1">Q56+Q57</f>
        <v>735</v>
      </c>
      <c r="R62" s="1889" t="s">
        <v>1047</v>
      </c>
    </row>
    <row r="63" spans="1:18" s="1845" customFormat="1" ht="13.5" thickBot="1">
      <c r="A63" s="372"/>
      <c r="B63" s="1177"/>
      <c r="C63" s="29"/>
      <c r="D63" s="1187"/>
      <c r="E63" s="1171" t="s">
        <v>1449</v>
      </c>
      <c r="F63" s="348">
        <f t="shared" ca="1" si="0"/>
        <v>52.16</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2.1</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0.2</v>
      </c>
      <c r="D65" s="1185" t="s">
        <v>1456</v>
      </c>
      <c r="E65" s="1171" t="s">
        <v>1424</v>
      </c>
      <c r="F65" s="376">
        <f t="shared" ca="1" si="0"/>
        <v>1.5E-3</v>
      </c>
      <c r="I65" s="1932" t="s">
        <v>1581</v>
      </c>
      <c r="J65" s="1933">
        <v>40</v>
      </c>
      <c r="K65" s="1933">
        <v>30</v>
      </c>
      <c r="L65" s="1933">
        <v>50</v>
      </c>
      <c r="M65" s="1935">
        <v>0.02</v>
      </c>
      <c r="O65" s="1887" t="s">
        <v>1040</v>
      </c>
      <c r="P65" s="1888" t="s">
        <v>1530</v>
      </c>
      <c r="Q65" s="1889">
        <f ca="1">C40+J29</f>
        <v>735</v>
      </c>
      <c r="R65" s="1889" t="s">
        <v>1531</v>
      </c>
    </row>
    <row r="66" spans="1:18" s="1845" customFormat="1" ht="16.5" thickBot="1">
      <c r="A66" s="1203" t="s">
        <v>1506</v>
      </c>
      <c r="B66" s="1171" t="s">
        <v>1441</v>
      </c>
      <c r="C66" s="24">
        <f ca="1">ROUND(C48*F66,1)</f>
        <v>0</v>
      </c>
      <c r="D66" s="1185" t="s">
        <v>1461</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-4</v>
      </c>
      <c r="D67" s="1184" t="s">
        <v>1466</v>
      </c>
      <c r="E67" s="1189"/>
      <c r="F67" s="1190"/>
      <c r="O67" s="1897" t="s">
        <v>1042</v>
      </c>
      <c r="P67" s="1888" t="s">
        <v>1564</v>
      </c>
      <c r="Q67" s="1936">
        <f ca="1">L51</f>
        <v>676</v>
      </c>
      <c r="R67" s="1889" t="s">
        <v>1584</v>
      </c>
    </row>
    <row r="68" spans="1:18" s="1845" customFormat="1" ht="16.5" thickBot="1">
      <c r="A68" s="1168" t="s">
        <v>1032</v>
      </c>
      <c r="B68" s="1169" t="s">
        <v>1487</v>
      </c>
      <c r="C68" s="346">
        <f ca="1">ROUND(C67*(1-((1+F70)/(1+F68))^F69)/(F68-F70),0)</f>
        <v>-10</v>
      </c>
      <c r="D68" s="1186" t="s">
        <v>1471</v>
      </c>
      <c r="E68" s="1171" t="s">
        <v>1472</v>
      </c>
      <c r="F68" s="357">
        <f ca="1">F40</f>
        <v>0.06</v>
      </c>
      <c r="O68" s="1897" t="s">
        <v>1043</v>
      </c>
      <c r="P68" s="1937" t="s">
        <v>1585</v>
      </c>
      <c r="Q68" s="1889">
        <f ca="1">ROUND(Q69-Q70*Q71,0)</f>
        <v>49</v>
      </c>
      <c r="R68" s="1889" t="s">
        <v>1051</v>
      </c>
    </row>
    <row r="69" spans="1:18" s="1845" customFormat="1" ht="13.5" thickBot="1">
      <c r="A69" s="1172"/>
      <c r="B69" s="1173"/>
      <c r="C69" s="351"/>
      <c r="D69" s="1191" t="s">
        <v>1475</v>
      </c>
      <c r="E69" s="1171" t="s">
        <v>1476</v>
      </c>
      <c r="F69" s="379">
        <f ca="1">F41</f>
        <v>2.78</v>
      </c>
      <c r="O69" s="1897" t="s">
        <v>1048</v>
      </c>
      <c r="P69" s="1937" t="s">
        <v>1586</v>
      </c>
      <c r="Q69" s="1889">
        <f ca="1">C39</f>
        <v>59</v>
      </c>
      <c r="R69" s="1889" t="s">
        <v>1531</v>
      </c>
    </row>
    <row r="70" spans="1:18" s="1845" customFormat="1" ht="13.5" thickBot="1">
      <c r="A70" s="1175"/>
      <c r="B70" s="1176"/>
      <c r="C70" s="355"/>
      <c r="D70" s="1187"/>
      <c r="E70" s="1171" t="s">
        <v>1479</v>
      </c>
      <c r="F70" s="1277"/>
      <c r="O70" s="1897" t="s">
        <v>1049</v>
      </c>
      <c r="P70" s="1937" t="s">
        <v>1587</v>
      </c>
      <c r="Q70" s="1889">
        <f ca="1">C13</f>
        <v>117</v>
      </c>
      <c r="R70" s="1889" t="s">
        <v>1531</v>
      </c>
    </row>
    <row r="71" spans="1:18" s="1845" customFormat="1" ht="13.5" thickBot="1">
      <c r="A71" s="1192" t="s">
        <v>1033</v>
      </c>
      <c r="B71" s="1193" t="s">
        <v>1489</v>
      </c>
      <c r="C71" s="382">
        <f ca="1">ROUND(C68*10000/F71,0)</f>
        <v>-540</v>
      </c>
      <c r="D71" s="1194" t="s">
        <v>1490</v>
      </c>
      <c r="E71" s="1195" t="s">
        <v>1491</v>
      </c>
      <c r="F71" s="385">
        <f ca="1">F43</f>
        <v>185.09</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10</v>
      </c>
      <c r="D75" s="1845"/>
      <c r="E75" s="1845"/>
      <c r="F75" s="1845"/>
      <c r="K75" s="1871"/>
      <c r="L75" s="1845"/>
      <c r="O75" s="1887" t="s">
        <v>1046</v>
      </c>
      <c r="P75" s="1888" t="s">
        <v>1551</v>
      </c>
      <c r="Q75" s="1889">
        <f ca="1">Q65+Q66</f>
        <v>735</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0.83099999999999996</v>
      </c>
    </row>
    <row r="80" spans="1:18">
      <c r="B80" s="386" t="s">
        <v>1513</v>
      </c>
      <c r="C80" s="318">
        <f ca="1">ROUND(C75/C39,3)</f>
        <v>0.16900000000000001</v>
      </c>
    </row>
    <row r="81" spans="2:3">
      <c r="B81" s="314" t="s">
        <v>1514</v>
      </c>
      <c r="C81" s="282"/>
    </row>
    <row r="82" spans="2:3">
      <c r="B82" s="317" t="s">
        <v>1515</v>
      </c>
      <c r="C82" s="319">
        <f ca="1">1-C83</f>
        <v>0.20399999999999996</v>
      </c>
    </row>
    <row r="83" spans="2:3">
      <c r="B83" s="317" t="s">
        <v>1516</v>
      </c>
      <c r="C83" s="318">
        <f ca="1">ROUND(C13/C40,3)</f>
        <v>0.79600000000000004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3198</v>
      </c>
      <c r="D1" s="1823" t="s">
        <v>70</v>
      </c>
      <c r="E1" s="1824" t="s">
        <v>1388</v>
      </c>
      <c r="F1" s="1285">
        <f ca="1">J53</f>
        <v>26.48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26254</v>
      </c>
      <c r="C2" s="1848" t="s">
        <v>1518</v>
      </c>
      <c r="D2" s="1848"/>
      <c r="E2" s="1849"/>
      <c r="F2" s="1850"/>
      <c r="G2" s="1851"/>
      <c r="H2" s="1843"/>
      <c r="I2" s="1843"/>
      <c r="J2" s="1843"/>
      <c r="K2" s="1844"/>
      <c r="L2" s="1843"/>
      <c r="M2" s="1843"/>
    </row>
    <row r="3" spans="1:37" ht="18" customHeight="1" thickBot="1">
      <c r="A3" s="1852" t="s">
        <v>1519</v>
      </c>
      <c r="B3" s="1853">
        <f ca="1">IF(ISERROR(B2*10000/F43),0,ROUND(B2*10000/F43,0))</f>
        <v>37143</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1651</v>
      </c>
      <c r="D5" s="1825" t="s">
        <v>1403</v>
      </c>
      <c r="E5" s="1295"/>
      <c r="F5" s="1296"/>
      <c r="G5" s="1854"/>
      <c r="H5" s="344">
        <v>1</v>
      </c>
      <c r="I5" s="345" t="s">
        <v>1402</v>
      </c>
      <c r="J5" s="1294">
        <f ca="1">J6+J10+J12</f>
        <v>0</v>
      </c>
      <c r="K5" s="1825" t="s">
        <v>1403</v>
      </c>
      <c r="L5" s="1295"/>
      <c r="M5" s="1296"/>
    </row>
    <row r="6" spans="1:37" ht="18" customHeight="1">
      <c r="A6" s="1293" t="s">
        <v>1035</v>
      </c>
      <c r="B6" s="3246" t="s">
        <v>1404</v>
      </c>
      <c r="C6" s="1298">
        <f ca="1">ROUND(F6*F8*F7*(1-F9)/10000,0)</f>
        <v>1649</v>
      </c>
      <c r="D6" s="164" t="s">
        <v>3037</v>
      </c>
      <c r="E6" s="347" t="s">
        <v>1406</v>
      </c>
      <c r="F6" s="348">
        <f ca="1">INDIRECT("'数据-取费表'!u"&amp;$G$1)</f>
        <v>7.1</v>
      </c>
      <c r="G6" s="1854"/>
      <c r="H6" s="1293" t="s">
        <v>1035</v>
      </c>
      <c r="I6" s="3246" t="s">
        <v>1404</v>
      </c>
      <c r="J6" s="346">
        <f ca="1">ROUND(M6*M8*M7*(1-M9)/10000,0)</f>
        <v>0</v>
      </c>
      <c r="K6" s="164" t="s">
        <v>3036</v>
      </c>
      <c r="L6" s="347" t="s">
        <v>1406</v>
      </c>
      <c r="M6" s="348">
        <f ca="1">INDIRECT("'数据-取费表'!z"&amp;$G$1)</f>
        <v>0</v>
      </c>
    </row>
    <row r="7" spans="1:37" ht="18" customHeight="1">
      <c r="A7" s="1297"/>
      <c r="B7" s="3247"/>
      <c r="C7" s="1299"/>
      <c r="D7" s="352"/>
      <c r="E7" s="1300" t="s">
        <v>1407</v>
      </c>
      <c r="F7" s="348">
        <f ca="1">IF(INDIRECT("'数据-取费表'!ah"&amp;$G$1)="",INDIRECT("'数据-取费表'!k"&amp;$G$1),INDIRECT("'数据-取费表'!ah"&amp;$G$1))</f>
        <v>7068.3500000000013</v>
      </c>
      <c r="G7" s="1854"/>
      <c r="H7" s="349"/>
      <c r="I7" s="3247"/>
      <c r="J7" s="351"/>
      <c r="K7" s="352"/>
      <c r="L7" s="347" t="s">
        <v>1407</v>
      </c>
      <c r="M7" s="348">
        <f ca="1">F7</f>
        <v>7068.3500000000013</v>
      </c>
    </row>
    <row r="8" spans="1:37" ht="18" customHeight="1">
      <c r="A8" s="349"/>
      <c r="B8" s="3247"/>
      <c r="C8" s="351"/>
      <c r="D8" s="352"/>
      <c r="E8" s="347" t="s">
        <v>1408</v>
      </c>
      <c r="F8" s="348">
        <f ca="1">INDIRECT("'数据-取费表'!ai"&amp;$G$1)</f>
        <v>365</v>
      </c>
      <c r="G8" s="1854"/>
      <c r="H8" s="349"/>
      <c r="I8" s="3247"/>
      <c r="J8" s="351"/>
      <c r="K8" s="352"/>
      <c r="L8" s="347" t="s">
        <v>1408</v>
      </c>
      <c r="M8" s="348">
        <f ca="1">INDIRECT("'数据-取费表'!ai"&amp;$G$1)</f>
        <v>365</v>
      </c>
    </row>
    <row r="9" spans="1:37" ht="18" customHeight="1">
      <c r="A9" s="349"/>
      <c r="B9" s="3248"/>
      <c r="C9" s="351"/>
      <c r="D9" s="352"/>
      <c r="E9" s="347" t="s">
        <v>1409</v>
      </c>
      <c r="F9" s="357">
        <f ca="1">INDIRECT("'数据-取费表'!w"&amp;$G$1)</f>
        <v>0.1</v>
      </c>
      <c r="G9" s="1854"/>
      <c r="H9" s="349"/>
      <c r="I9" s="324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2</v>
      </c>
      <c r="D10" s="1827" t="s">
        <v>3038</v>
      </c>
      <c r="E10" s="358" t="s">
        <v>1412</v>
      </c>
      <c r="F10" s="1368" t="s">
        <v>3053</v>
      </c>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4486</v>
      </c>
      <c r="D13" s="1333" t="s">
        <v>1417</v>
      </c>
      <c r="E13" s="1333" t="s">
        <v>1418</v>
      </c>
      <c r="F13" s="1334">
        <f ca="1">INDIRECT("'数据-取费表'!y"&amp;$G$1)</f>
        <v>0.83</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3181</v>
      </c>
      <c r="D14" s="1803" t="s">
        <v>1420</v>
      </c>
      <c r="E14" s="1797"/>
      <c r="F14" s="364"/>
      <c r="G14" s="1854"/>
      <c r="H14" s="1203" t="s">
        <v>1035</v>
      </c>
      <c r="I14" s="347" t="s">
        <v>1421</v>
      </c>
      <c r="J14" s="24">
        <f ca="1">C29</f>
        <v>5405</v>
      </c>
      <c r="K14" s="15"/>
      <c r="L14" s="981"/>
      <c r="M14" s="982"/>
    </row>
    <row r="15" spans="1:37" s="1861" customFormat="1" ht="18" customHeight="1" thickBot="1">
      <c r="A15" s="1203" t="s">
        <v>1036</v>
      </c>
      <c r="B15" s="347" t="s">
        <v>1422</v>
      </c>
      <c r="C15" s="24">
        <f ca="1">ROUND(C14*F15,0)</f>
        <v>159</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130</v>
      </c>
      <c r="K16" s="1339" t="s">
        <v>1427</v>
      </c>
      <c r="L16" s="1340"/>
      <c r="M16" s="1296"/>
    </row>
    <row r="17" spans="1:37" s="1861" customFormat="1" ht="18" customHeight="1">
      <c r="A17" s="1203" t="s">
        <v>1391</v>
      </c>
      <c r="B17" s="347" t="s">
        <v>1428</v>
      </c>
      <c r="C17" s="24">
        <f ca="1">ROUND(F17*(F43+INDIRECT("'数据-取费表'!S"&amp;$G$1))/10000,0)</f>
        <v>141</v>
      </c>
      <c r="D17" s="347" t="s">
        <v>1429</v>
      </c>
      <c r="E17" s="347" t="s">
        <v>1430</v>
      </c>
      <c r="F17" s="26">
        <f>'数据-取费表'!B35</f>
        <v>200</v>
      </c>
      <c r="G17" s="1857"/>
      <c r="H17" s="1203" t="s">
        <v>1035</v>
      </c>
      <c r="I17" s="347" t="s">
        <v>1431</v>
      </c>
      <c r="J17" s="24">
        <f ca="1">ROUND(IF(项目基本情况!B11="自然人",J5*M17,J18+J19+J20),1)</f>
        <v>49</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48</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3529</v>
      </c>
      <c r="D19" s="140" t="s">
        <v>1438</v>
      </c>
      <c r="E19" s="1821"/>
      <c r="F19" s="26"/>
      <c r="G19" s="1854"/>
      <c r="H19" s="1203" t="s">
        <v>1036</v>
      </c>
      <c r="I19" s="347" t="s">
        <v>1439</v>
      </c>
      <c r="J19" s="24">
        <f ca="1">IF(K19="按租金收入计税",ROUND(J5*M19,2),ROUND(C29*M19*0.7,2))</f>
        <v>45.4</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106</v>
      </c>
      <c r="D20" s="369" t="s">
        <v>1442</v>
      </c>
      <c r="E20" s="347" t="s">
        <v>1424</v>
      </c>
      <c r="F20" s="367">
        <f>'数据-取费表'!B37</f>
        <v>0.03</v>
      </c>
      <c r="G20" s="1857"/>
      <c r="H20" s="1203" t="s">
        <v>1390</v>
      </c>
      <c r="I20" s="164" t="s">
        <v>1443</v>
      </c>
      <c r="J20" s="25">
        <f ca="1">ROUND(M20*M21/10000,2)</f>
        <v>3.59</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1991.93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81.099999999999994</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173</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-130</v>
      </c>
      <c r="K25" s="1347" t="s">
        <v>1466</v>
      </c>
      <c r="L25" s="1348"/>
      <c r="M25" s="1349"/>
    </row>
    <row r="26" spans="1:37">
      <c r="A26" s="1203" t="s">
        <v>1034</v>
      </c>
      <c r="B26" s="347" t="s">
        <v>1467</v>
      </c>
      <c r="C26" s="24">
        <f ca="1">ROUND((C19+C20)*F26,0)</f>
        <v>1091</v>
      </c>
      <c r="D26" s="369" t="s">
        <v>1468</v>
      </c>
      <c r="E26" s="358" t="s">
        <v>1469</v>
      </c>
      <c r="F26" s="357">
        <f ca="1">INDIRECT("'数据-取费表'!q"&amp;$G$1)</f>
        <v>0.3</v>
      </c>
      <c r="G26" s="1854"/>
      <c r="H26" s="344" t="s">
        <v>1032</v>
      </c>
      <c r="I26" s="345" t="s">
        <v>1470</v>
      </c>
      <c r="J26" s="346">
        <f ca="1">IF(J5&lt;&gt;0,ROUND(J25*(1-((1+M28)/(1+M26))^M27)/(M26-M28),0),0)</f>
        <v>0</v>
      </c>
      <c r="K26" s="370" t="s">
        <v>1471</v>
      </c>
      <c r="L26" s="347" t="s">
        <v>1472</v>
      </c>
      <c r="M26" s="357">
        <f ca="1">INDIRECT("'数据-取费表'!I"&amp;$G$1)</f>
        <v>0.06</v>
      </c>
    </row>
    <row r="27" spans="1:37" ht="18" customHeight="1">
      <c r="A27" s="1203" t="s">
        <v>1036</v>
      </c>
      <c r="B27" s="347" t="s">
        <v>1473</v>
      </c>
      <c r="C27" s="24">
        <f ca="1">ROUND(F21*F26,4)</f>
        <v>8.9999999999999993E-3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5405</v>
      </c>
      <c r="D29" s="1344"/>
      <c r="E29" s="1342"/>
      <c r="F29" s="1345"/>
      <c r="G29" s="1857"/>
      <c r="H29" s="380" t="s">
        <v>1033</v>
      </c>
      <c r="I29" s="381" t="s">
        <v>1481</v>
      </c>
      <c r="J29" s="382">
        <f ca="1">ROUND(J26/(1+F40)^F41,0)</f>
        <v>0</v>
      </c>
      <c r="K29" s="383" t="s">
        <v>1482</v>
      </c>
      <c r="L29" s="384"/>
      <c r="M29" s="385">
        <f ca="1">INDIRECT("'数据-取费表'!k"&amp;$G$1)</f>
        <v>7068.3500000000013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250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137</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88.05</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45.4</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3.59</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1991.93</v>
      </c>
      <c r="G35" s="1854"/>
      <c r="H35" s="745"/>
      <c r="I35" s="1863"/>
      <c r="J35" s="1864"/>
      <c r="K35" s="1865"/>
      <c r="L35" s="1862"/>
      <c r="M35" s="1862"/>
    </row>
    <row r="36" spans="1:18" ht="18" customHeight="1">
      <c r="A36" s="1354" t="s">
        <v>1039</v>
      </c>
      <c r="B36" s="347" t="s">
        <v>1451</v>
      </c>
      <c r="C36" s="24">
        <f ca="1">ROUND(C29*F36,1)</f>
        <v>81.099999999999994</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6.7</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24.8</v>
      </c>
      <c r="D38" s="1344" t="s">
        <v>1461</v>
      </c>
      <c r="E38" s="1342" t="s">
        <v>1457</v>
      </c>
      <c r="F38" s="1338">
        <f ca="1">INDIRECT("'数据-取费表'!Am"&amp;$G$1)</f>
        <v>1.4999999999999999E-2</v>
      </c>
      <c r="G38" s="1854"/>
      <c r="H38" s="1862"/>
      <c r="I38" s="1863"/>
      <c r="J38" s="1864"/>
      <c r="K38" s="1868"/>
      <c r="L38" s="1862"/>
      <c r="M38" s="1862"/>
    </row>
    <row r="39" spans="1:18" ht="24.6" customHeight="1" thickTop="1">
      <c r="A39" s="1331" t="s">
        <v>1031</v>
      </c>
      <c r="B39" s="1346" t="s">
        <v>1485</v>
      </c>
      <c r="C39" s="355">
        <f ca="1">C5-C30</f>
        <v>1401</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26254</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26.48</v>
      </c>
      <c r="G41" s="1854"/>
      <c r="H41" s="732"/>
      <c r="I41" s="1863"/>
      <c r="J41" s="1864"/>
      <c r="K41" s="751"/>
      <c r="L41" s="732"/>
      <c r="M41" s="732"/>
    </row>
    <row r="42" spans="1:18" ht="18" customHeight="1">
      <c r="A42" s="353"/>
      <c r="B42" s="354"/>
      <c r="C42" s="355"/>
      <c r="D42" s="373"/>
      <c r="E42" s="347" t="s">
        <v>1479</v>
      </c>
      <c r="F42" s="357">
        <f ca="1">INDIRECT("'数据-取费表'!v"&amp;$G$1)</f>
        <v>3.5000000000000003E-2</v>
      </c>
      <c r="G42" s="1854"/>
      <c r="H42" s="732"/>
      <c r="I42" s="1863"/>
      <c r="J42" s="1864"/>
      <c r="K42" s="751"/>
      <c r="L42" s="732"/>
      <c r="M42" s="732"/>
    </row>
    <row r="43" spans="1:18" ht="18" customHeight="1" thickBot="1">
      <c r="A43" s="380" t="s">
        <v>1033</v>
      </c>
      <c r="B43" s="381" t="s">
        <v>1489</v>
      </c>
      <c r="C43" s="382">
        <f ca="1">ROUND(C40*10000/F43,0)</f>
        <v>37143</v>
      </c>
      <c r="D43" s="383" t="s">
        <v>1490</v>
      </c>
      <c r="E43" s="384" t="s">
        <v>1491</v>
      </c>
      <c r="F43" s="385">
        <f ca="1">INDIRECT("'数据-取费表'!k"&amp;$G$1)</f>
        <v>7068.3500000000013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-28049</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3204</v>
      </c>
      <c r="K47" s="1885" t="s">
        <v>1529</v>
      </c>
      <c r="L47" s="1886">
        <f ca="1">INDIRECT("'数据-取费表'!d"&amp;$G$1)</f>
        <v>40</v>
      </c>
      <c r="M47" s="1841" t="str">
        <f>IF(ISNUMBER(FIND("住宅",C1)),"住宅","非住宅")</f>
        <v>非住宅</v>
      </c>
      <c r="O47" s="1887" t="s">
        <v>1040</v>
      </c>
      <c r="P47" s="1888" t="s">
        <v>1530</v>
      </c>
      <c r="Q47" s="1889">
        <f ca="1">C40+J29</f>
        <v>26254</v>
      </c>
      <c r="R47" s="1889" t="s">
        <v>1531</v>
      </c>
    </row>
    <row r="48" spans="1:18" s="1845" customFormat="1" ht="28.5" thickBot="1">
      <c r="A48" s="1362" t="s">
        <v>1135</v>
      </c>
      <c r="B48" s="345" t="s">
        <v>1402</v>
      </c>
      <c r="C48" s="1820">
        <f ca="1">C49+C53+C55</f>
        <v>0</v>
      </c>
      <c r="D48" s="1364"/>
      <c r="E48" s="1365"/>
      <c r="F48" s="1183"/>
      <c r="G48" s="792"/>
      <c r="H48" s="793"/>
      <c r="I48" s="1890" t="s">
        <v>1532</v>
      </c>
      <c r="J48" s="1891" t="s">
        <v>3205</v>
      </c>
      <c r="K48" s="1892" t="s">
        <v>1533</v>
      </c>
      <c r="L48" s="1893">
        <f ca="1">INDIRECT("'数据-取费表'!f"&amp;$G$1)</f>
        <v>26.48</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v>2008</v>
      </c>
      <c r="K49" s="1892" t="s">
        <v>1537</v>
      </c>
      <c r="L49" s="1896"/>
      <c r="O49" s="1897" t="s">
        <v>1042</v>
      </c>
      <c r="P49" s="1888" t="s">
        <v>1538</v>
      </c>
      <c r="Q49" s="1889">
        <f ca="1">C29</f>
        <v>5405</v>
      </c>
      <c r="R49" s="1889" t="s">
        <v>1531</v>
      </c>
    </row>
    <row r="50" spans="1:18" s="1845" customFormat="1" ht="13.5" thickBot="1">
      <c r="A50" s="1197"/>
      <c r="B50" s="1200"/>
      <c r="C50" s="1370"/>
      <c r="D50" s="1174"/>
      <c r="E50" s="1279" t="s">
        <v>1407</v>
      </c>
      <c r="F50" s="1280">
        <f ca="1">F7</f>
        <v>7068.3500000000013</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50</v>
      </c>
      <c r="K51" s="1903" t="s">
        <v>1543</v>
      </c>
      <c r="L51" s="1904">
        <f ca="1">ROUND(-PV(INDIRECT("'数据-取费表'!h"&amp;$G$1),L48,(C39-C13*C76),0),0)</f>
        <v>14048</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f ca="1">J53</f>
        <v>26.48</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f ca="1">IF(M47="住宅",J51,IF(D1="——",MIN(J51,L48),IF(D1="在建（套用方法）",MIN(J51,L48-'数据-取费表'!B24),IF(D1="土地（套用方法）",MIN(J51,L48-'数据-取费表'!B20)))))</f>
        <v>26.48</v>
      </c>
      <c r="K53" s="3249" t="s">
        <v>1550</v>
      </c>
      <c r="L53" s="3250"/>
      <c r="O53" s="1887" t="s">
        <v>1046</v>
      </c>
      <c r="P53" s="1888" t="s">
        <v>1551</v>
      </c>
      <c r="Q53" s="1889">
        <f ca="1">Q47+Q48</f>
        <v>26254</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4486</v>
      </c>
      <c r="D56" s="1917"/>
      <c r="E56" s="1918"/>
      <c r="F56" s="1910"/>
      <c r="I56" s="1919" t="s">
        <v>1556</v>
      </c>
      <c r="J56" s="1920" t="s">
        <v>3045</v>
      </c>
      <c r="K56" s="1890" t="s">
        <v>1557</v>
      </c>
      <c r="L56" s="1893" t="str">
        <f ca="1">IF(L48&lt;J51,"——",L48-J53)</f>
        <v>——</v>
      </c>
      <c r="O56" s="1887" t="s">
        <v>1040</v>
      </c>
      <c r="P56" s="1888" t="s">
        <v>1530</v>
      </c>
      <c r="Q56" s="1889">
        <f ca="1">C40+J29</f>
        <v>26254</v>
      </c>
      <c r="R56" s="1889" t="s">
        <v>1531</v>
      </c>
    </row>
    <row r="57" spans="1:18" s="1845" customFormat="1" ht="24.75" thickBot="1">
      <c r="A57" s="1921"/>
      <c r="B57" s="1171" t="s">
        <v>1480</v>
      </c>
      <c r="C57" s="282">
        <f ca="1">C29</f>
        <v>5405</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137</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49</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45.4</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3.59</v>
      </c>
      <c r="D62" s="1186" t="s">
        <v>1499</v>
      </c>
      <c r="E62" s="1171" t="s">
        <v>1500</v>
      </c>
      <c r="F62" s="371">
        <f t="shared" si="0"/>
        <v>18</v>
      </c>
      <c r="I62" s="1932" t="s">
        <v>1572</v>
      </c>
      <c r="J62" s="1933" t="s">
        <v>1573</v>
      </c>
      <c r="K62" s="1933" t="s">
        <v>1574</v>
      </c>
      <c r="L62" s="1933" t="s">
        <v>1575</v>
      </c>
      <c r="M62" s="1934" t="s">
        <v>1576</v>
      </c>
      <c r="O62" s="1887" t="s">
        <v>1046</v>
      </c>
      <c r="P62" s="1888" t="s">
        <v>1577</v>
      </c>
      <c r="Q62" s="1889">
        <f ca="1">Q56+Q57</f>
        <v>26254</v>
      </c>
      <c r="R62" s="1889" t="s">
        <v>1047</v>
      </c>
    </row>
    <row r="63" spans="1:18" s="1845" customFormat="1" ht="13.5" thickBot="1">
      <c r="A63" s="372"/>
      <c r="B63" s="1177"/>
      <c r="C63" s="29"/>
      <c r="D63" s="1187"/>
      <c r="E63" s="1171" t="s">
        <v>1501</v>
      </c>
      <c r="F63" s="348">
        <f t="shared" ca="1" si="0"/>
        <v>1991.93</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81.099999999999994</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6.7</v>
      </c>
      <c r="D65" s="1185" t="s">
        <v>1456</v>
      </c>
      <c r="E65" s="1171" t="s">
        <v>1457</v>
      </c>
      <c r="F65" s="376">
        <f t="shared" ca="1" si="0"/>
        <v>1.5E-3</v>
      </c>
      <c r="I65" s="1932" t="s">
        <v>1581</v>
      </c>
      <c r="J65" s="1933">
        <v>40</v>
      </c>
      <c r="K65" s="1933">
        <v>30</v>
      </c>
      <c r="L65" s="1933">
        <v>50</v>
      </c>
      <c r="M65" s="1935">
        <v>0.02</v>
      </c>
      <c r="O65" s="1887" t="s">
        <v>1040</v>
      </c>
      <c r="P65" s="1888" t="s">
        <v>1582</v>
      </c>
      <c r="Q65" s="1889">
        <f ca="1">C40+J29</f>
        <v>26254</v>
      </c>
      <c r="R65" s="1889" t="s">
        <v>1531</v>
      </c>
    </row>
    <row r="66" spans="1:18" s="1845" customFormat="1" ht="16.5" thickBot="1">
      <c r="A66" s="1203" t="s">
        <v>1506</v>
      </c>
      <c r="B66" s="1171" t="s">
        <v>1441</v>
      </c>
      <c r="C66" s="24">
        <f ca="1">ROUND(C48*F66,1)</f>
        <v>0</v>
      </c>
      <c r="D66" s="1185" t="s">
        <v>1507</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-137</v>
      </c>
      <c r="D67" s="1184" t="s">
        <v>1466</v>
      </c>
      <c r="E67" s="1189"/>
      <c r="F67" s="1190"/>
      <c r="O67" s="1897" t="s">
        <v>1042</v>
      </c>
      <c r="P67" s="1888" t="s">
        <v>1564</v>
      </c>
      <c r="Q67" s="1936">
        <f ca="1">L51</f>
        <v>14048</v>
      </c>
      <c r="R67" s="1889" t="s">
        <v>1584</v>
      </c>
    </row>
    <row r="68" spans="1:18" s="1845" customFormat="1" ht="16.5" thickBot="1">
      <c r="A68" s="1168" t="s">
        <v>1032</v>
      </c>
      <c r="B68" s="1169" t="s">
        <v>1487</v>
      </c>
      <c r="C68" s="346">
        <f ca="1">ROUND(C67*(1-((1+F70)/(1+F68))^F69)/(F68-F70),0)</f>
        <v>-1795</v>
      </c>
      <c r="D68" s="1186" t="s">
        <v>1471</v>
      </c>
      <c r="E68" s="1171" t="s">
        <v>1472</v>
      </c>
      <c r="F68" s="357">
        <f ca="1">F40</f>
        <v>0.06</v>
      </c>
      <c r="O68" s="1897" t="s">
        <v>1043</v>
      </c>
      <c r="P68" s="1937" t="s">
        <v>1585</v>
      </c>
      <c r="Q68" s="1889">
        <f ca="1">ROUND(Q69-Q70*Q71,0)</f>
        <v>1020</v>
      </c>
      <c r="R68" s="1889" t="s">
        <v>1051</v>
      </c>
    </row>
    <row r="69" spans="1:18" s="1845" customFormat="1" ht="13.5" thickBot="1">
      <c r="A69" s="1172"/>
      <c r="B69" s="1173"/>
      <c r="C69" s="351"/>
      <c r="D69" s="1191" t="s">
        <v>1475</v>
      </c>
      <c r="E69" s="1171" t="s">
        <v>1476</v>
      </c>
      <c r="F69" s="379">
        <f ca="1">F41</f>
        <v>26.48</v>
      </c>
      <c r="O69" s="1897" t="s">
        <v>1048</v>
      </c>
      <c r="P69" s="1937" t="s">
        <v>1586</v>
      </c>
      <c r="Q69" s="1889">
        <f ca="1">C39</f>
        <v>1401</v>
      </c>
      <c r="R69" s="1889" t="s">
        <v>1531</v>
      </c>
    </row>
    <row r="70" spans="1:18" s="1845" customFormat="1" ht="13.5" thickBot="1">
      <c r="A70" s="1175"/>
      <c r="B70" s="1176"/>
      <c r="C70" s="355"/>
      <c r="D70" s="1187"/>
      <c r="E70" s="1171" t="s">
        <v>1479</v>
      </c>
      <c r="F70" s="1277"/>
      <c r="O70" s="1897" t="s">
        <v>1049</v>
      </c>
      <c r="P70" s="1937" t="s">
        <v>1587</v>
      </c>
      <c r="Q70" s="1889">
        <f ca="1">C13</f>
        <v>4486</v>
      </c>
      <c r="R70" s="1889" t="s">
        <v>1531</v>
      </c>
    </row>
    <row r="71" spans="1:18" s="1845" customFormat="1" ht="13.5" thickBot="1">
      <c r="A71" s="1192" t="s">
        <v>1033</v>
      </c>
      <c r="B71" s="1193" t="s">
        <v>1489</v>
      </c>
      <c r="C71" s="382">
        <f ca="1">ROUND(C68*10000/F71,0)</f>
        <v>-2539</v>
      </c>
      <c r="D71" s="1194" t="s">
        <v>1490</v>
      </c>
      <c r="E71" s="1195" t="s">
        <v>1491</v>
      </c>
      <c r="F71" s="385">
        <f ca="1">F43</f>
        <v>7068.3500000000013</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381</v>
      </c>
      <c r="D75" s="1845"/>
      <c r="E75" s="1845"/>
      <c r="F75" s="1845"/>
      <c r="K75" s="1871"/>
      <c r="L75" s="1845"/>
      <c r="O75" s="1887" t="s">
        <v>1046</v>
      </c>
      <c r="P75" s="1888" t="s">
        <v>1551</v>
      </c>
      <c r="Q75" s="1889">
        <f ca="1">Q65+Q66</f>
        <v>26254</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0.72799999999999998</v>
      </c>
    </row>
    <row r="80" spans="1:18">
      <c r="B80" s="386" t="s">
        <v>1513</v>
      </c>
      <c r="C80" s="318">
        <f ca="1">ROUND(C75/C39,3)</f>
        <v>0.27200000000000002</v>
      </c>
    </row>
    <row r="81" spans="2:3">
      <c r="B81" s="314" t="s">
        <v>1514</v>
      </c>
      <c r="C81" s="282"/>
    </row>
    <row r="82" spans="2:3">
      <c r="B82" s="317" t="s">
        <v>1515</v>
      </c>
      <c r="C82" s="319">
        <f ca="1">1-C83</f>
        <v>0.82899999999999996</v>
      </c>
    </row>
    <row r="83" spans="2:3">
      <c r="B83" s="317" t="s">
        <v>1516</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46" t="s">
        <v>1404</v>
      </c>
      <c r="C6" s="1298">
        <f ca="1">ROUND(F6*F8*F7*(1-F9),0)</f>
        <v>0</v>
      </c>
      <c r="D6" s="164" t="s">
        <v>3032</v>
      </c>
      <c r="E6" s="347" t="s">
        <v>1406</v>
      </c>
      <c r="F6" s="348">
        <f ca="1">INDIRECT("'数据-取费表'!u"&amp;$G$1)</f>
        <v>0</v>
      </c>
      <c r="G6" s="1854"/>
      <c r="H6" s="1293" t="s">
        <v>1035</v>
      </c>
      <c r="I6" s="3246" t="s">
        <v>1404</v>
      </c>
      <c r="J6" s="346">
        <f ca="1">ROUND(M6*M8*M7*(1-M9),0)</f>
        <v>0</v>
      </c>
      <c r="K6" s="1837" t="s">
        <v>3035</v>
      </c>
      <c r="L6" s="347" t="s">
        <v>1406</v>
      </c>
      <c r="M6" s="348">
        <f ca="1">INDIRECT("'数据-取费表'!z"&amp;$G$1)</f>
        <v>0</v>
      </c>
    </row>
    <row r="7" spans="1:37" ht="18" customHeight="1">
      <c r="A7" s="1297"/>
      <c r="B7" s="3247"/>
      <c r="C7" s="1299"/>
      <c r="D7" s="352"/>
      <c r="E7" s="1300" t="s">
        <v>1407</v>
      </c>
      <c r="F7" s="348">
        <f ca="1">IF(INDIRECT("'数据-取费表'!ah"&amp;$G$1)="",INDIRECT("'数据-取费表'!k"&amp;$G$1),INDIRECT("'数据-取费表'!ah"&amp;$G$1))</f>
        <v>0</v>
      </c>
      <c r="G7" s="1854"/>
      <c r="H7" s="349"/>
      <c r="I7" s="3247"/>
      <c r="J7" s="351"/>
      <c r="K7" s="352"/>
      <c r="L7" s="347" t="s">
        <v>1407</v>
      </c>
      <c r="M7" s="348">
        <f ca="1">F7</f>
        <v>0</v>
      </c>
    </row>
    <row r="8" spans="1:37" ht="18" customHeight="1">
      <c r="A8" s="349"/>
      <c r="B8" s="3247"/>
      <c r="C8" s="351"/>
      <c r="D8" s="352"/>
      <c r="E8" s="347" t="s">
        <v>1408</v>
      </c>
      <c r="F8" s="348">
        <f ca="1">INDIRECT("'数据-取费表'!ai"&amp;$G$1)</f>
        <v>0</v>
      </c>
      <c r="G8" s="1854"/>
      <c r="H8" s="349"/>
      <c r="I8" s="3247"/>
      <c r="J8" s="351"/>
      <c r="K8" s="352"/>
      <c r="L8" s="347" t="s">
        <v>1408</v>
      </c>
      <c r="M8" s="348">
        <f ca="1">INDIRECT("'数据-取费表'!ai"&amp;$G$1)</f>
        <v>0</v>
      </c>
    </row>
    <row r="9" spans="1:37" ht="18" customHeight="1">
      <c r="A9" s="349"/>
      <c r="B9" s="3248"/>
      <c r="C9" s="351"/>
      <c r="D9" s="352"/>
      <c r="E9" s="347" t="s">
        <v>1409</v>
      </c>
      <c r="F9" s="357">
        <f ca="1">INDIRECT("'数据-取费表'!w"&amp;$G$1)</f>
        <v>0</v>
      </c>
      <c r="G9" s="1854"/>
      <c r="H9" s="349"/>
      <c r="I9" s="324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3033</v>
      </c>
      <c r="E10" s="358" t="s">
        <v>1412</v>
      </c>
      <c r="F10" s="1368"/>
      <c r="G10" s="1854"/>
      <c r="H10" s="1293" t="s">
        <v>1039</v>
      </c>
      <c r="I10" s="1826" t="s">
        <v>1410</v>
      </c>
      <c r="J10" s="346">
        <f ca="1">ROUND(IF(M10="押一",M6*M8*M7/12*M11,IF(M10="押二",M6*M8*M7/12*2*M11,IF(M10="押三",M6*M8*M7/12*3*M11,J11*M11))),0)</f>
        <v>0</v>
      </c>
      <c r="K10" s="1838" t="s">
        <v>3034</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49" t="s">
        <v>1550</v>
      </c>
      <c r="L53" s="3250"/>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26989</v>
      </c>
      <c r="C2" s="2569" t="s">
        <v>2522</v>
      </c>
      <c r="D2" s="2570" t="s">
        <v>2523</v>
      </c>
      <c r="E2" s="2571">
        <f>SUM(E6:E13)</f>
        <v>7253.4400000000014</v>
      </c>
    </row>
    <row r="3" spans="1:6" ht="15.75">
      <c r="A3" s="2567" t="s">
        <v>1396</v>
      </c>
      <c r="B3" s="2568">
        <f ca="1">ROUND(B2*10000/E2,0)</f>
        <v>37209</v>
      </c>
      <c r="C3" s="2569" t="s">
        <v>2530</v>
      </c>
      <c r="D3" s="2572"/>
      <c r="E3" s="2573"/>
    </row>
    <row r="4" spans="1:6" ht="15.75">
      <c r="A4" s="2574"/>
      <c r="B4" s="2572"/>
      <c r="C4" s="2572"/>
      <c r="D4" s="2572"/>
      <c r="E4" s="2573"/>
    </row>
    <row r="5" spans="1:6" ht="15">
      <c r="A5" s="2575" t="s">
        <v>2524</v>
      </c>
      <c r="B5" s="3251" t="s">
        <v>2525</v>
      </c>
      <c r="C5" s="3251"/>
      <c r="D5" s="2576"/>
      <c r="E5" s="2577" t="s">
        <v>2526</v>
      </c>
      <c r="F5" s="2578" t="s">
        <v>2527</v>
      </c>
    </row>
    <row r="6" spans="1:6">
      <c r="A6" s="2579" t="str">
        <f>'数据-取费表'!AN6</f>
        <v>收益法（出租）</v>
      </c>
      <c r="B6" s="2578">
        <f ca="1">IF(F6="是",'数据-取费表'!AO6,0)</f>
        <v>735</v>
      </c>
      <c r="C6" s="2569" t="s">
        <v>2522</v>
      </c>
      <c r="D6" s="2572"/>
      <c r="E6" s="2580">
        <f>IF(OR(A6=0,F6="否"),0,'数据-取费表'!K6+'数据-取费表'!S6)</f>
        <v>185.09</v>
      </c>
      <c r="F6" s="2581" t="s">
        <v>2528</v>
      </c>
    </row>
    <row r="7" spans="1:6">
      <c r="A7" s="2579" t="str">
        <f>'数据-取费表'!AN7</f>
        <v>收益法（自用）</v>
      </c>
      <c r="B7" s="2578">
        <f ca="1">IF(F7="是",'数据-取费表'!AO7,0)</f>
        <v>26254</v>
      </c>
      <c r="C7" s="2569" t="s">
        <v>2522</v>
      </c>
      <c r="D7" s="2572"/>
      <c r="E7" s="2580">
        <f>IF(OR(A7=0,F7="否"),0,'数据-取费表'!K7+'数据-取费表'!S7)</f>
        <v>7068.3500000000013</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57" t="s">
        <v>1077</v>
      </c>
      <c r="B2" s="3258" t="s">
        <v>1078</v>
      </c>
      <c r="C2" s="3258"/>
      <c r="D2" s="1303" t="s">
        <v>1079</v>
      </c>
      <c r="E2" s="1303" t="s">
        <v>1080</v>
      </c>
      <c r="F2" s="1303" t="s">
        <v>1081</v>
      </c>
      <c r="G2" s="1303" t="s">
        <v>1082</v>
      </c>
      <c r="H2" s="1303" t="s">
        <v>1083</v>
      </c>
      <c r="I2" s="1304" t="s">
        <v>1084</v>
      </c>
    </row>
    <row r="3" spans="1:9">
      <c r="A3" s="3257"/>
      <c r="B3" s="3258" t="s">
        <v>1085</v>
      </c>
      <c r="C3" s="3258"/>
      <c r="D3" s="1305"/>
      <c r="E3" s="1303"/>
      <c r="F3" s="1306"/>
      <c r="G3" s="1306"/>
      <c r="H3" s="1307"/>
      <c r="I3" s="1308">
        <f>ROUND(D3*E3*F3*G3*H3/10000,0)</f>
        <v>0</v>
      </c>
    </row>
    <row r="4" spans="1:9">
      <c r="A4" s="3257"/>
      <c r="B4" s="3258" t="s">
        <v>1086</v>
      </c>
      <c r="C4" s="3258"/>
      <c r="D4" s="1305"/>
      <c r="E4" s="1303"/>
      <c r="F4" s="1306"/>
      <c r="G4" s="1306"/>
      <c r="H4" s="1307"/>
      <c r="I4" s="1308">
        <f t="shared" ref="I4:I9" si="0">ROUND(D4*E4*F4*G4*H4/10000,0)</f>
        <v>0</v>
      </c>
    </row>
    <row r="5" spans="1:9">
      <c r="A5" s="3257"/>
      <c r="B5" s="3258" t="s">
        <v>1087</v>
      </c>
      <c r="C5" s="3258"/>
      <c r="D5" s="1305"/>
      <c r="E5" s="1303"/>
      <c r="F5" s="1306"/>
      <c r="G5" s="1306"/>
      <c r="H5" s="1307"/>
      <c r="I5" s="1308">
        <f t="shared" si="0"/>
        <v>0</v>
      </c>
    </row>
    <row r="6" spans="1:9">
      <c r="A6" s="3257"/>
      <c r="B6" s="3258" t="s">
        <v>1088</v>
      </c>
      <c r="C6" s="3258"/>
      <c r="D6" s="1305"/>
      <c r="E6" s="1303"/>
      <c r="F6" s="1306"/>
      <c r="G6" s="1306"/>
      <c r="H6" s="1307"/>
      <c r="I6" s="1308">
        <f t="shared" si="0"/>
        <v>0</v>
      </c>
    </row>
    <row r="7" spans="1:9">
      <c r="A7" s="3257"/>
      <c r="B7" s="3258" t="s">
        <v>1089</v>
      </c>
      <c r="C7" s="3258"/>
      <c r="D7" s="1305"/>
      <c r="E7" s="1303"/>
      <c r="F7" s="1306"/>
      <c r="G7" s="1306"/>
      <c r="H7" s="1307"/>
      <c r="I7" s="1308">
        <f t="shared" si="0"/>
        <v>0</v>
      </c>
    </row>
    <row r="8" spans="1:9">
      <c r="A8" s="3257"/>
      <c r="B8" s="3258" t="s">
        <v>1090</v>
      </c>
      <c r="C8" s="3258"/>
      <c r="D8" s="1305"/>
      <c r="E8" s="1303"/>
      <c r="F8" s="1306"/>
      <c r="G8" s="1306"/>
      <c r="H8" s="1307"/>
      <c r="I8" s="1308">
        <f t="shared" si="0"/>
        <v>0</v>
      </c>
    </row>
    <row r="9" spans="1:9">
      <c r="A9" s="3257"/>
      <c r="B9" s="3258" t="s">
        <v>1091</v>
      </c>
      <c r="C9" s="3258"/>
      <c r="D9" s="1305"/>
      <c r="E9" s="1303"/>
      <c r="F9" s="1306"/>
      <c r="G9" s="1306"/>
      <c r="H9" s="1307"/>
      <c r="I9" s="1308">
        <f t="shared" si="0"/>
        <v>0</v>
      </c>
    </row>
    <row r="10" spans="1:9">
      <c r="A10" s="3257"/>
      <c r="B10" s="3259" t="s">
        <v>1092</v>
      </c>
      <c r="C10" s="3259"/>
      <c r="D10" s="1309"/>
      <c r="E10" s="1309" t="e">
        <f>ROUND(D1*10000/D10/H9,0)</f>
        <v>#DIV/0!</v>
      </c>
      <c r="F10" s="1310"/>
      <c r="G10" s="1310"/>
      <c r="H10" s="1311"/>
      <c r="I10" s="1312">
        <f>SUM(I3:I9)</f>
        <v>0</v>
      </c>
    </row>
    <row r="11" spans="1:9" ht="14.25">
      <c r="A11" s="3257" t="s">
        <v>1093</v>
      </c>
      <c r="B11" s="3258" t="s">
        <v>1094</v>
      </c>
      <c r="C11" s="3258"/>
      <c r="D11" s="1305" t="s">
        <v>1095</v>
      </c>
      <c r="E11" s="1305" t="s">
        <v>1096</v>
      </c>
      <c r="F11" s="1306" t="s">
        <v>1097</v>
      </c>
      <c r="G11" s="1306" t="s">
        <v>1083</v>
      </c>
      <c r="H11" s="1313" t="s">
        <v>1098</v>
      </c>
      <c r="I11" s="1304" t="s">
        <v>1084</v>
      </c>
    </row>
    <row r="12" spans="1:9">
      <c r="A12" s="3257"/>
      <c r="B12" s="3258" t="s">
        <v>1099</v>
      </c>
      <c r="C12" s="3258"/>
      <c r="D12" s="1305"/>
      <c r="E12" s="1305"/>
      <c r="F12" s="1306"/>
      <c r="G12" s="1307"/>
      <c r="H12" s="1314"/>
      <c r="I12" s="1304">
        <f>ROUND(D12*E12*F12*G12/10000,0)</f>
        <v>0</v>
      </c>
    </row>
    <row r="13" spans="1:9">
      <c r="A13" s="3257"/>
      <c r="B13" s="3258" t="s">
        <v>1100</v>
      </c>
      <c r="C13" s="3258"/>
      <c r="D13" s="1305"/>
      <c r="E13" s="1305"/>
      <c r="F13" s="1306"/>
      <c r="G13" s="1307"/>
      <c r="H13" s="1314"/>
      <c r="I13" s="1304">
        <f>ROUND(D13*E13*F13*G13/10000,0)</f>
        <v>0</v>
      </c>
    </row>
    <row r="14" spans="1:9">
      <c r="A14" s="3257"/>
      <c r="B14" s="3258" t="s">
        <v>1101</v>
      </c>
      <c r="C14" s="3258"/>
      <c r="D14" s="1305"/>
      <c r="E14" s="1305"/>
      <c r="F14" s="1306"/>
      <c r="G14" s="1307"/>
      <c r="H14" s="1314"/>
      <c r="I14" s="1304">
        <f>ROUND(D14*E14*F14*G14/10000,0)</f>
        <v>0</v>
      </c>
    </row>
    <row r="15" spans="1:9">
      <c r="A15" s="3257"/>
      <c r="B15" s="3259" t="s">
        <v>1092</v>
      </c>
      <c r="C15" s="3259"/>
      <c r="D15" s="1309"/>
      <c r="E15" s="1309">
        <f>SUM(E12:E14)</f>
        <v>0</v>
      </c>
      <c r="F15" s="1310"/>
      <c r="G15" s="1307"/>
      <c r="H15" s="1314"/>
      <c r="I15" s="1315">
        <f>SUM(I12:I14)</f>
        <v>0</v>
      </c>
    </row>
    <row r="16" spans="1:9" ht="24">
      <c r="A16" s="3257" t="s">
        <v>1102</v>
      </c>
      <c r="B16" s="3258" t="s">
        <v>1103</v>
      </c>
      <c r="C16" s="3258"/>
      <c r="D16" s="1305" t="s">
        <v>1079</v>
      </c>
      <c r="E16" s="1316" t="s">
        <v>1104</v>
      </c>
      <c r="F16" s="1306" t="s">
        <v>1105</v>
      </c>
      <c r="G16" s="1307" t="s">
        <v>1083</v>
      </c>
      <c r="H16" s="1313" t="s">
        <v>1098</v>
      </c>
      <c r="I16" s="1304" t="s">
        <v>1084</v>
      </c>
    </row>
    <row r="17" spans="1:9" ht="14.25">
      <c r="A17" s="3257"/>
      <c r="B17" s="3258" t="s">
        <v>1106</v>
      </c>
      <c r="C17" s="3258"/>
      <c r="D17" s="1305"/>
      <c r="E17" s="1305"/>
      <c r="F17" s="1306"/>
      <c r="G17" s="1307"/>
      <c r="H17" s="1317"/>
      <c r="I17" s="1318">
        <f>ROUND(D17*E17*F17*G17/10000,0)</f>
        <v>0</v>
      </c>
    </row>
    <row r="18" spans="1:9" ht="14.25">
      <c r="A18" s="3257"/>
      <c r="B18" s="3258" t="s">
        <v>1107</v>
      </c>
      <c r="C18" s="3258"/>
      <c r="D18" s="1305"/>
      <c r="E18" s="1305"/>
      <c r="F18" s="1306"/>
      <c r="G18" s="1307"/>
      <c r="H18" s="1317"/>
      <c r="I18" s="1318">
        <f>ROUND(D18*E18*F18*G18/10000,0)</f>
        <v>0</v>
      </c>
    </row>
    <row r="19" spans="1:9" ht="14.25">
      <c r="A19" s="3257"/>
      <c r="B19" s="3258" t="s">
        <v>1108</v>
      </c>
      <c r="C19" s="3258"/>
      <c r="D19" s="1305"/>
      <c r="E19" s="1305"/>
      <c r="F19" s="1306"/>
      <c r="G19" s="1307"/>
      <c r="H19" s="1317"/>
      <c r="I19" s="1318">
        <f>ROUND(D19*E19*F19*G19/10000,0)</f>
        <v>0</v>
      </c>
    </row>
    <row r="20" spans="1:9">
      <c r="A20" s="3257"/>
      <c r="B20" s="3259" t="s">
        <v>1092</v>
      </c>
      <c r="C20" s="3259"/>
      <c r="D20" s="1309">
        <f>SUM(D17:D19)</f>
        <v>0</v>
      </c>
      <c r="E20" s="1309"/>
      <c r="F20" s="1310"/>
      <c r="G20" s="1307"/>
      <c r="H20" s="1314"/>
      <c r="I20" s="1315">
        <f>SUM(I17:I19)</f>
        <v>0</v>
      </c>
    </row>
    <row r="21" spans="1:9">
      <c r="A21" s="3257" t="s">
        <v>1109</v>
      </c>
      <c r="B21" s="3261"/>
      <c r="C21" s="3261"/>
      <c r="D21" s="3261"/>
      <c r="E21" s="3261"/>
      <c r="F21" s="3261"/>
      <c r="G21" s="3261"/>
      <c r="H21" s="1768">
        <v>0.1</v>
      </c>
      <c r="I21" s="1312">
        <f>ROUND(I10*H21,0)</f>
        <v>0</v>
      </c>
    </row>
    <row r="22" spans="1:9" ht="14.25">
      <c r="A22" s="3262" t="s">
        <v>1110</v>
      </c>
      <c r="B22" s="3263"/>
      <c r="C22" s="3264"/>
      <c r="D22" s="1319" t="s">
        <v>1111</v>
      </c>
      <c r="E22" s="1319" t="s">
        <v>1112</v>
      </c>
      <c r="F22" s="1320" t="s">
        <v>1113</v>
      </c>
      <c r="G22" s="1320" t="s">
        <v>1114</v>
      </c>
      <c r="H22" s="1313" t="s">
        <v>1115</v>
      </c>
      <c r="I22" s="1304" t="s">
        <v>1116</v>
      </c>
    </row>
    <row r="23" spans="1:9" ht="14.25" thickBot="1">
      <c r="A23" s="3265"/>
      <c r="B23" s="3266"/>
      <c r="C23" s="3267"/>
      <c r="D23" s="1321"/>
      <c r="E23" s="1321"/>
      <c r="F23" s="1321"/>
      <c r="G23" s="1322"/>
      <c r="H23" s="1323"/>
      <c r="I23" s="1324">
        <f>ROUND(E23*D23*F23*(1-G23)/10000,0)</f>
        <v>0</v>
      </c>
    </row>
    <row r="26" spans="1:9">
      <c r="A26" s="1325" t="s">
        <v>1117</v>
      </c>
      <c r="B26" s="1325"/>
      <c r="C26" s="1325"/>
      <c r="D26" s="1325"/>
      <c r="E26" s="3268">
        <f>C27-C30-C31-C32</f>
        <v>0</v>
      </c>
      <c r="F26" s="3268"/>
      <c r="G26" s="3268"/>
      <c r="H26" s="1740" t="s">
        <v>1341</v>
      </c>
    </row>
    <row r="27" spans="1:9">
      <c r="A27" s="1326">
        <v>1</v>
      </c>
      <c r="B27" s="1327" t="s">
        <v>1118</v>
      </c>
      <c r="C27" s="1327">
        <f>C28+C29</f>
        <v>0</v>
      </c>
      <c r="D27" s="1327"/>
      <c r="E27" s="3269"/>
      <c r="F27" s="3269"/>
      <c r="G27" s="3269"/>
    </row>
    <row r="28" spans="1:9">
      <c r="A28" s="1328" t="s">
        <v>1119</v>
      </c>
      <c r="B28" s="1327" t="s">
        <v>1120</v>
      </c>
      <c r="C28" s="1327"/>
      <c r="D28" s="1327"/>
      <c r="E28" s="3269"/>
      <c r="F28" s="3269"/>
      <c r="G28" s="326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0"/>
      <c r="F32" s="3260"/>
      <c r="G32" s="3260"/>
    </row>
    <row r="33" spans="1:7" hidden="1">
      <c r="A33" s="3270" t="s">
        <v>1129</v>
      </c>
      <c r="B33" s="3271"/>
      <c r="C33" s="3271"/>
      <c r="D33" s="3272"/>
      <c r="E33" s="3268"/>
      <c r="F33" s="3268"/>
      <c r="G33" s="3268"/>
    </row>
    <row r="34" spans="1:7" hidden="1">
      <c r="A34" s="1330">
        <v>1</v>
      </c>
      <c r="B34" s="1327" t="s">
        <v>1130</v>
      </c>
      <c r="C34" s="1327"/>
      <c r="D34" s="1327"/>
      <c r="E34" s="3269"/>
      <c r="F34" s="3269"/>
      <c r="G34" s="3269"/>
    </row>
    <row r="35" spans="1:7" hidden="1">
      <c r="A35" s="1330">
        <v>2</v>
      </c>
      <c r="B35" s="1327" t="s">
        <v>1131</v>
      </c>
      <c r="C35" s="1327"/>
      <c r="D35" s="1327"/>
      <c r="E35" s="3269"/>
      <c r="F35" s="3269"/>
      <c r="G35" s="3269"/>
    </row>
    <row r="36" spans="1:7" hidden="1">
      <c r="A36" s="1330">
        <v>3</v>
      </c>
      <c r="B36" s="1327" t="s">
        <v>1132</v>
      </c>
      <c r="C36" s="1327"/>
      <c r="D36" s="1327"/>
      <c r="E36" s="3269"/>
      <c r="F36" s="3269"/>
      <c r="G36" s="3269"/>
    </row>
    <row r="37" spans="1:7" hidden="1">
      <c r="A37" s="1330">
        <v>4</v>
      </c>
      <c r="B37" s="1327" t="s">
        <v>1133</v>
      </c>
      <c r="C37" s="1327"/>
      <c r="D37" s="1327"/>
      <c r="E37" s="3269"/>
      <c r="F37" s="3269"/>
      <c r="G37" s="3269"/>
    </row>
    <row r="38" spans="1:7" hidden="1">
      <c r="A38" s="3270" t="s">
        <v>1134</v>
      </c>
      <c r="B38" s="3271"/>
      <c r="C38" s="3271"/>
      <c r="D38" s="3272"/>
      <c r="E38" s="3268"/>
      <c r="F38" s="3268"/>
      <c r="G38" s="32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2330</v>
      </c>
      <c r="B2" s="1420" t="e">
        <f ca="1">IF(C2="——",ROUND(C49*D3/10000,0),ROUND(C49*D3/10000,0)-D2)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2332</v>
      </c>
      <c r="B3" s="609" t="e">
        <f ca="1">IF(C2="——",C49,ROUND(B2*10000/D3,0))</f>
        <v>#DIV/0!</v>
      </c>
      <c r="C3" s="400" t="s">
        <v>2647</v>
      </c>
      <c r="D3" s="399">
        <f>IF(D1="",'数据-汇总表'!E3,SUMIF('数据-汇总表'!$C19:$C33,D1,'数据-汇总表'!$E19:$E33))</f>
        <v>7253.4400000000014</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30" t="s">
        <v>2651</v>
      </c>
      <c r="AC4" s="3200" t="s">
        <v>2652</v>
      </c>
    </row>
    <row r="5" spans="1:29"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30"/>
      <c r="AC5" s="3201"/>
    </row>
    <row r="6" spans="1:29" ht="15.75" thickBot="1">
      <c r="A6" s="406"/>
      <c r="B6" s="407"/>
      <c r="C6" s="3213" t="s">
        <v>2549</v>
      </c>
      <c r="D6" s="3214"/>
      <c r="E6" s="3215" t="s">
        <v>2549</v>
      </c>
      <c r="F6" s="3216"/>
      <c r="G6" s="3213" t="s">
        <v>2549</v>
      </c>
      <c r="H6" s="3214"/>
      <c r="I6" s="3213" t="s">
        <v>2549</v>
      </c>
      <c r="J6" s="3214"/>
      <c r="K6" s="610" t="s">
        <v>2550</v>
      </c>
      <c r="L6" s="1132"/>
      <c r="M6" s="1133"/>
      <c r="N6" s="1133"/>
      <c r="O6" s="1133"/>
      <c r="P6" s="3226"/>
      <c r="Q6" s="3227"/>
      <c r="R6" s="3207"/>
      <c r="S6" s="3208"/>
      <c r="T6" s="3228"/>
      <c r="U6" s="3229"/>
      <c r="V6" s="3230"/>
      <c r="W6" s="3230"/>
      <c r="X6" s="1816"/>
      <c r="Y6" s="3228"/>
      <c r="Z6" s="3229"/>
      <c r="AA6" s="3202"/>
      <c r="AB6" s="3230"/>
      <c r="AC6" s="3202"/>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3" t="s">
        <v>2552</v>
      </c>
      <c r="Q7" s="3231"/>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7"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7"/>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7"/>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7"/>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7"/>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7"/>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4" t="s">
        <v>2563</v>
      </c>
      <c r="Q15" s="1813" t="str">
        <f t="shared" si="6"/>
        <v>商业繁华度</v>
      </c>
      <c r="R15" s="774" t="s">
        <v>17</v>
      </c>
      <c r="S15" s="775">
        <f t="shared" si="0"/>
        <v>100</v>
      </c>
      <c r="T15" s="774" t="s">
        <v>17</v>
      </c>
      <c r="U15" s="775">
        <f t="shared" si="1"/>
        <v>100</v>
      </c>
      <c r="V15" s="774" t="s">
        <v>17</v>
      </c>
      <c r="W15" s="775">
        <f t="shared" si="2"/>
        <v>100</v>
      </c>
      <c r="X15" s="1816"/>
      <c r="Y15" s="3237"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45"/>
      <c r="Q16" s="1813"/>
      <c r="R16" s="774"/>
      <c r="S16" s="775"/>
      <c r="T16" s="774"/>
      <c r="U16" s="775"/>
      <c r="V16" s="774"/>
      <c r="W16" s="775"/>
      <c r="X16" s="1816"/>
      <c r="Y16" s="3238"/>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5"/>
      <c r="Q17" s="1813" t="str">
        <f>B17</f>
        <v>交通便捷度</v>
      </c>
      <c r="R17" s="774" t="s">
        <v>17</v>
      </c>
      <c r="S17" s="775">
        <f>F17</f>
        <v>100</v>
      </c>
      <c r="T17" s="774" t="s">
        <v>17</v>
      </c>
      <c r="U17" s="775">
        <f>H17</f>
        <v>100</v>
      </c>
      <c r="V17" s="774" t="s">
        <v>17</v>
      </c>
      <c r="W17" s="775">
        <f>J17</f>
        <v>100</v>
      </c>
      <c r="X17" s="1816"/>
      <c r="Y17" s="323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45"/>
      <c r="Q18" s="1813"/>
      <c r="R18" s="774"/>
      <c r="S18" s="775"/>
      <c r="T18" s="774"/>
      <c r="U18" s="775"/>
      <c r="V18" s="774"/>
      <c r="W18" s="775"/>
      <c r="X18" s="1816"/>
      <c r="Y18" s="3238"/>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5"/>
      <c r="Q19" s="1813" t="str">
        <f>B19</f>
        <v>公共配套设施</v>
      </c>
      <c r="R19" s="774" t="s">
        <v>17</v>
      </c>
      <c r="S19" s="775">
        <f>F19</f>
        <v>100</v>
      </c>
      <c r="T19" s="774" t="s">
        <v>17</v>
      </c>
      <c r="U19" s="775">
        <f>H19</f>
        <v>100</v>
      </c>
      <c r="V19" s="774" t="s">
        <v>17</v>
      </c>
      <c r="W19" s="775">
        <f>J19</f>
        <v>100</v>
      </c>
      <c r="X19" s="1816"/>
      <c r="Y19" s="323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45"/>
      <c r="Q20" s="1813"/>
      <c r="R20" s="774"/>
      <c r="S20" s="775"/>
      <c r="T20" s="774"/>
      <c r="U20" s="775"/>
      <c r="V20" s="774"/>
      <c r="W20" s="775"/>
      <c r="X20" s="1816"/>
      <c r="Y20" s="3238"/>
      <c r="Z20" s="1817"/>
      <c r="AA20" s="1814">
        <v>1</v>
      </c>
      <c r="AB20" s="1814">
        <v>1</v>
      </c>
      <c r="AC20" s="1814">
        <v>1</v>
      </c>
    </row>
    <row r="21" spans="1:29" ht="28.5">
      <c r="A21" s="428"/>
      <c r="B21" s="1386"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5"/>
      <c r="Q21" s="1813" t="str">
        <f>B21</f>
        <v>基础设施水平</v>
      </c>
      <c r="R21" s="774" t="s">
        <v>17</v>
      </c>
      <c r="S21" s="775">
        <f>F21</f>
        <v>100</v>
      </c>
      <c r="T21" s="774" t="s">
        <v>17</v>
      </c>
      <c r="U21" s="775">
        <f>H21</f>
        <v>100</v>
      </c>
      <c r="V21" s="774" t="s">
        <v>17</v>
      </c>
      <c r="W21" s="775">
        <f>J21</f>
        <v>100</v>
      </c>
      <c r="X21" s="1816"/>
      <c r="Y21" s="3238"/>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45"/>
      <c r="Q22" s="1813"/>
      <c r="R22" s="774"/>
      <c r="S22" s="775"/>
      <c r="T22" s="774"/>
      <c r="U22" s="775"/>
      <c r="V22" s="774"/>
      <c r="W22" s="775"/>
      <c r="X22" s="1816"/>
      <c r="Y22" s="3238"/>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5"/>
      <c r="Q23" s="1813" t="str">
        <f>B23</f>
        <v>自然及人文环境</v>
      </c>
      <c r="R23" s="774" t="s">
        <v>17</v>
      </c>
      <c r="S23" s="775">
        <f>F23</f>
        <v>100</v>
      </c>
      <c r="T23" s="774" t="s">
        <v>17</v>
      </c>
      <c r="U23" s="775">
        <f>H23</f>
        <v>100</v>
      </c>
      <c r="V23" s="774" t="s">
        <v>17</v>
      </c>
      <c r="W23" s="775">
        <f>J23</f>
        <v>100</v>
      </c>
      <c r="X23" s="1816"/>
      <c r="Y23" s="323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45"/>
      <c r="Q24" s="1813"/>
      <c r="R24" s="774"/>
      <c r="S24" s="775"/>
      <c r="T24" s="774"/>
      <c r="U24" s="775"/>
      <c r="V24" s="774"/>
      <c r="W24" s="775"/>
      <c r="X24" s="1816"/>
      <c r="Y24" s="3238"/>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5"/>
      <c r="Q25" s="1813" t="str">
        <f t="shared" ref="Q25:Q46" si="11">B25</f>
        <v>临街状况</v>
      </c>
      <c r="R25" s="774" t="s">
        <v>17</v>
      </c>
      <c r="S25" s="775">
        <f>F25</f>
        <v>100</v>
      </c>
      <c r="T25" s="774" t="s">
        <v>17</v>
      </c>
      <c r="U25" s="775">
        <f>H25</f>
        <v>100</v>
      </c>
      <c r="V25" s="774" t="s">
        <v>17</v>
      </c>
      <c r="W25" s="775">
        <f>J25</f>
        <v>100</v>
      </c>
      <c r="X25" s="1816"/>
      <c r="Y25" s="3238"/>
      <c r="Z25" s="1817" t="str">
        <f>Q25</f>
        <v>临街状况</v>
      </c>
      <c r="AA25" s="1814">
        <f t="shared" si="3"/>
        <v>1</v>
      </c>
      <c r="AB25" s="1814">
        <f t="shared" si="4"/>
        <v>1</v>
      </c>
      <c r="AC25" s="1814">
        <f t="shared" si="5"/>
        <v>1</v>
      </c>
    </row>
    <row r="26" spans="1:29" ht="15">
      <c r="A26" s="428"/>
      <c r="B26" s="1388" t="s">
        <v>2660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5"/>
      <c r="Q26" s="1813" t="str">
        <f t="shared" si="11"/>
        <v>平面位置/可视性</v>
      </c>
      <c r="R26" s="774" t="s">
        <v>17</v>
      </c>
      <c r="S26" s="775">
        <f>F26</f>
        <v>100</v>
      </c>
      <c r="T26" s="774" t="s">
        <v>17</v>
      </c>
      <c r="U26" s="775">
        <f>H26</f>
        <v>100</v>
      </c>
      <c r="V26" s="774" t="s">
        <v>17</v>
      </c>
      <c r="W26" s="775">
        <f>J26</f>
        <v>100</v>
      </c>
      <c r="X26" s="1816"/>
      <c r="Y26" s="3238"/>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45"/>
      <c r="Q27" s="1798" t="str">
        <f t="shared" si="11"/>
        <v>人流量</v>
      </c>
      <c r="R27" s="770" t="s">
        <v>17</v>
      </c>
      <c r="S27" s="771">
        <f>F27</f>
        <v>100</v>
      </c>
      <c r="T27" s="770" t="s">
        <v>17</v>
      </c>
      <c r="U27" s="771">
        <f>H27</f>
        <v>100</v>
      </c>
      <c r="V27" s="770" t="s">
        <v>17</v>
      </c>
      <c r="W27" s="771">
        <f>J27</f>
        <v>100</v>
      </c>
      <c r="X27" s="772"/>
      <c r="Y27" s="3238"/>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8"/>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5"/>
      <c r="Q29" s="1813">
        <f t="shared" si="11"/>
        <v>111</v>
      </c>
      <c r="R29" s="774" t="s">
        <v>17</v>
      </c>
      <c r="S29" s="775">
        <f t="shared" si="12"/>
        <v>100</v>
      </c>
      <c r="T29" s="774" t="s">
        <v>17</v>
      </c>
      <c r="U29" s="775">
        <f t="shared" si="13"/>
        <v>100</v>
      </c>
      <c r="V29" s="774" t="s">
        <v>17</v>
      </c>
      <c r="W29" s="775">
        <f t="shared" si="14"/>
        <v>100</v>
      </c>
      <c r="X29" s="1816"/>
      <c r="Y29" s="3238"/>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5"/>
      <c r="Q30" s="1813">
        <f t="shared" si="11"/>
        <v>111</v>
      </c>
      <c r="R30" s="774" t="s">
        <v>17</v>
      </c>
      <c r="S30" s="775">
        <f t="shared" si="12"/>
        <v>100</v>
      </c>
      <c r="T30" s="774" t="s">
        <v>17</v>
      </c>
      <c r="U30" s="775">
        <f t="shared" si="13"/>
        <v>100</v>
      </c>
      <c r="V30" s="774" t="s">
        <v>17</v>
      </c>
      <c r="W30" s="775">
        <f t="shared" si="14"/>
        <v>100</v>
      </c>
      <c r="X30" s="1816"/>
      <c r="Y30" s="3238"/>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5"/>
      <c r="Q31" s="1813">
        <f t="shared" si="11"/>
        <v>111</v>
      </c>
      <c r="R31" s="774" t="s">
        <v>17</v>
      </c>
      <c r="S31" s="775">
        <f t="shared" si="12"/>
        <v>100</v>
      </c>
      <c r="T31" s="774" t="s">
        <v>17</v>
      </c>
      <c r="U31" s="775">
        <f t="shared" si="13"/>
        <v>100</v>
      </c>
      <c r="V31" s="774" t="s">
        <v>17</v>
      </c>
      <c r="W31" s="775">
        <f t="shared" si="14"/>
        <v>100</v>
      </c>
      <c r="X31" s="1816"/>
      <c r="Y31" s="3238"/>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39" t="s">
        <v>2568</v>
      </c>
      <c r="Q32" s="1813" t="str">
        <f t="shared" si="11"/>
        <v>商业类型</v>
      </c>
      <c r="R32" s="774" t="s">
        <v>17</v>
      </c>
      <c r="S32" s="775">
        <f t="shared" si="12"/>
        <v>100</v>
      </c>
      <c r="T32" s="774" t="s">
        <v>17</v>
      </c>
      <c r="U32" s="775">
        <f t="shared" si="13"/>
        <v>100</v>
      </c>
      <c r="V32" s="774" t="s">
        <v>17</v>
      </c>
      <c r="W32" s="775">
        <f t="shared" si="14"/>
        <v>100</v>
      </c>
      <c r="X32" s="1816"/>
      <c r="Y32" s="3242"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40"/>
      <c r="Q34" s="1813" t="str">
        <f t="shared" si="11"/>
        <v>建筑结构</v>
      </c>
      <c r="R34" s="774" t="s">
        <v>17</v>
      </c>
      <c r="S34" s="775">
        <f t="shared" si="12"/>
        <v>100</v>
      </c>
      <c r="T34" s="774" t="s">
        <v>17</v>
      </c>
      <c r="U34" s="775">
        <f t="shared" si="13"/>
        <v>100</v>
      </c>
      <c r="V34" s="774" t="s">
        <v>17</v>
      </c>
      <c r="W34" s="775">
        <f t="shared" si="14"/>
        <v>100</v>
      </c>
      <c r="X34" s="1816"/>
      <c r="Y34" s="3242"/>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40"/>
      <c r="Q35" s="1813" t="str">
        <f t="shared" si="11"/>
        <v>公共部分装修</v>
      </c>
      <c r="R35" s="774" t="s">
        <v>17</v>
      </c>
      <c r="S35" s="775">
        <f t="shared" si="12"/>
        <v>100</v>
      </c>
      <c r="T35" s="774" t="s">
        <v>17</v>
      </c>
      <c r="U35" s="775">
        <f t="shared" si="13"/>
        <v>100</v>
      </c>
      <c r="V35" s="774" t="s">
        <v>17</v>
      </c>
      <c r="W35" s="775">
        <f t="shared" si="14"/>
        <v>100</v>
      </c>
      <c r="X35" s="1816"/>
      <c r="Y35" s="3242"/>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0"/>
      <c r="Q36" s="1813" t="str">
        <f t="shared" si="11"/>
        <v>成新度</v>
      </c>
      <c r="R36" s="774" t="s">
        <v>17</v>
      </c>
      <c r="S36" s="775" t="e">
        <f t="shared" si="12"/>
        <v>#N/A</v>
      </c>
      <c r="T36" s="774" t="s">
        <v>17</v>
      </c>
      <c r="U36" s="775" t="e">
        <f t="shared" si="13"/>
        <v>#N/A</v>
      </c>
      <c r="V36" s="774" t="s">
        <v>17</v>
      </c>
      <c r="W36" s="775" t="e">
        <f t="shared" si="14"/>
        <v>#N/A</v>
      </c>
      <c r="X36" s="1816"/>
      <c r="Y36" s="3242"/>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40"/>
      <c r="Q37" s="1798"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40" t="s">
        <v>2568</v>
      </c>
      <c r="Q38" s="1813" t="str">
        <f t="shared" si="11"/>
        <v>业态</v>
      </c>
      <c r="R38" s="774" t="s">
        <v>17</v>
      </c>
      <c r="S38" s="775">
        <f t="shared" si="12"/>
        <v>100</v>
      </c>
      <c r="T38" s="774" t="s">
        <v>17</v>
      </c>
      <c r="U38" s="775">
        <f t="shared" si="13"/>
        <v>100</v>
      </c>
      <c r="V38" s="774" t="s">
        <v>17</v>
      </c>
      <c r="W38" s="775">
        <f t="shared" si="14"/>
        <v>100</v>
      </c>
      <c r="X38" s="1816"/>
      <c r="Y38" s="3242"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40"/>
      <c r="Q39" s="1813" t="str">
        <f t="shared" si="11"/>
        <v>层高</v>
      </c>
      <c r="R39" s="774" t="s">
        <v>17</v>
      </c>
      <c r="S39" s="775">
        <f t="shared" si="12"/>
        <v>100</v>
      </c>
      <c r="T39" s="774" t="s">
        <v>17</v>
      </c>
      <c r="U39" s="775">
        <f t="shared" si="13"/>
        <v>100</v>
      </c>
      <c r="V39" s="774" t="s">
        <v>17</v>
      </c>
      <c r="W39" s="775">
        <f t="shared" si="14"/>
        <v>100</v>
      </c>
      <c r="X39" s="1816"/>
      <c r="Y39" s="3242"/>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0"/>
      <c r="Q40" s="1813" t="str">
        <f t="shared" si="11"/>
        <v>单套建筑面积</v>
      </c>
      <c r="R40" s="774" t="s">
        <v>17</v>
      </c>
      <c r="S40" s="775">
        <f t="shared" si="12"/>
        <v>100</v>
      </c>
      <c r="T40" s="774" t="s">
        <v>17</v>
      </c>
      <c r="U40" s="775">
        <f t="shared" si="13"/>
        <v>100</v>
      </c>
      <c r="V40" s="774" t="s">
        <v>17</v>
      </c>
      <c r="W40" s="775">
        <f t="shared" si="14"/>
        <v>100</v>
      </c>
      <c r="X40" s="1816"/>
      <c r="Y40" s="3242"/>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40"/>
      <c r="Q42" s="1813" t="str">
        <f t="shared" si="11"/>
        <v>内部装修</v>
      </c>
      <c r="R42" s="774" t="s">
        <v>17</v>
      </c>
      <c r="S42" s="775">
        <f t="shared" si="12"/>
        <v>100</v>
      </c>
      <c r="T42" s="774" t="s">
        <v>17</v>
      </c>
      <c r="U42" s="775">
        <f t="shared" si="13"/>
        <v>100</v>
      </c>
      <c r="V42" s="774" t="s">
        <v>17</v>
      </c>
      <c r="W42" s="775">
        <f t="shared" si="14"/>
        <v>100</v>
      </c>
      <c r="X42" s="1816"/>
      <c r="Y42" s="3242"/>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40"/>
      <c r="Q43" s="1813" t="str">
        <f t="shared" si="11"/>
        <v>内部装修维护情况</v>
      </c>
      <c r="R43" s="774" t="s">
        <v>17</v>
      </c>
      <c r="S43" s="775">
        <f t="shared" si="12"/>
        <v>100</v>
      </c>
      <c r="T43" s="774" t="s">
        <v>17</v>
      </c>
      <c r="U43" s="775">
        <f t="shared" si="13"/>
        <v>100</v>
      </c>
      <c r="V43" s="774" t="s">
        <v>17</v>
      </c>
      <c r="W43" s="775">
        <f t="shared" si="14"/>
        <v>100</v>
      </c>
      <c r="X43" s="1816"/>
      <c r="Y43" s="3242"/>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0"/>
      <c r="Q44" s="1798">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0"/>
      <c r="Q45" s="1813">
        <f t="shared" si="11"/>
        <v>111</v>
      </c>
      <c r="R45" s="774" t="s">
        <v>17</v>
      </c>
      <c r="S45" s="775">
        <f t="shared" si="12"/>
        <v>100</v>
      </c>
      <c r="T45" s="774" t="s">
        <v>17</v>
      </c>
      <c r="U45" s="775">
        <f t="shared" si="13"/>
        <v>100</v>
      </c>
      <c r="V45" s="774" t="s">
        <v>17</v>
      </c>
      <c r="W45" s="775">
        <f t="shared" si="14"/>
        <v>100</v>
      </c>
      <c r="X45" s="1816"/>
      <c r="Y45" s="324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1"/>
      <c r="Q46" s="1813">
        <f t="shared" si="11"/>
        <v>111</v>
      </c>
      <c r="R46" s="774" t="s">
        <v>17</v>
      </c>
      <c r="S46" s="775">
        <f t="shared" si="12"/>
        <v>100</v>
      </c>
      <c r="T46" s="774" t="s">
        <v>17</v>
      </c>
      <c r="U46" s="775">
        <f t="shared" si="13"/>
        <v>100</v>
      </c>
      <c r="V46" s="774" t="s">
        <v>17</v>
      </c>
      <c r="W46" s="775">
        <f t="shared" si="14"/>
        <v>100</v>
      </c>
      <c r="X46" s="1816"/>
      <c r="Y46" s="3243"/>
      <c r="Z46" s="1817">
        <f t="shared" si="15"/>
        <v>111</v>
      </c>
      <c r="AA46" s="1814">
        <f t="shared" si="3"/>
        <v>1</v>
      </c>
      <c r="AB46" s="1814">
        <f t="shared" si="4"/>
        <v>1</v>
      </c>
      <c r="AC46" s="1814">
        <f t="shared" si="5"/>
        <v>1</v>
      </c>
    </row>
    <row r="47" spans="1:29" ht="15">
      <c r="A47" s="479" t="s">
        <v>2580</v>
      </c>
      <c r="B47" s="480"/>
      <c r="C47" s="1409" t="s">
        <v>1</v>
      </c>
      <c r="D47" s="1410"/>
      <c r="E47" s="1411"/>
      <c r="F47" s="1412"/>
      <c r="G47" s="1413"/>
      <c r="H47" s="1414"/>
      <c r="I47" s="1411"/>
      <c r="J47" s="1414"/>
      <c r="K47" s="783"/>
      <c r="L47" s="1145"/>
      <c r="M47" s="1146"/>
      <c r="N47" s="1133"/>
      <c r="O47" s="1146"/>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2672</v>
      </c>
      <c r="B48" s="487"/>
      <c r="C48" s="1415" t="e">
        <f>R49</f>
        <v>#DIV/0!</v>
      </c>
      <c r="D48" s="1416"/>
      <c r="E48" s="1417" t="e">
        <f>R48</f>
        <v>#DIV/0!</v>
      </c>
      <c r="F48" s="1417"/>
      <c r="G48" s="1415" t="e">
        <f>T48</f>
        <v>#DIV/0!</v>
      </c>
      <c r="H48" s="1416"/>
      <c r="I48" s="1417" t="e">
        <f>V48</f>
        <v>#DIV/0!</v>
      </c>
      <c r="J48" s="1416"/>
      <c r="K48" s="784"/>
      <c r="L48" s="1145"/>
      <c r="M48" s="1146"/>
      <c r="N48" s="1133"/>
      <c r="O48" s="1146"/>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2673</v>
      </c>
      <c r="B49" s="493"/>
      <c r="C49" s="1419" t="e">
        <f>R49</f>
        <v>#DIV/0!</v>
      </c>
      <c r="D49" s="1419"/>
      <c r="E49" s="1419"/>
      <c r="F49" s="1419"/>
      <c r="G49" s="1419"/>
      <c r="H49" s="1419"/>
      <c r="I49" s="1419"/>
      <c r="J49" s="1419"/>
      <c r="K49" s="785"/>
      <c r="L49" s="1145"/>
      <c r="M49" s="1146"/>
      <c r="N49" s="1133"/>
      <c r="O49" s="1146"/>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2683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2566</v>
      </c>
      <c r="B100" s="528" t="s">
        <v>2684</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2619</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2621</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2685</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2686</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2687</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2688</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IF(C2="——",ROUND(C50*D3/10000,0),ROUND(C50*D3/10000,0)-D2)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7253.4400000000014</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79" t="s">
        <v>2654</v>
      </c>
      <c r="Q4" s="3280"/>
      <c r="R4" s="3274" t="s">
        <v>2650</v>
      </c>
      <c r="S4" s="3275"/>
      <c r="T4" s="3274" t="s">
        <v>2651</v>
      </c>
      <c r="U4" s="3275"/>
      <c r="V4" s="3283" t="s">
        <v>2652</v>
      </c>
      <c r="W4" s="3283"/>
      <c r="X4" s="2673"/>
      <c r="Y4" s="3274" t="s">
        <v>2654</v>
      </c>
      <c r="Z4" s="3275"/>
      <c r="AA4" s="3273" t="s">
        <v>2650</v>
      </c>
      <c r="AB4" s="3273" t="s">
        <v>2651</v>
      </c>
      <c r="AC4" s="3276" t="s">
        <v>2652</v>
      </c>
    </row>
    <row r="5" spans="1:29" ht="15">
      <c r="A5" s="404"/>
      <c r="B5" s="405"/>
      <c r="C5" s="3211" t="s">
        <v>2545</v>
      </c>
      <c r="D5" s="3212"/>
      <c r="E5" s="3209" t="s">
        <v>2546</v>
      </c>
      <c r="F5" s="3210"/>
      <c r="G5" s="3211" t="s">
        <v>2547</v>
      </c>
      <c r="H5" s="3212"/>
      <c r="I5" s="3211" t="s">
        <v>2548</v>
      </c>
      <c r="J5" s="3212"/>
      <c r="K5" s="610"/>
      <c r="L5" s="1132"/>
      <c r="M5" s="1133"/>
      <c r="N5" s="1133"/>
      <c r="O5" s="1133"/>
      <c r="P5" s="3281"/>
      <c r="Q5" s="3225"/>
      <c r="R5" s="3207"/>
      <c r="S5" s="3208"/>
      <c r="T5" s="3207"/>
      <c r="U5" s="3208"/>
      <c r="V5" s="3230"/>
      <c r="W5" s="3230"/>
      <c r="X5" s="1816"/>
      <c r="Y5" s="3207"/>
      <c r="Z5" s="3208"/>
      <c r="AA5" s="3201"/>
      <c r="AB5" s="3201"/>
      <c r="AC5" s="3277"/>
    </row>
    <row r="6" spans="1:29" ht="15.75" thickBot="1">
      <c r="A6" s="406"/>
      <c r="B6" s="407"/>
      <c r="C6" s="3213" t="s">
        <v>2549</v>
      </c>
      <c r="D6" s="3214"/>
      <c r="E6" s="3215" t="s">
        <v>2549</v>
      </c>
      <c r="F6" s="3216"/>
      <c r="G6" s="3213" t="s">
        <v>2549</v>
      </c>
      <c r="H6" s="3214"/>
      <c r="I6" s="3213" t="s">
        <v>2549</v>
      </c>
      <c r="J6" s="3214"/>
      <c r="K6" s="610" t="s">
        <v>2550</v>
      </c>
      <c r="L6" s="1132"/>
      <c r="M6" s="1133"/>
      <c r="N6" s="1133"/>
      <c r="O6" s="1133"/>
      <c r="P6" s="3282"/>
      <c r="Q6" s="3227"/>
      <c r="R6" s="3207"/>
      <c r="S6" s="3208"/>
      <c r="T6" s="3228"/>
      <c r="U6" s="3229"/>
      <c r="V6" s="3230"/>
      <c r="W6" s="3230"/>
      <c r="X6" s="1816"/>
      <c r="Y6" s="3228"/>
      <c r="Z6" s="3229"/>
      <c r="AA6" s="3202"/>
      <c r="AB6" s="3202"/>
      <c r="AC6" s="3278"/>
    </row>
    <row r="7" spans="1:29" s="117" customFormat="1" ht="15.75" thickBot="1">
      <c r="A7" s="408" t="s">
        <v>2551</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4" t="s">
        <v>2552</v>
      </c>
      <c r="Q7" s="3231"/>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4" t="s">
        <v>2555</v>
      </c>
      <c r="Q8" s="3204"/>
      <c r="R8" s="770" t="s">
        <v>17</v>
      </c>
      <c r="S8" s="771">
        <f t="shared" si="0"/>
        <v>0</v>
      </c>
      <c r="T8" s="770" t="s">
        <v>17</v>
      </c>
      <c r="U8" s="771">
        <f t="shared" si="1"/>
        <v>0</v>
      </c>
      <c r="V8" s="770" t="s">
        <v>17</v>
      </c>
      <c r="W8" s="771">
        <f t="shared" si="2"/>
        <v>0</v>
      </c>
      <c r="X8" s="772"/>
      <c r="Y8" s="3203" t="s">
        <v>2555</v>
      </c>
      <c r="Z8" s="3204"/>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7"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7"/>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7"/>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17"/>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17"/>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17"/>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4" t="s">
        <v>2563</v>
      </c>
      <c r="Q15" s="1813" t="str">
        <f t="shared" si="6"/>
        <v>办公集聚程度</v>
      </c>
      <c r="R15" s="774" t="s">
        <v>17</v>
      </c>
      <c r="S15" s="775">
        <f t="shared" si="0"/>
        <v>100</v>
      </c>
      <c r="T15" s="774" t="s">
        <v>17</v>
      </c>
      <c r="U15" s="775">
        <f t="shared" si="1"/>
        <v>100</v>
      </c>
      <c r="V15" s="774" t="s">
        <v>17</v>
      </c>
      <c r="W15" s="775">
        <f t="shared" si="2"/>
        <v>100</v>
      </c>
      <c r="X15" s="1816"/>
      <c r="Y15" s="3237"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45"/>
      <c r="Q16" s="1813"/>
      <c r="R16" s="774"/>
      <c r="S16" s="775"/>
      <c r="T16" s="774"/>
      <c r="U16" s="775"/>
      <c r="V16" s="774"/>
      <c r="W16" s="775"/>
      <c r="X16" s="1816"/>
      <c r="Y16" s="3238"/>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5"/>
      <c r="Q17" s="1813" t="str">
        <f>B17</f>
        <v>交通便捷度</v>
      </c>
      <c r="R17" s="774" t="s">
        <v>17</v>
      </c>
      <c r="S17" s="775">
        <f>F17</f>
        <v>100</v>
      </c>
      <c r="T17" s="774" t="s">
        <v>17</v>
      </c>
      <c r="U17" s="775">
        <f>H17</f>
        <v>100</v>
      </c>
      <c r="V17" s="774" t="s">
        <v>17</v>
      </c>
      <c r="W17" s="775">
        <f>J17</f>
        <v>100</v>
      </c>
      <c r="X17" s="1816"/>
      <c r="Y17" s="323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45"/>
      <c r="Q18" s="1813"/>
      <c r="R18" s="774"/>
      <c r="S18" s="775"/>
      <c r="T18" s="774"/>
      <c r="U18" s="775"/>
      <c r="V18" s="774"/>
      <c r="W18" s="775"/>
      <c r="X18" s="1816"/>
      <c r="Y18" s="3238"/>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5"/>
      <c r="Q19" s="1813" t="str">
        <f>B19</f>
        <v>公共配套设施</v>
      </c>
      <c r="R19" s="774" t="s">
        <v>17</v>
      </c>
      <c r="S19" s="775">
        <f>F19</f>
        <v>100</v>
      </c>
      <c r="T19" s="774" t="s">
        <v>17</v>
      </c>
      <c r="U19" s="775">
        <f>H19</f>
        <v>100</v>
      </c>
      <c r="V19" s="774" t="s">
        <v>17</v>
      </c>
      <c r="W19" s="775">
        <f>J19</f>
        <v>100</v>
      </c>
      <c r="X19" s="1816"/>
      <c r="Y19" s="323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45"/>
      <c r="Q20" s="1813"/>
      <c r="R20" s="774"/>
      <c r="S20" s="775"/>
      <c r="T20" s="774"/>
      <c r="U20" s="775"/>
      <c r="V20" s="774"/>
      <c r="W20" s="775"/>
      <c r="X20" s="1816"/>
      <c r="Y20" s="3238"/>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5"/>
      <c r="Q21" s="1813" t="str">
        <f>B21</f>
        <v>基础设施水平</v>
      </c>
      <c r="R21" s="774" t="s">
        <v>17</v>
      </c>
      <c r="S21" s="775">
        <f>F21</f>
        <v>100</v>
      </c>
      <c r="T21" s="774" t="s">
        <v>17</v>
      </c>
      <c r="U21" s="775">
        <f>H21</f>
        <v>100</v>
      </c>
      <c r="V21" s="774" t="s">
        <v>17</v>
      </c>
      <c r="W21" s="775">
        <f>J21</f>
        <v>100</v>
      </c>
      <c r="X21" s="1816"/>
      <c r="Y21" s="323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45"/>
      <c r="Q22" s="1813"/>
      <c r="R22" s="774"/>
      <c r="S22" s="775"/>
      <c r="T22" s="774"/>
      <c r="U22" s="775"/>
      <c r="V22" s="774"/>
      <c r="W22" s="775"/>
      <c r="X22" s="1816"/>
      <c r="Y22" s="3238"/>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5"/>
      <c r="Q23" s="1813" t="str">
        <f>B23</f>
        <v>环境质量</v>
      </c>
      <c r="R23" s="774" t="s">
        <v>17</v>
      </c>
      <c r="S23" s="775">
        <f>F23</f>
        <v>100</v>
      </c>
      <c r="T23" s="774" t="s">
        <v>17</v>
      </c>
      <c r="U23" s="775">
        <f>H23</f>
        <v>100</v>
      </c>
      <c r="V23" s="774" t="s">
        <v>17</v>
      </c>
      <c r="W23" s="775">
        <f>J23</f>
        <v>100</v>
      </c>
      <c r="X23" s="1816"/>
      <c r="Y23" s="323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45"/>
      <c r="Q24" s="1813"/>
      <c r="R24" s="774"/>
      <c r="S24" s="775"/>
      <c r="T24" s="774"/>
      <c r="U24" s="775"/>
      <c r="V24" s="774"/>
      <c r="W24" s="775"/>
      <c r="X24" s="1816"/>
      <c r="Y24" s="3238"/>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45"/>
      <c r="Q25" s="1813" t="str">
        <f>B25</f>
        <v>毗邻道路的类型与等级</v>
      </c>
      <c r="R25" s="774" t="s">
        <v>17</v>
      </c>
      <c r="S25" s="775">
        <f>F25</f>
        <v>100</v>
      </c>
      <c r="T25" s="774" t="s">
        <v>17</v>
      </c>
      <c r="U25" s="775">
        <f>H25</f>
        <v>100</v>
      </c>
      <c r="V25" s="774" t="s">
        <v>17</v>
      </c>
      <c r="W25" s="775">
        <f>J25</f>
        <v>100</v>
      </c>
      <c r="X25" s="1816"/>
      <c r="Y25" s="323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45"/>
      <c r="Q26" s="1813"/>
      <c r="R26" s="774"/>
      <c r="S26" s="775"/>
      <c r="T26" s="774"/>
      <c r="U26" s="775"/>
      <c r="V26" s="774"/>
      <c r="W26" s="775"/>
      <c r="X26" s="1816"/>
      <c r="Y26" s="3238"/>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5"/>
      <c r="Q27" s="1813" t="str">
        <f t="shared" ref="Q27:Q47" si="11">B27</f>
        <v>楼层</v>
      </c>
      <c r="R27" s="774" t="s">
        <v>17</v>
      </c>
      <c r="S27" s="775">
        <f>F27</f>
        <v>100</v>
      </c>
      <c r="T27" s="774" t="s">
        <v>17</v>
      </c>
      <c r="U27" s="775">
        <f>H27</f>
        <v>100</v>
      </c>
      <c r="V27" s="774" t="s">
        <v>17</v>
      </c>
      <c r="W27" s="775">
        <f>J27</f>
        <v>100</v>
      </c>
      <c r="X27" s="1816"/>
      <c r="Y27" s="3238"/>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45"/>
      <c r="Q28" s="1798" t="str">
        <f t="shared" si="11"/>
        <v>朝向</v>
      </c>
      <c r="R28" s="770" t="s">
        <v>17</v>
      </c>
      <c r="S28" s="771">
        <f>F28</f>
        <v>100</v>
      </c>
      <c r="T28" s="770" t="s">
        <v>17</v>
      </c>
      <c r="U28" s="771">
        <f>H28</f>
        <v>100</v>
      </c>
      <c r="V28" s="770" t="s">
        <v>17</v>
      </c>
      <c r="W28" s="771">
        <f>J28</f>
        <v>100</v>
      </c>
      <c r="X28" s="772"/>
      <c r="Y28" s="323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45"/>
      <c r="Q29" s="1813">
        <f t="shared" si="11"/>
        <v>111</v>
      </c>
      <c r="R29" s="774" t="s">
        <v>17</v>
      </c>
      <c r="S29" s="775">
        <f t="shared" ref="S29:S47" si="12">F29</f>
        <v>100</v>
      </c>
      <c r="T29" s="774" t="s">
        <v>17</v>
      </c>
      <c r="U29" s="775">
        <f t="shared" ref="U29:U47" si="13">H29</f>
        <v>100</v>
      </c>
      <c r="V29" s="774" t="s">
        <v>17</v>
      </c>
      <c r="W29" s="775">
        <f t="shared" ref="W29:W47" si="14">J29</f>
        <v>100</v>
      </c>
      <c r="X29" s="1816"/>
      <c r="Y29" s="323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45"/>
      <c r="Q30" s="1813">
        <f t="shared" si="11"/>
        <v>111</v>
      </c>
      <c r="R30" s="774" t="s">
        <v>17</v>
      </c>
      <c r="S30" s="775">
        <f t="shared" si="12"/>
        <v>100</v>
      </c>
      <c r="T30" s="774" t="s">
        <v>17</v>
      </c>
      <c r="U30" s="775">
        <f t="shared" si="13"/>
        <v>100</v>
      </c>
      <c r="V30" s="774" t="s">
        <v>17</v>
      </c>
      <c r="W30" s="775">
        <f t="shared" si="14"/>
        <v>100</v>
      </c>
      <c r="X30" s="1816"/>
      <c r="Y30" s="323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45"/>
      <c r="Q31" s="1813">
        <f t="shared" si="11"/>
        <v>111</v>
      </c>
      <c r="R31" s="774" t="s">
        <v>17</v>
      </c>
      <c r="S31" s="775">
        <f t="shared" si="12"/>
        <v>100</v>
      </c>
      <c r="T31" s="774" t="s">
        <v>17</v>
      </c>
      <c r="U31" s="775">
        <f t="shared" si="13"/>
        <v>100</v>
      </c>
      <c r="V31" s="774" t="s">
        <v>17</v>
      </c>
      <c r="W31" s="775">
        <f t="shared" si="14"/>
        <v>100</v>
      </c>
      <c r="X31" s="1816"/>
      <c r="Y31" s="323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45"/>
      <c r="Q32" s="1813">
        <f t="shared" si="11"/>
        <v>111</v>
      </c>
      <c r="R32" s="774" t="s">
        <v>17</v>
      </c>
      <c r="S32" s="775">
        <f t="shared" si="12"/>
        <v>100</v>
      </c>
      <c r="T32" s="774" t="s">
        <v>17</v>
      </c>
      <c r="U32" s="775">
        <f t="shared" si="13"/>
        <v>100</v>
      </c>
      <c r="V32" s="774" t="s">
        <v>17</v>
      </c>
      <c r="W32" s="775">
        <f t="shared" si="14"/>
        <v>100</v>
      </c>
      <c r="X32" s="1816"/>
      <c r="Y32" s="3238"/>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39" t="s">
        <v>2568</v>
      </c>
      <c r="Q33" s="1813" t="str">
        <f t="shared" si="11"/>
        <v>建筑类型</v>
      </c>
      <c r="R33" s="774" t="s">
        <v>17</v>
      </c>
      <c r="S33" s="775">
        <f t="shared" si="12"/>
        <v>100</v>
      </c>
      <c r="T33" s="774" t="s">
        <v>17</v>
      </c>
      <c r="U33" s="775">
        <f t="shared" si="13"/>
        <v>100</v>
      </c>
      <c r="V33" s="774" t="s">
        <v>17</v>
      </c>
      <c r="W33" s="775">
        <f t="shared" si="14"/>
        <v>100</v>
      </c>
      <c r="X33" s="1816"/>
      <c r="Y33" s="3242"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0"/>
      <c r="Q35" s="1813" t="str">
        <f t="shared" si="11"/>
        <v>建筑结构</v>
      </c>
      <c r="R35" s="774" t="s">
        <v>17</v>
      </c>
      <c r="S35" s="775">
        <f t="shared" si="12"/>
        <v>100</v>
      </c>
      <c r="T35" s="774" t="s">
        <v>17</v>
      </c>
      <c r="U35" s="775">
        <f t="shared" si="13"/>
        <v>100</v>
      </c>
      <c r="V35" s="774" t="s">
        <v>17</v>
      </c>
      <c r="W35" s="775">
        <f t="shared" si="14"/>
        <v>100</v>
      </c>
      <c r="X35" s="1816"/>
      <c r="Y35" s="3242"/>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0"/>
      <c r="Q36" s="1813" t="str">
        <f t="shared" si="11"/>
        <v>公共部分装修</v>
      </c>
      <c r="R36" s="774" t="s">
        <v>17</v>
      </c>
      <c r="S36" s="775">
        <f t="shared" si="12"/>
        <v>100</v>
      </c>
      <c r="T36" s="774" t="s">
        <v>17</v>
      </c>
      <c r="U36" s="775">
        <f t="shared" si="13"/>
        <v>100</v>
      </c>
      <c r="V36" s="774" t="s">
        <v>17</v>
      </c>
      <c r="W36" s="775">
        <f t="shared" si="14"/>
        <v>100</v>
      </c>
      <c r="X36" s="1816"/>
      <c r="Y36" s="3242"/>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0"/>
      <c r="Q37" s="1813" t="str">
        <f t="shared" si="11"/>
        <v>成新度</v>
      </c>
      <c r="R37" s="774" t="s">
        <v>17</v>
      </c>
      <c r="S37" s="775" t="e">
        <f t="shared" si="12"/>
        <v>#N/A</v>
      </c>
      <c r="T37" s="774" t="s">
        <v>17</v>
      </c>
      <c r="U37" s="775" t="e">
        <f t="shared" si="13"/>
        <v>#N/A</v>
      </c>
      <c r="V37" s="774" t="s">
        <v>17</v>
      </c>
      <c r="W37" s="775" t="e">
        <f t="shared" si="14"/>
        <v>#N/A</v>
      </c>
      <c r="X37" s="1816"/>
      <c r="Y37" s="3242"/>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0"/>
      <c r="Q38" s="1798"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0" t="s">
        <v>2568</v>
      </c>
      <c r="Q39" s="1813" t="str">
        <f t="shared" si="11"/>
        <v>物业管理</v>
      </c>
      <c r="R39" s="774" t="s">
        <v>17</v>
      </c>
      <c r="S39" s="775">
        <f t="shared" si="12"/>
        <v>100</v>
      </c>
      <c r="T39" s="774" t="s">
        <v>17</v>
      </c>
      <c r="U39" s="775">
        <f t="shared" si="13"/>
        <v>100</v>
      </c>
      <c r="V39" s="774" t="s">
        <v>17</v>
      </c>
      <c r="W39" s="775">
        <f t="shared" si="14"/>
        <v>100</v>
      </c>
      <c r="X39" s="1816"/>
      <c r="Y39" s="3242"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0"/>
      <c r="Q40" s="1813" t="str">
        <f t="shared" si="11"/>
        <v>市政基础设施</v>
      </c>
      <c r="R40" s="774" t="s">
        <v>17</v>
      </c>
      <c r="S40" s="775">
        <f t="shared" si="12"/>
        <v>100</v>
      </c>
      <c r="T40" s="774" t="s">
        <v>17</v>
      </c>
      <c r="U40" s="775">
        <f t="shared" si="13"/>
        <v>100</v>
      </c>
      <c r="V40" s="774" t="s">
        <v>17</v>
      </c>
      <c r="W40" s="775">
        <f t="shared" si="14"/>
        <v>100</v>
      </c>
      <c r="X40" s="1816"/>
      <c r="Y40" s="3242"/>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0"/>
      <c r="Q41" s="1813" t="str">
        <f t="shared" si="11"/>
        <v>层高</v>
      </c>
      <c r="R41" s="774" t="s">
        <v>17</v>
      </c>
      <c r="S41" s="775">
        <f t="shared" si="12"/>
        <v>100</v>
      </c>
      <c r="T41" s="774" t="s">
        <v>17</v>
      </c>
      <c r="U41" s="775">
        <f t="shared" si="13"/>
        <v>100</v>
      </c>
      <c r="V41" s="774" t="s">
        <v>17</v>
      </c>
      <c r="W41" s="775">
        <f t="shared" si="14"/>
        <v>100</v>
      </c>
      <c r="X41" s="1816"/>
      <c r="Y41" s="3242"/>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0"/>
      <c r="Q43" s="1813" t="str">
        <f t="shared" si="11"/>
        <v>内部装修</v>
      </c>
      <c r="R43" s="774" t="s">
        <v>17</v>
      </c>
      <c r="S43" s="775">
        <f t="shared" si="12"/>
        <v>100</v>
      </c>
      <c r="T43" s="774" t="s">
        <v>17</v>
      </c>
      <c r="U43" s="775">
        <f t="shared" si="13"/>
        <v>100</v>
      </c>
      <c r="V43" s="774" t="s">
        <v>17</v>
      </c>
      <c r="W43" s="775">
        <f t="shared" si="14"/>
        <v>100</v>
      </c>
      <c r="X43" s="1816"/>
      <c r="Y43" s="3242"/>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40"/>
      <c r="Q44" s="1813" t="str">
        <f t="shared" si="11"/>
        <v>内部装修维护情况</v>
      </c>
      <c r="R44" s="774" t="s">
        <v>17</v>
      </c>
      <c r="S44" s="775">
        <f t="shared" si="12"/>
        <v>100</v>
      </c>
      <c r="T44" s="774" t="s">
        <v>17</v>
      </c>
      <c r="U44" s="775">
        <f t="shared" si="13"/>
        <v>100</v>
      </c>
      <c r="V44" s="774" t="s">
        <v>17</v>
      </c>
      <c r="W44" s="775">
        <f t="shared" si="14"/>
        <v>100</v>
      </c>
      <c r="X44" s="1816"/>
      <c r="Y44" s="3242"/>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0"/>
      <c r="Q45" s="1798">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0"/>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1"/>
      <c r="Q47" s="1813">
        <f t="shared" si="11"/>
        <v>111</v>
      </c>
      <c r="R47" s="774" t="s">
        <v>17</v>
      </c>
      <c r="S47" s="775">
        <f t="shared" si="12"/>
        <v>100</v>
      </c>
      <c r="T47" s="774" t="s">
        <v>17</v>
      </c>
      <c r="U47" s="775">
        <f t="shared" si="13"/>
        <v>100</v>
      </c>
      <c r="V47" s="774" t="s">
        <v>17</v>
      </c>
      <c r="W47" s="775">
        <f t="shared" si="14"/>
        <v>100</v>
      </c>
      <c r="X47" s="1816"/>
      <c r="Y47" s="3243"/>
      <c r="Z47" s="1817">
        <f t="shared" si="15"/>
        <v>111</v>
      </c>
      <c r="AA47" s="1814">
        <f t="shared" si="3"/>
        <v>1</v>
      </c>
      <c r="AB47" s="1814">
        <f t="shared" si="4"/>
        <v>1</v>
      </c>
      <c r="AC47" s="2677">
        <f t="shared" si="5"/>
        <v>1</v>
      </c>
    </row>
    <row r="48" spans="1:29" ht="15">
      <c r="A48" s="479" t="s">
        <v>2580</v>
      </c>
      <c r="B48" s="480"/>
      <c r="C48" s="1409" t="s">
        <v>1</v>
      </c>
      <c r="D48" s="1410"/>
      <c r="E48" s="1411"/>
      <c r="F48" s="1412"/>
      <c r="G48" s="1413"/>
      <c r="H48" s="1414"/>
      <c r="I48" s="1411"/>
      <c r="J48" s="485"/>
      <c r="K48" s="783"/>
      <c r="L48" s="1145"/>
      <c r="M48" s="1133"/>
      <c r="N48" s="1133"/>
      <c r="O48" s="1133"/>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2672</v>
      </c>
      <c r="B49" s="487"/>
      <c r="C49" s="1415" t="e">
        <f>R50</f>
        <v>#DIV/0!</v>
      </c>
      <c r="D49" s="1416"/>
      <c r="E49" s="1417" t="e">
        <f>R49</f>
        <v>#DIV/0!</v>
      </c>
      <c r="F49" s="1417"/>
      <c r="G49" s="1415" t="e">
        <f>T49</f>
        <v>#DIV/0!</v>
      </c>
      <c r="H49" s="1416"/>
      <c r="I49" s="1417" t="e">
        <f>V49</f>
        <v>#DIV/0!</v>
      </c>
      <c r="J49" s="489"/>
      <c r="K49" s="784"/>
      <c r="L49" s="1145"/>
      <c r="M49" s="1133"/>
      <c r="N49" s="1133"/>
      <c r="O49" s="1133"/>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2673</v>
      </c>
      <c r="B50" s="493"/>
      <c r="C50" s="1419" t="e">
        <f>R50</f>
        <v>#DIV/0!</v>
      </c>
      <c r="D50" s="1419"/>
      <c r="E50" s="1419"/>
      <c r="F50" s="1419"/>
      <c r="G50" s="1419"/>
      <c r="H50" s="1419"/>
      <c r="I50" s="1419"/>
      <c r="J50" s="494"/>
      <c r="K50" s="785"/>
      <c r="L50" s="1145"/>
      <c r="M50" s="1133"/>
      <c r="N50" s="1133"/>
      <c r="O50" s="1133"/>
      <c r="P50" s="3285" t="str">
        <f>A50</f>
        <v>估价对象XX用房的比较价值（楼面单价，元/平方米）</v>
      </c>
      <c r="Q50" s="3286"/>
      <c r="R50" s="3287" t="e">
        <f>IF(F1="售价",ROUND(AVERAGE(R49:V49),0),ROUND(AVERAGE(R49:V49),1))</f>
        <v>#DIV/0!</v>
      </c>
      <c r="S50" s="3287"/>
      <c r="T50" s="3287"/>
      <c r="U50" s="3287"/>
      <c r="V50" s="3287"/>
      <c r="W50" s="3287"/>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2677</v>
      </c>
      <c r="B58" s="759"/>
      <c r="C58" s="764"/>
      <c r="D58" s="764"/>
      <c r="E58" s="764"/>
      <c r="F58" s="765"/>
      <c r="G58" s="765"/>
      <c r="H58" s="764"/>
      <c r="I58" s="764"/>
      <c r="J58" s="764"/>
      <c r="K58" s="766"/>
      <c r="L58" s="1163"/>
      <c r="M58" s="1161"/>
      <c r="N58" s="1161"/>
      <c r="O58" s="1161"/>
      <c r="P58" s="2684"/>
      <c r="Q58" s="504"/>
    </row>
    <row r="59" spans="1:29" s="508" customFormat="1" ht="15">
      <c r="A59" s="505" t="s">
        <v>2551</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2591</v>
      </c>
      <c r="B64" s="528" t="s">
        <v>2557</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2702</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2566</v>
      </c>
      <c r="B101" s="528" t="s">
        <v>2615</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2617</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2619</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2703</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2620</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2621</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2704</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2687</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2623</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受贵公司委托，我公司对北京市东城区香河园街1号院1、2、3号楼房地产抵押价值进行了预评估。</v>
      </c>
    </row>
    <row r="5" spans="1:1" ht="18.75">
      <c r="A5" s="1952" t="s">
        <v>1614</v>
      </c>
    </row>
    <row r="6" spans="1:1" ht="18.75">
      <c r="A6" s="1953" t="s">
        <v>1615</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1、2、3号楼房地产，为所有。根据《国有土地使用证》[京东国用（2005出）第更0029号]、《房产抵押土地分摊面积计算》，估价对象（分摊）出让国有建设用地使用权面积为2044.09平方米。根据《房屋所有权证》[X京房权证东股字第007174号]、《抵押物清单》，估价对象建筑面积为7253.44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1、2、3号楼房地产,属开发建设的商业项目，该项目尚在开发建设中。根据《国有土地使用证》[京东国用（2005出）第更0029号]、《房产抵押土地分摊面积计算》，估价对象（分摊）出让国有建设用地使用权面积为2044.09平方米。根据《房屋所有权证》[X京房权证东股字第007174号]、《抵押物清单》，估价对象规划建筑面积为7253.44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土地取得方式为出让，出让国有建设用地使用权剩余土地使用年限为26.48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26.48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IF(C2="——",ROUND(C43*D3/10000,0),ROUND(C43*D3/10000,0)-D2)</f>
        <v>#DIV/0!</v>
      </c>
      <c r="C2" s="2589"/>
      <c r="D2" s="1126"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7253.4400000000014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01" t="s">
        <v>2651</v>
      </c>
      <c r="AC4" s="3200" t="s">
        <v>2652</v>
      </c>
    </row>
    <row r="5" spans="1:29"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01"/>
      <c r="AC5" s="3201"/>
    </row>
    <row r="6" spans="1:29" ht="15.75" thickBot="1">
      <c r="A6" s="406"/>
      <c r="B6" s="407"/>
      <c r="C6" s="3213" t="s">
        <v>2549</v>
      </c>
      <c r="D6" s="3214"/>
      <c r="E6" s="3215" t="s">
        <v>2549</v>
      </c>
      <c r="F6" s="3216"/>
      <c r="G6" s="3213" t="s">
        <v>2549</v>
      </c>
      <c r="H6" s="3214"/>
      <c r="I6" s="3213" t="s">
        <v>2549</v>
      </c>
      <c r="J6" s="3214"/>
      <c r="K6" s="610" t="s">
        <v>2550</v>
      </c>
      <c r="L6" s="1132"/>
      <c r="M6" s="1133"/>
      <c r="N6" s="1133"/>
      <c r="O6" s="1133"/>
      <c r="P6" s="3226"/>
      <c r="Q6" s="3227"/>
      <c r="R6" s="3207"/>
      <c r="S6" s="3208"/>
      <c r="T6" s="3228"/>
      <c r="U6" s="3229"/>
      <c r="V6" s="3230"/>
      <c r="W6" s="3230"/>
      <c r="X6" s="1816"/>
      <c r="Y6" s="3228"/>
      <c r="Z6" s="3229"/>
      <c r="AA6" s="3202"/>
      <c r="AB6" s="3202"/>
      <c r="AC6" s="3202"/>
    </row>
    <row r="7" spans="1:29" s="117" customFormat="1" ht="15.75" thickBot="1">
      <c r="A7" s="408" t="s">
        <v>2551</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3" t="s">
        <v>2552</v>
      </c>
      <c r="Q7" s="3231"/>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35"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35"/>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35"/>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235"/>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235"/>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235"/>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7" t="s">
        <v>2563</v>
      </c>
      <c r="Q15" s="1813" t="str">
        <f t="shared" si="6"/>
        <v>产业集聚程度</v>
      </c>
      <c r="R15" s="774" t="s">
        <v>17</v>
      </c>
      <c r="S15" s="775">
        <f t="shared" si="0"/>
        <v>100</v>
      </c>
      <c r="T15" s="774" t="s">
        <v>17</v>
      </c>
      <c r="U15" s="775">
        <f t="shared" si="1"/>
        <v>100</v>
      </c>
      <c r="V15" s="774" t="s">
        <v>17</v>
      </c>
      <c r="W15" s="775">
        <f t="shared" si="2"/>
        <v>100</v>
      </c>
      <c r="X15" s="1816"/>
      <c r="Y15" s="3237"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238"/>
      <c r="Q16" s="1813"/>
      <c r="R16" s="774"/>
      <c r="S16" s="775"/>
      <c r="T16" s="774"/>
      <c r="U16" s="775"/>
      <c r="V16" s="774"/>
      <c r="W16" s="775"/>
      <c r="X16" s="1816"/>
      <c r="Y16" s="3238"/>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8"/>
      <c r="Q17" s="1813" t="str">
        <f>B17</f>
        <v>交通便捷度</v>
      </c>
      <c r="R17" s="774" t="s">
        <v>17</v>
      </c>
      <c r="S17" s="775">
        <f>F17</f>
        <v>100</v>
      </c>
      <c r="T17" s="774" t="s">
        <v>17</v>
      </c>
      <c r="U17" s="775">
        <f>H17</f>
        <v>100</v>
      </c>
      <c r="V17" s="774" t="s">
        <v>17</v>
      </c>
      <c r="W17" s="775">
        <f>J17</f>
        <v>100</v>
      </c>
      <c r="X17" s="1816"/>
      <c r="Y17" s="323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238"/>
      <c r="Q18" s="1813"/>
      <c r="R18" s="774"/>
      <c r="S18" s="775"/>
      <c r="T18" s="774"/>
      <c r="U18" s="775"/>
      <c r="V18" s="774"/>
      <c r="W18" s="775"/>
      <c r="X18" s="1816"/>
      <c r="Y18" s="3238"/>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8"/>
      <c r="Q19" s="1813" t="str">
        <f>B19</f>
        <v>公共配套设施</v>
      </c>
      <c r="R19" s="774" t="s">
        <v>17</v>
      </c>
      <c r="S19" s="775">
        <f>F19</f>
        <v>100</v>
      </c>
      <c r="T19" s="774" t="s">
        <v>17</v>
      </c>
      <c r="U19" s="775">
        <f>H19</f>
        <v>100</v>
      </c>
      <c r="V19" s="774" t="s">
        <v>17</v>
      </c>
      <c r="W19" s="775">
        <f>J19</f>
        <v>100</v>
      </c>
      <c r="X19" s="1816"/>
      <c r="Y19" s="323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238"/>
      <c r="Q20" s="1813"/>
      <c r="R20" s="774"/>
      <c r="S20" s="775"/>
      <c r="T20" s="774"/>
      <c r="U20" s="775"/>
      <c r="V20" s="774"/>
      <c r="W20" s="775"/>
      <c r="X20" s="1816"/>
      <c r="Y20" s="3238"/>
      <c r="Z20" s="1817"/>
      <c r="AA20" s="1814">
        <v>1</v>
      </c>
      <c r="AB20" s="1814">
        <v>1</v>
      </c>
      <c r="AC20" s="1814">
        <v>1</v>
      </c>
    </row>
    <row r="21" spans="1:29" ht="28.5">
      <c r="A21" s="428"/>
      <c r="B21" s="1386"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8"/>
      <c r="Q21" s="1813" t="str">
        <f>B21</f>
        <v>基础设施水平</v>
      </c>
      <c r="R21" s="774" t="s">
        <v>17</v>
      </c>
      <c r="S21" s="775">
        <f>F21</f>
        <v>100</v>
      </c>
      <c r="T21" s="774" t="s">
        <v>17</v>
      </c>
      <c r="U21" s="775">
        <f>H21</f>
        <v>100</v>
      </c>
      <c r="V21" s="774" t="s">
        <v>17</v>
      </c>
      <c r="W21" s="775">
        <f>J21</f>
        <v>100</v>
      </c>
      <c r="X21" s="1816"/>
      <c r="Y21" s="3238"/>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238"/>
      <c r="Q22" s="1813"/>
      <c r="R22" s="774"/>
      <c r="S22" s="775"/>
      <c r="T22" s="774"/>
      <c r="U22" s="775"/>
      <c r="V22" s="774"/>
      <c r="W22" s="775"/>
      <c r="X22" s="1816"/>
      <c r="Y22" s="3238"/>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8"/>
      <c r="Q23" s="1813" t="str">
        <f>B23</f>
        <v>环境质量</v>
      </c>
      <c r="R23" s="774" t="s">
        <v>17</v>
      </c>
      <c r="S23" s="775">
        <f>F23</f>
        <v>100</v>
      </c>
      <c r="T23" s="774" t="s">
        <v>17</v>
      </c>
      <c r="U23" s="775">
        <f>H23</f>
        <v>100</v>
      </c>
      <c r="V23" s="774" t="s">
        <v>17</v>
      </c>
      <c r="W23" s="775">
        <f>J23</f>
        <v>100</v>
      </c>
      <c r="X23" s="1816"/>
      <c r="Y23" s="3238"/>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238"/>
      <c r="Q24" s="1813"/>
      <c r="R24" s="774"/>
      <c r="S24" s="775"/>
      <c r="T24" s="774"/>
      <c r="U24" s="775"/>
      <c r="V24" s="774"/>
      <c r="W24" s="775"/>
      <c r="X24" s="1816"/>
      <c r="Y24" s="3238"/>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8"/>
      <c r="Q25" s="1813">
        <f>B25</f>
        <v>111</v>
      </c>
      <c r="R25" s="774" t="s">
        <v>17</v>
      </c>
      <c r="S25" s="775">
        <f>F25</f>
        <v>100</v>
      </c>
      <c r="T25" s="774" t="s">
        <v>17</v>
      </c>
      <c r="U25" s="775">
        <f>H25</f>
        <v>100</v>
      </c>
      <c r="V25" s="774" t="s">
        <v>17</v>
      </c>
      <c r="W25" s="775">
        <f>J25</f>
        <v>100</v>
      </c>
      <c r="X25" s="1816"/>
      <c r="Y25" s="3238"/>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8"/>
      <c r="Q26" s="1813">
        <f t="shared" ref="Q26:Q40" si="11">B26</f>
        <v>111</v>
      </c>
      <c r="R26" s="774" t="s">
        <v>17</v>
      </c>
      <c r="S26" s="775">
        <f>F26</f>
        <v>100</v>
      </c>
      <c r="T26" s="774" t="s">
        <v>17</v>
      </c>
      <c r="U26" s="775">
        <f>H26</f>
        <v>100</v>
      </c>
      <c r="V26" s="774" t="s">
        <v>17</v>
      </c>
      <c r="W26" s="775">
        <f>J26</f>
        <v>100</v>
      </c>
      <c r="X26" s="1816"/>
      <c r="Y26" s="3238"/>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8"/>
      <c r="Q27" s="1798">
        <f t="shared" si="11"/>
        <v>111</v>
      </c>
      <c r="R27" s="770" t="s">
        <v>17</v>
      </c>
      <c r="S27" s="771">
        <f>F27</f>
        <v>100</v>
      </c>
      <c r="T27" s="770" t="s">
        <v>17</v>
      </c>
      <c r="U27" s="771">
        <f>H27</f>
        <v>100</v>
      </c>
      <c r="V27" s="770" t="s">
        <v>17</v>
      </c>
      <c r="W27" s="771">
        <f>J27</f>
        <v>100</v>
      </c>
      <c r="X27" s="772"/>
      <c r="Y27" s="3238"/>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8"/>
      <c r="Q28" s="1813">
        <f t="shared" si="11"/>
        <v>111</v>
      </c>
      <c r="R28" s="774" t="s">
        <v>17</v>
      </c>
      <c r="S28" s="775">
        <f t="shared" ref="S28:S40" si="12">F28</f>
        <v>100</v>
      </c>
      <c r="T28" s="774" t="s">
        <v>17</v>
      </c>
      <c r="U28" s="775">
        <f t="shared" ref="U28:U40" si="13">H28</f>
        <v>100</v>
      </c>
      <c r="V28" s="774" t="s">
        <v>17</v>
      </c>
      <c r="W28" s="775">
        <f t="shared" ref="W28:W40" si="14">J28</f>
        <v>100</v>
      </c>
      <c r="X28" s="1816"/>
      <c r="Y28" s="3238"/>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288" t="s">
        <v>2568</v>
      </c>
      <c r="Q29" s="1813" t="str">
        <f t="shared" si="11"/>
        <v>建筑类型</v>
      </c>
      <c r="R29" s="774" t="s">
        <v>17</v>
      </c>
      <c r="S29" s="775">
        <f t="shared" si="12"/>
        <v>100</v>
      </c>
      <c r="T29" s="774" t="s">
        <v>17</v>
      </c>
      <c r="U29" s="775">
        <f t="shared" si="13"/>
        <v>100</v>
      </c>
      <c r="V29" s="774" t="s">
        <v>17</v>
      </c>
      <c r="W29" s="775">
        <f t="shared" si="14"/>
        <v>100</v>
      </c>
      <c r="X29" s="1816"/>
      <c r="Y29" s="3242"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2"/>
      <c r="Q31" s="1813" t="str">
        <f t="shared" si="11"/>
        <v>建筑结构</v>
      </c>
      <c r="R31" s="774" t="s">
        <v>17</v>
      </c>
      <c r="S31" s="775">
        <f t="shared" si="12"/>
        <v>100</v>
      </c>
      <c r="T31" s="774" t="s">
        <v>17</v>
      </c>
      <c r="U31" s="775">
        <f t="shared" si="13"/>
        <v>100</v>
      </c>
      <c r="V31" s="774" t="s">
        <v>17</v>
      </c>
      <c r="W31" s="775">
        <f t="shared" si="14"/>
        <v>100</v>
      </c>
      <c r="X31" s="1816"/>
      <c r="Y31" s="3242"/>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2"/>
      <c r="Q32" s="1813" t="str">
        <f t="shared" si="11"/>
        <v>公共部分装修</v>
      </c>
      <c r="R32" s="774" t="s">
        <v>17</v>
      </c>
      <c r="S32" s="775">
        <f t="shared" si="12"/>
        <v>100</v>
      </c>
      <c r="T32" s="774" t="s">
        <v>17</v>
      </c>
      <c r="U32" s="775">
        <f t="shared" si="13"/>
        <v>100</v>
      </c>
      <c r="V32" s="774" t="s">
        <v>17</v>
      </c>
      <c r="W32" s="775">
        <f t="shared" si="14"/>
        <v>100</v>
      </c>
      <c r="X32" s="1816"/>
      <c r="Y32" s="3242"/>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2"/>
      <c r="Q33" s="1813" t="str">
        <f t="shared" si="11"/>
        <v>成新度</v>
      </c>
      <c r="R33" s="774" t="s">
        <v>17</v>
      </c>
      <c r="S33" s="775" t="e">
        <f t="shared" si="12"/>
        <v>#N/A</v>
      </c>
      <c r="T33" s="774" t="s">
        <v>17</v>
      </c>
      <c r="U33" s="775" t="e">
        <f t="shared" si="13"/>
        <v>#N/A</v>
      </c>
      <c r="V33" s="774" t="s">
        <v>17</v>
      </c>
      <c r="W33" s="775" t="e">
        <f t="shared" si="14"/>
        <v>#N/A</v>
      </c>
      <c r="X33" s="1816"/>
      <c r="Y33" s="3242"/>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2"/>
      <c r="Q34" s="1798"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2" t="s">
        <v>2568</v>
      </c>
      <c r="Q35" s="1813" t="str">
        <f t="shared" si="11"/>
        <v>市政基础设施</v>
      </c>
      <c r="R35" s="774" t="s">
        <v>17</v>
      </c>
      <c r="S35" s="775">
        <f t="shared" si="12"/>
        <v>100</v>
      </c>
      <c r="T35" s="774" t="s">
        <v>17</v>
      </c>
      <c r="U35" s="775">
        <f t="shared" si="13"/>
        <v>100</v>
      </c>
      <c r="V35" s="774" t="s">
        <v>17</v>
      </c>
      <c r="W35" s="775">
        <f t="shared" si="14"/>
        <v>100</v>
      </c>
      <c r="X35" s="1816"/>
      <c r="Y35" s="3242"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2"/>
      <c r="Q36" s="1813" t="str">
        <f t="shared" si="11"/>
        <v>内部装修</v>
      </c>
      <c r="R36" s="774" t="s">
        <v>17</v>
      </c>
      <c r="S36" s="775">
        <f t="shared" si="12"/>
        <v>100</v>
      </c>
      <c r="T36" s="774" t="s">
        <v>17</v>
      </c>
      <c r="U36" s="775">
        <f t="shared" si="13"/>
        <v>100</v>
      </c>
      <c r="V36" s="774" t="s">
        <v>17</v>
      </c>
      <c r="W36" s="775">
        <f t="shared" si="14"/>
        <v>100</v>
      </c>
      <c r="X36" s="1816"/>
      <c r="Y36" s="3242"/>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2"/>
      <c r="Q37" s="1813" t="str">
        <f t="shared" si="11"/>
        <v>内部装修状况</v>
      </c>
      <c r="R37" s="774" t="s">
        <v>17</v>
      </c>
      <c r="S37" s="775">
        <f t="shared" si="12"/>
        <v>100</v>
      </c>
      <c r="T37" s="774" t="s">
        <v>17</v>
      </c>
      <c r="U37" s="775">
        <f t="shared" si="13"/>
        <v>100</v>
      </c>
      <c r="V37" s="774" t="s">
        <v>17</v>
      </c>
      <c r="W37" s="775">
        <f t="shared" si="14"/>
        <v>100</v>
      </c>
      <c r="X37" s="1816"/>
      <c r="Y37" s="3242"/>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2"/>
      <c r="Q39" s="1813">
        <f t="shared" si="11"/>
        <v>111</v>
      </c>
      <c r="R39" s="774" t="s">
        <v>17</v>
      </c>
      <c r="S39" s="775">
        <f t="shared" si="12"/>
        <v>100</v>
      </c>
      <c r="T39" s="774" t="s">
        <v>17</v>
      </c>
      <c r="U39" s="775">
        <f t="shared" si="13"/>
        <v>100</v>
      </c>
      <c r="V39" s="774" t="s">
        <v>17</v>
      </c>
      <c r="W39" s="775">
        <f t="shared" si="14"/>
        <v>100</v>
      </c>
      <c r="X39" s="1816"/>
      <c r="Y39" s="324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3"/>
      <c r="Q40" s="1813">
        <f t="shared" si="11"/>
        <v>111</v>
      </c>
      <c r="R40" s="774" t="s">
        <v>17</v>
      </c>
      <c r="S40" s="775">
        <f t="shared" si="12"/>
        <v>100</v>
      </c>
      <c r="T40" s="774" t="s">
        <v>17</v>
      </c>
      <c r="U40" s="775">
        <f t="shared" si="13"/>
        <v>100</v>
      </c>
      <c r="V40" s="774" t="s">
        <v>17</v>
      </c>
      <c r="W40" s="775">
        <f t="shared" si="14"/>
        <v>100</v>
      </c>
      <c r="X40" s="1816"/>
      <c r="Y40" s="3243"/>
      <c r="Z40" s="1817">
        <f t="shared" si="15"/>
        <v>111</v>
      </c>
      <c r="AA40" s="1814">
        <f t="shared" si="3"/>
        <v>1</v>
      </c>
      <c r="AB40" s="1814">
        <f t="shared" si="4"/>
        <v>1</v>
      </c>
      <c r="AC40" s="1814">
        <f t="shared" si="5"/>
        <v>1</v>
      </c>
    </row>
    <row r="41" spans="1:29" ht="15">
      <c r="A41" s="479" t="s">
        <v>2580</v>
      </c>
      <c r="B41" s="480"/>
      <c r="C41" s="1409" t="s">
        <v>1</v>
      </c>
      <c r="D41" s="1410"/>
      <c r="E41" s="1411"/>
      <c r="F41" s="1412"/>
      <c r="G41" s="1413"/>
      <c r="H41" s="1414"/>
      <c r="I41" s="1411"/>
      <c r="J41" s="1414"/>
      <c r="K41" s="783"/>
      <c r="L41" s="1145"/>
      <c r="M41" s="1146"/>
      <c r="N41" s="1133"/>
      <c r="O41" s="1146"/>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2672</v>
      </c>
      <c r="B42" s="487"/>
      <c r="C42" s="1415" t="e">
        <f>R43</f>
        <v>#DIV/0!</v>
      </c>
      <c r="D42" s="1416"/>
      <c r="E42" s="1417" t="e">
        <f>R42</f>
        <v>#DIV/0!</v>
      </c>
      <c r="F42" s="1417"/>
      <c r="G42" s="1415" t="e">
        <f>T42</f>
        <v>#DIV/0!</v>
      </c>
      <c r="H42" s="1416"/>
      <c r="I42" s="1417" t="e">
        <f>V42</f>
        <v>#DIV/0!</v>
      </c>
      <c r="J42" s="1416"/>
      <c r="K42" s="784"/>
      <c r="L42" s="1145"/>
      <c r="M42" s="1146"/>
      <c r="N42" s="1133"/>
      <c r="O42" s="1146"/>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2673</v>
      </c>
      <c r="B43" s="493"/>
      <c r="C43" s="1419" t="e">
        <f>R43</f>
        <v>#DIV/0!</v>
      </c>
      <c r="D43" s="1419"/>
      <c r="E43" s="1419"/>
      <c r="F43" s="1419"/>
      <c r="G43" s="1419"/>
      <c r="H43" s="1419"/>
      <c r="I43" s="1419"/>
      <c r="J43" s="1419"/>
      <c r="K43" s="785"/>
      <c r="L43" s="1145"/>
      <c r="M43" s="1146"/>
      <c r="N43" s="1146"/>
      <c r="O43" s="1146"/>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2677</v>
      </c>
      <c r="B51" s="759"/>
      <c r="C51" s="764"/>
      <c r="D51" s="764"/>
      <c r="E51" s="764"/>
      <c r="F51" s="765"/>
      <c r="G51" s="765"/>
      <c r="H51" s="764"/>
      <c r="I51" s="764"/>
      <c r="J51" s="764"/>
      <c r="K51" s="1162"/>
      <c r="L51" s="1163"/>
      <c r="M51" s="1161"/>
      <c r="N51" s="1161"/>
      <c r="O51" s="1161"/>
      <c r="P51" s="503"/>
      <c r="Q51" s="504"/>
    </row>
    <row r="52" spans="1:17" s="508" customFormat="1" ht="15">
      <c r="A52" s="505" t="s">
        <v>2551</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2591</v>
      </c>
      <c r="B57" s="528" t="s">
        <v>2557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2566</v>
      </c>
      <c r="B88" s="528" t="s">
        <v>2615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7253.4400000000014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18" t="s">
        <v>2539</v>
      </c>
      <c r="D4" s="3219"/>
      <c r="E4" s="3220" t="s">
        <v>2540</v>
      </c>
      <c r="F4" s="3221"/>
      <c r="G4" s="3218" t="s">
        <v>2541</v>
      </c>
      <c r="H4" s="3219"/>
      <c r="I4" s="3218" t="s">
        <v>2542</v>
      </c>
      <c r="J4" s="3219"/>
      <c r="K4" s="2599" t="s">
        <v>2543</v>
      </c>
      <c r="L4" s="1132"/>
      <c r="M4" s="1133"/>
      <c r="N4" s="1133"/>
      <c r="O4" s="1133"/>
      <c r="P4" s="3222" t="s">
        <v>2544</v>
      </c>
      <c r="Q4" s="3223"/>
      <c r="R4" s="3205" t="s">
        <v>2540</v>
      </c>
      <c r="S4" s="3206"/>
      <c r="T4" s="3205" t="s">
        <v>2541</v>
      </c>
      <c r="U4" s="3206"/>
      <c r="V4" s="3230" t="s">
        <v>2542</v>
      </c>
      <c r="W4" s="3230"/>
      <c r="X4" s="2943"/>
      <c r="Y4" s="3205" t="s">
        <v>2544</v>
      </c>
      <c r="Z4" s="3206"/>
      <c r="AA4" s="3200" t="s">
        <v>2540</v>
      </c>
      <c r="AB4" s="3200" t="s">
        <v>2541</v>
      </c>
      <c r="AC4" s="3200" t="s">
        <v>2542</v>
      </c>
    </row>
    <row r="5" spans="1:29" ht="15">
      <c r="A5" s="404"/>
      <c r="B5" s="405"/>
      <c r="C5" s="3211" t="s">
        <v>2545</v>
      </c>
      <c r="D5" s="3212"/>
      <c r="E5" s="3209" t="s">
        <v>2546</v>
      </c>
      <c r="F5" s="3210"/>
      <c r="G5" s="3211" t="s">
        <v>2547</v>
      </c>
      <c r="H5" s="3212"/>
      <c r="I5" s="3211" t="s">
        <v>2548</v>
      </c>
      <c r="J5" s="3212"/>
      <c r="K5" s="2600"/>
      <c r="L5" s="1132"/>
      <c r="M5" s="1133"/>
      <c r="N5" s="1133"/>
      <c r="O5" s="1133"/>
      <c r="P5" s="3224"/>
      <c r="Q5" s="3225"/>
      <c r="R5" s="3207"/>
      <c r="S5" s="3208"/>
      <c r="T5" s="3207"/>
      <c r="U5" s="3208"/>
      <c r="V5" s="3230"/>
      <c r="W5" s="3230"/>
      <c r="X5" s="2943"/>
      <c r="Y5" s="3207"/>
      <c r="Z5" s="3208"/>
      <c r="AA5" s="3201"/>
      <c r="AB5" s="3201"/>
      <c r="AC5" s="3201"/>
    </row>
    <row r="6" spans="1:29" ht="15.75" thickBot="1">
      <c r="A6" s="406"/>
      <c r="B6" s="407"/>
      <c r="C6" s="3213" t="s">
        <v>2549</v>
      </c>
      <c r="D6" s="3214"/>
      <c r="E6" s="3215" t="s">
        <v>2549</v>
      </c>
      <c r="F6" s="3216"/>
      <c r="G6" s="3213" t="s">
        <v>2549</v>
      </c>
      <c r="H6" s="3214"/>
      <c r="I6" s="3213" t="s">
        <v>2549</v>
      </c>
      <c r="J6" s="3214"/>
      <c r="K6" s="2600" t="s">
        <v>2550</v>
      </c>
      <c r="L6" s="1132"/>
      <c r="M6" s="1133"/>
      <c r="N6" s="1133"/>
      <c r="O6" s="1133"/>
      <c r="P6" s="3226"/>
      <c r="Q6" s="3227"/>
      <c r="R6" s="3207"/>
      <c r="S6" s="3208"/>
      <c r="T6" s="3228"/>
      <c r="U6" s="3229"/>
      <c r="V6" s="3230"/>
      <c r="W6" s="3230"/>
      <c r="X6" s="2943"/>
      <c r="Y6" s="3228"/>
      <c r="Z6" s="3229"/>
      <c r="AA6" s="3202"/>
      <c r="AB6" s="3202"/>
      <c r="AC6" s="3202"/>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203" t="s">
        <v>2552</v>
      </c>
      <c r="Q7" s="3231"/>
      <c r="R7" s="770" t="s">
        <v>23</v>
      </c>
      <c r="S7" s="771">
        <f t="shared" ref="S7:S15" si="0">F7</f>
        <v>0</v>
      </c>
      <c r="T7" s="770" t="s">
        <v>23</v>
      </c>
      <c r="U7" s="771">
        <f t="shared" ref="U7:U15" si="1">H7</f>
        <v>0</v>
      </c>
      <c r="V7" s="770" t="s">
        <v>23</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203" t="s">
        <v>2555</v>
      </c>
      <c r="Q8" s="3204"/>
      <c r="R8" s="770" t="s">
        <v>23</v>
      </c>
      <c r="S8" s="771">
        <f t="shared" si="0"/>
        <v>0</v>
      </c>
      <c r="T8" s="770" t="s">
        <v>23</v>
      </c>
      <c r="U8" s="771">
        <f t="shared" si="1"/>
        <v>0</v>
      </c>
      <c r="V8" s="770" t="s">
        <v>23</v>
      </c>
      <c r="W8" s="771">
        <f t="shared" si="2"/>
        <v>0</v>
      </c>
      <c r="X8" s="772"/>
      <c r="Y8" s="3203" t="s">
        <v>2555</v>
      </c>
      <c r="Z8" s="320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17" t="s">
        <v>2558</v>
      </c>
      <c r="Q9" s="2929" t="str">
        <f t="shared" ref="Q9:Q15" si="6">B9</f>
        <v>用途</v>
      </c>
      <c r="R9" s="770" t="s">
        <v>17</v>
      </c>
      <c r="S9" s="771">
        <f t="shared" si="0"/>
        <v>100</v>
      </c>
      <c r="T9" s="770" t="s">
        <v>17</v>
      </c>
      <c r="U9" s="771">
        <f t="shared" si="1"/>
        <v>100</v>
      </c>
      <c r="V9" s="770" t="s">
        <v>17</v>
      </c>
      <c r="W9" s="771">
        <f t="shared" si="2"/>
        <v>100</v>
      </c>
      <c r="X9" s="772"/>
      <c r="Y9" s="3077" t="s">
        <v>2559</v>
      </c>
      <c r="Z9" s="2930" t="str">
        <f t="shared" ref="Z9:Z15" si="7">Q9</f>
        <v>用途</v>
      </c>
      <c r="AA9" s="773">
        <f t="shared" si="3"/>
        <v>1</v>
      </c>
      <c r="AB9" s="773">
        <f t="shared" si="4"/>
        <v>1</v>
      </c>
      <c r="AC9" s="773">
        <f t="shared" si="5"/>
        <v>1</v>
      </c>
    </row>
    <row r="10" spans="1:29" s="427" customFormat="1" ht="27">
      <c r="A10" s="421"/>
      <c r="B10" s="2935"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7"/>
      <c r="Q10" s="2929" t="str">
        <f t="shared" si="6"/>
        <v>土地使用年限（年）</v>
      </c>
      <c r="R10" s="770" t="s">
        <v>17</v>
      </c>
      <c r="S10" s="771">
        <f t="shared" si="0"/>
        <v>100</v>
      </c>
      <c r="T10" s="770" t="s">
        <v>17</v>
      </c>
      <c r="U10" s="771">
        <f t="shared" si="1"/>
        <v>100</v>
      </c>
      <c r="V10" s="770" t="s">
        <v>17</v>
      </c>
      <c r="W10" s="771">
        <f t="shared" si="2"/>
        <v>100</v>
      </c>
      <c r="X10" s="772"/>
      <c r="Y10" s="3077"/>
      <c r="Z10" s="2930" t="str">
        <f t="shared" si="7"/>
        <v>土地使用年限（年）</v>
      </c>
      <c r="AA10" s="773">
        <f t="shared" si="3"/>
        <v>1</v>
      </c>
      <c r="AB10" s="773">
        <f t="shared" si="4"/>
        <v>1</v>
      </c>
      <c r="AC10" s="773">
        <f t="shared" si="5"/>
        <v>1</v>
      </c>
    </row>
    <row r="11" spans="1:29" ht="15">
      <c r="A11" s="428"/>
      <c r="B11" s="2935"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7"/>
      <c r="Q11" s="2929" t="str">
        <f t="shared" si="6"/>
        <v>容积率</v>
      </c>
      <c r="R11" s="770" t="s">
        <v>21</v>
      </c>
      <c r="S11" s="771" t="e">
        <f t="shared" si="0"/>
        <v>#N/A</v>
      </c>
      <c r="T11" s="770" t="s">
        <v>21</v>
      </c>
      <c r="U11" s="771" t="e">
        <f t="shared" si="1"/>
        <v>#N/A</v>
      </c>
      <c r="V11" s="770" t="s">
        <v>21</v>
      </c>
      <c r="W11" s="771" t="e">
        <f t="shared" si="2"/>
        <v>#N/A</v>
      </c>
      <c r="X11" s="772"/>
      <c r="Y11" s="3077"/>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17"/>
      <c r="Q12" s="2929">
        <f t="shared" si="6"/>
        <v>111</v>
      </c>
      <c r="R12" s="770" t="s">
        <v>21</v>
      </c>
      <c r="S12" s="771">
        <f t="shared" si="0"/>
        <v>100</v>
      </c>
      <c r="T12" s="770" t="s">
        <v>21</v>
      </c>
      <c r="U12" s="771">
        <f t="shared" si="1"/>
        <v>100</v>
      </c>
      <c r="V12" s="770" t="s">
        <v>21</v>
      </c>
      <c r="W12" s="771">
        <f t="shared" si="2"/>
        <v>100</v>
      </c>
      <c r="X12" s="772"/>
      <c r="Y12" s="3077"/>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17"/>
      <c r="Q13" s="2929">
        <f t="shared" si="6"/>
        <v>111</v>
      </c>
      <c r="R13" s="770" t="s">
        <v>21</v>
      </c>
      <c r="S13" s="771">
        <f t="shared" si="0"/>
        <v>100</v>
      </c>
      <c r="T13" s="770" t="s">
        <v>21</v>
      </c>
      <c r="U13" s="771">
        <f t="shared" si="1"/>
        <v>100</v>
      </c>
      <c r="V13" s="770" t="s">
        <v>21</v>
      </c>
      <c r="W13" s="771">
        <f t="shared" si="2"/>
        <v>100</v>
      </c>
      <c r="X13" s="772"/>
      <c r="Y13" s="3077"/>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17"/>
      <c r="Q14" s="2929">
        <f t="shared" si="6"/>
        <v>111</v>
      </c>
      <c r="R14" s="770" t="s">
        <v>21</v>
      </c>
      <c r="S14" s="771">
        <f t="shared" si="0"/>
        <v>100</v>
      </c>
      <c r="T14" s="770" t="s">
        <v>21</v>
      </c>
      <c r="U14" s="771">
        <f t="shared" si="1"/>
        <v>100</v>
      </c>
      <c r="V14" s="770" t="s">
        <v>21</v>
      </c>
      <c r="W14" s="771">
        <f t="shared" si="2"/>
        <v>100</v>
      </c>
      <c r="X14" s="772"/>
      <c r="Y14" s="3077"/>
      <c r="Z14" s="2930">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4" t="s">
        <v>2563</v>
      </c>
      <c r="Q15" s="2941" t="str">
        <f t="shared" si="6"/>
        <v>居住社区成熟度</v>
      </c>
      <c r="R15" s="774" t="s">
        <v>21</v>
      </c>
      <c r="S15" s="775">
        <f t="shared" si="0"/>
        <v>100</v>
      </c>
      <c r="T15" s="774" t="s">
        <v>21</v>
      </c>
      <c r="U15" s="775">
        <f t="shared" si="1"/>
        <v>100</v>
      </c>
      <c r="V15" s="774" t="s">
        <v>21</v>
      </c>
      <c r="W15" s="775">
        <f t="shared" si="2"/>
        <v>100</v>
      </c>
      <c r="X15" s="2943"/>
      <c r="Y15" s="3237" t="s">
        <v>2563</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45"/>
      <c r="Q16" s="2941"/>
      <c r="R16" s="774"/>
      <c r="S16" s="775"/>
      <c r="T16" s="774"/>
      <c r="U16" s="775"/>
      <c r="V16" s="774"/>
      <c r="W16" s="775"/>
      <c r="X16" s="2943"/>
      <c r="Y16" s="3238"/>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5"/>
      <c r="Q17" s="2941" t="str">
        <f>B17</f>
        <v>交通便捷度</v>
      </c>
      <c r="R17" s="774" t="s">
        <v>21</v>
      </c>
      <c r="S17" s="775">
        <f>F17</f>
        <v>100</v>
      </c>
      <c r="T17" s="774" t="s">
        <v>21</v>
      </c>
      <c r="U17" s="775">
        <f>H17</f>
        <v>100</v>
      </c>
      <c r="V17" s="774" t="s">
        <v>21</v>
      </c>
      <c r="W17" s="775">
        <f>J17</f>
        <v>100</v>
      </c>
      <c r="X17" s="2943"/>
      <c r="Y17" s="3238"/>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45"/>
      <c r="Q18" s="2941"/>
      <c r="R18" s="774"/>
      <c r="S18" s="775"/>
      <c r="T18" s="774"/>
      <c r="U18" s="775"/>
      <c r="V18" s="774"/>
      <c r="W18" s="775"/>
      <c r="X18" s="2943"/>
      <c r="Y18" s="3238"/>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5"/>
      <c r="Q19" s="2941" t="str">
        <f>B19</f>
        <v>公共配套设施</v>
      </c>
      <c r="R19" s="774" t="s">
        <v>21</v>
      </c>
      <c r="S19" s="775">
        <f>F19</f>
        <v>100</v>
      </c>
      <c r="T19" s="774" t="s">
        <v>21</v>
      </c>
      <c r="U19" s="775">
        <f>H19</f>
        <v>100</v>
      </c>
      <c r="V19" s="774" t="s">
        <v>21</v>
      </c>
      <c r="W19" s="775">
        <f>J19</f>
        <v>100</v>
      </c>
      <c r="X19" s="2943"/>
      <c r="Y19" s="3238"/>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45"/>
      <c r="Q20" s="2941"/>
      <c r="R20" s="774"/>
      <c r="S20" s="775"/>
      <c r="T20" s="774"/>
      <c r="U20" s="775"/>
      <c r="V20" s="774"/>
      <c r="W20" s="775"/>
      <c r="X20" s="2943"/>
      <c r="Y20" s="3238"/>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5"/>
      <c r="Q21" s="2941" t="str">
        <f>B21</f>
        <v>基础设施水平</v>
      </c>
      <c r="R21" s="774" t="s">
        <v>17</v>
      </c>
      <c r="S21" s="775">
        <f>F21</f>
        <v>100</v>
      </c>
      <c r="T21" s="774" t="s">
        <v>17</v>
      </c>
      <c r="U21" s="775">
        <f>H21</f>
        <v>100</v>
      </c>
      <c r="V21" s="774" t="s">
        <v>17</v>
      </c>
      <c r="W21" s="775">
        <f>J21</f>
        <v>100</v>
      </c>
      <c r="X21" s="2943"/>
      <c r="Y21" s="3238"/>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45"/>
      <c r="Q22" s="2941"/>
      <c r="R22" s="774"/>
      <c r="S22" s="775"/>
      <c r="T22" s="774"/>
      <c r="U22" s="775"/>
      <c r="V22" s="774"/>
      <c r="W22" s="775"/>
      <c r="X22" s="2943"/>
      <c r="Y22" s="3238"/>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5"/>
      <c r="Q23" s="2941" t="str">
        <f>B23</f>
        <v>自然及人文环境</v>
      </c>
      <c r="R23" s="774" t="s">
        <v>21</v>
      </c>
      <c r="S23" s="775">
        <f>F23</f>
        <v>100</v>
      </c>
      <c r="T23" s="774" t="s">
        <v>21</v>
      </c>
      <c r="U23" s="775">
        <f>H23</f>
        <v>100</v>
      </c>
      <c r="V23" s="774" t="s">
        <v>21</v>
      </c>
      <c r="W23" s="775">
        <f>J23</f>
        <v>100</v>
      </c>
      <c r="X23" s="2943"/>
      <c r="Y23" s="3238"/>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45"/>
      <c r="Q24" s="2941"/>
      <c r="R24" s="774"/>
      <c r="S24" s="775"/>
      <c r="T24" s="774"/>
      <c r="U24" s="775"/>
      <c r="V24" s="774"/>
      <c r="W24" s="775"/>
      <c r="X24" s="2943"/>
      <c r="Y24" s="3238"/>
      <c r="Z24" s="2944"/>
      <c r="AA24" s="2942">
        <v>1</v>
      </c>
      <c r="AB24" s="2942">
        <v>1</v>
      </c>
      <c r="AC24" s="2942">
        <v>1</v>
      </c>
    </row>
    <row r="25" spans="1:29" ht="15">
      <c r="A25" s="428"/>
      <c r="B25" s="2935"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45"/>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238"/>
      <c r="Z25" s="2944" t="str">
        <f>Q25</f>
        <v>楼层-1</v>
      </c>
      <c r="AA25" s="2942">
        <f t="shared" ref="AA25:AA46" si="15">D25/F25</f>
        <v>1</v>
      </c>
      <c r="AB25" s="2942">
        <f t="shared" ref="AB25:AB46" si="16">D25/H25</f>
        <v>1</v>
      </c>
      <c r="AC25" s="2942">
        <f t="shared" ref="AC25:AC46" si="17">D25/J25</f>
        <v>1</v>
      </c>
    </row>
    <row r="26" spans="1:29" ht="15">
      <c r="A26" s="428"/>
      <c r="B26" s="2935"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45"/>
      <c r="Q26" s="2941" t="str">
        <f t="shared" si="11"/>
        <v>朝向</v>
      </c>
      <c r="R26" s="774" t="s">
        <v>21</v>
      </c>
      <c r="S26" s="775">
        <f t="shared" si="12"/>
        <v>100</v>
      </c>
      <c r="T26" s="774" t="s">
        <v>21</v>
      </c>
      <c r="U26" s="775">
        <f t="shared" si="13"/>
        <v>100</v>
      </c>
      <c r="V26" s="774" t="s">
        <v>21</v>
      </c>
      <c r="W26" s="775">
        <f t="shared" si="14"/>
        <v>100</v>
      </c>
      <c r="X26" s="2943"/>
      <c r="Y26" s="3238"/>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45"/>
      <c r="Q27" s="2929">
        <f t="shared" si="11"/>
        <v>111</v>
      </c>
      <c r="R27" s="770" t="s">
        <v>21</v>
      </c>
      <c r="S27" s="771">
        <f t="shared" si="12"/>
        <v>100</v>
      </c>
      <c r="T27" s="770" t="s">
        <v>21</v>
      </c>
      <c r="U27" s="771">
        <f t="shared" si="13"/>
        <v>100</v>
      </c>
      <c r="V27" s="770" t="s">
        <v>21</v>
      </c>
      <c r="W27" s="771">
        <f t="shared" si="14"/>
        <v>100</v>
      </c>
      <c r="X27" s="772"/>
      <c r="Y27" s="3238"/>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45"/>
      <c r="Q28" s="2941">
        <f t="shared" si="11"/>
        <v>111</v>
      </c>
      <c r="R28" s="774" t="s">
        <v>21</v>
      </c>
      <c r="S28" s="775">
        <f t="shared" si="12"/>
        <v>100</v>
      </c>
      <c r="T28" s="774" t="s">
        <v>21</v>
      </c>
      <c r="U28" s="775">
        <f t="shared" si="13"/>
        <v>100</v>
      </c>
      <c r="V28" s="774" t="s">
        <v>21</v>
      </c>
      <c r="W28" s="775">
        <f t="shared" si="14"/>
        <v>100</v>
      </c>
      <c r="X28" s="2943"/>
      <c r="Y28" s="3238"/>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45"/>
      <c r="Q29" s="2941">
        <f t="shared" si="11"/>
        <v>111</v>
      </c>
      <c r="R29" s="774" t="s">
        <v>21</v>
      </c>
      <c r="S29" s="775">
        <f t="shared" si="12"/>
        <v>100</v>
      </c>
      <c r="T29" s="774" t="s">
        <v>21</v>
      </c>
      <c r="U29" s="775">
        <f t="shared" si="13"/>
        <v>100</v>
      </c>
      <c r="V29" s="774" t="s">
        <v>21</v>
      </c>
      <c r="W29" s="775">
        <f t="shared" si="14"/>
        <v>100</v>
      </c>
      <c r="X29" s="2943"/>
      <c r="Y29" s="3238"/>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45"/>
      <c r="Q30" s="2941">
        <f t="shared" si="11"/>
        <v>111</v>
      </c>
      <c r="R30" s="774" t="s">
        <v>21</v>
      </c>
      <c r="S30" s="775">
        <f t="shared" si="12"/>
        <v>100</v>
      </c>
      <c r="T30" s="774" t="s">
        <v>21</v>
      </c>
      <c r="U30" s="775">
        <f t="shared" si="13"/>
        <v>100</v>
      </c>
      <c r="V30" s="774" t="s">
        <v>21</v>
      </c>
      <c r="W30" s="775">
        <f t="shared" si="14"/>
        <v>100</v>
      </c>
      <c r="X30" s="2943"/>
      <c r="Y30" s="3238"/>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45"/>
      <c r="Q31" s="2941">
        <f t="shared" si="11"/>
        <v>111</v>
      </c>
      <c r="R31" s="774" t="s">
        <v>21</v>
      </c>
      <c r="S31" s="775">
        <f t="shared" si="12"/>
        <v>100</v>
      </c>
      <c r="T31" s="774" t="s">
        <v>21</v>
      </c>
      <c r="U31" s="775">
        <f t="shared" si="13"/>
        <v>100</v>
      </c>
      <c r="V31" s="774" t="s">
        <v>21</v>
      </c>
      <c r="W31" s="775">
        <f t="shared" si="14"/>
        <v>100</v>
      </c>
      <c r="X31" s="2943"/>
      <c r="Y31" s="3238"/>
      <c r="Z31" s="2944">
        <f t="shared" si="18"/>
        <v>111</v>
      </c>
      <c r="AA31" s="2942">
        <f t="shared" si="15"/>
        <v>1</v>
      </c>
      <c r="AB31" s="2942">
        <f t="shared" si="16"/>
        <v>1</v>
      </c>
      <c r="AC31" s="2942">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39" t="s">
        <v>2568</v>
      </c>
      <c r="Q32" s="2941" t="str">
        <f t="shared" si="11"/>
        <v>建筑类型</v>
      </c>
      <c r="R32" s="774" t="s">
        <v>21</v>
      </c>
      <c r="S32" s="775">
        <f t="shared" si="12"/>
        <v>100</v>
      </c>
      <c r="T32" s="774" t="s">
        <v>21</v>
      </c>
      <c r="U32" s="775">
        <f t="shared" si="13"/>
        <v>100</v>
      </c>
      <c r="V32" s="774" t="s">
        <v>21</v>
      </c>
      <c r="W32" s="775">
        <f t="shared" si="14"/>
        <v>100</v>
      </c>
      <c r="X32" s="2943"/>
      <c r="Y32" s="3242" t="s">
        <v>2568</v>
      </c>
      <c r="Z32" s="2944" t="str">
        <f t="shared" si="18"/>
        <v>建筑类型</v>
      </c>
      <c r="AA32" s="2942">
        <f t="shared" si="15"/>
        <v>1</v>
      </c>
      <c r="AB32" s="2942">
        <f t="shared" si="16"/>
        <v>1</v>
      </c>
      <c r="AC32" s="2942">
        <f t="shared" si="17"/>
        <v>1</v>
      </c>
    </row>
    <row r="33" spans="1:29" s="471" customFormat="1" ht="15">
      <c r="A33" s="468"/>
      <c r="B33" s="2935"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2942" t="e">
        <f t="shared" si="15"/>
        <v>#N/A</v>
      </c>
      <c r="AB33" s="2942" t="e">
        <f t="shared" si="16"/>
        <v>#N/A</v>
      </c>
      <c r="AC33" s="2942" t="e">
        <f t="shared" si="17"/>
        <v>#N/A</v>
      </c>
    </row>
    <row r="34" spans="1:29" ht="15">
      <c r="A34" s="472"/>
      <c r="B34" s="2935"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40"/>
      <c r="Q34" s="2941" t="str">
        <f t="shared" si="11"/>
        <v>建筑结构</v>
      </c>
      <c r="R34" s="774" t="s">
        <v>21</v>
      </c>
      <c r="S34" s="775">
        <f t="shared" si="12"/>
        <v>100</v>
      </c>
      <c r="T34" s="774" t="s">
        <v>21</v>
      </c>
      <c r="U34" s="775">
        <f t="shared" si="13"/>
        <v>100</v>
      </c>
      <c r="V34" s="774" t="s">
        <v>21</v>
      </c>
      <c r="W34" s="775">
        <f t="shared" si="14"/>
        <v>100</v>
      </c>
      <c r="X34" s="2943"/>
      <c r="Y34" s="3242"/>
      <c r="Z34" s="2944" t="str">
        <f t="shared" si="18"/>
        <v>建筑结构</v>
      </c>
      <c r="AA34" s="2942">
        <f t="shared" si="15"/>
        <v>1</v>
      </c>
      <c r="AB34" s="2942">
        <f t="shared" si="16"/>
        <v>1</v>
      </c>
      <c r="AC34" s="2942">
        <f t="shared" si="17"/>
        <v>1</v>
      </c>
    </row>
    <row r="35" spans="1:29" ht="15">
      <c r="A35" s="472"/>
      <c r="B35" s="2935"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40"/>
      <c r="Q35" s="2941" t="str">
        <f t="shared" si="11"/>
        <v>建筑品质</v>
      </c>
      <c r="R35" s="774" t="s">
        <v>21</v>
      </c>
      <c r="S35" s="775">
        <f t="shared" si="12"/>
        <v>100</v>
      </c>
      <c r="T35" s="774" t="s">
        <v>21</v>
      </c>
      <c r="U35" s="775">
        <f t="shared" si="13"/>
        <v>100</v>
      </c>
      <c r="V35" s="774" t="s">
        <v>21</v>
      </c>
      <c r="W35" s="775">
        <f t="shared" si="14"/>
        <v>100</v>
      </c>
      <c r="X35" s="2943"/>
      <c r="Y35" s="3242"/>
      <c r="Z35" s="2944" t="str">
        <f t="shared" si="18"/>
        <v>建筑品质</v>
      </c>
      <c r="AA35" s="2942">
        <f t="shared" si="15"/>
        <v>1</v>
      </c>
      <c r="AB35" s="2942">
        <f t="shared" si="16"/>
        <v>1</v>
      </c>
      <c r="AC35" s="2942">
        <f t="shared" si="17"/>
        <v>1</v>
      </c>
    </row>
    <row r="36" spans="1:29" ht="15">
      <c r="A36" s="472"/>
      <c r="B36" s="2935"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40"/>
      <c r="Q36" s="2941" t="str">
        <f t="shared" si="11"/>
        <v>公共部分装修</v>
      </c>
      <c r="R36" s="774" t="s">
        <v>21</v>
      </c>
      <c r="S36" s="775">
        <f t="shared" si="12"/>
        <v>100</v>
      </c>
      <c r="T36" s="774" t="s">
        <v>21</v>
      </c>
      <c r="U36" s="775">
        <f t="shared" si="13"/>
        <v>100</v>
      </c>
      <c r="V36" s="774" t="s">
        <v>21</v>
      </c>
      <c r="W36" s="775">
        <f t="shared" si="14"/>
        <v>100</v>
      </c>
      <c r="X36" s="2943"/>
      <c r="Y36" s="3242"/>
      <c r="Z36" s="2944" t="str">
        <f t="shared" si="18"/>
        <v>公共部分装修</v>
      </c>
      <c r="AA36" s="2942">
        <f t="shared" si="15"/>
        <v>1</v>
      </c>
      <c r="AB36" s="2942">
        <f t="shared" si="16"/>
        <v>1</v>
      </c>
      <c r="AC36" s="2942">
        <f t="shared" si="17"/>
        <v>1</v>
      </c>
    </row>
    <row r="37" spans="1:29" s="117" customFormat="1" ht="15">
      <c r="A37" s="473"/>
      <c r="B37" s="2935"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0"/>
      <c r="Q37" s="2929" t="str">
        <f t="shared" si="11"/>
        <v>成新度</v>
      </c>
      <c r="R37" s="770" t="s">
        <v>21</v>
      </c>
      <c r="S37" s="771" t="e">
        <f t="shared" si="12"/>
        <v>#N/A</v>
      </c>
      <c r="T37" s="770" t="s">
        <v>21</v>
      </c>
      <c r="U37" s="771" t="e">
        <f t="shared" si="13"/>
        <v>#N/A</v>
      </c>
      <c r="V37" s="770" t="s">
        <v>21</v>
      </c>
      <c r="W37" s="771" t="e">
        <f t="shared" si="14"/>
        <v>#N/A</v>
      </c>
      <c r="X37" s="772"/>
      <c r="Y37" s="3242"/>
      <c r="Z37" s="2930" t="str">
        <f t="shared" si="18"/>
        <v>成新度</v>
      </c>
      <c r="AA37" s="773" t="e">
        <f t="shared" si="15"/>
        <v>#N/A</v>
      </c>
      <c r="AB37" s="773" t="e">
        <f t="shared" si="16"/>
        <v>#N/A</v>
      </c>
      <c r="AC37" s="773" t="e">
        <f t="shared" si="17"/>
        <v>#N/A</v>
      </c>
    </row>
    <row r="38" spans="1:29" ht="15">
      <c r="A38" s="472"/>
      <c r="B38" s="2935"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40" t="s">
        <v>2568</v>
      </c>
      <c r="Q38" s="2941" t="str">
        <f t="shared" si="11"/>
        <v>物业管理</v>
      </c>
      <c r="R38" s="774" t="s">
        <v>21</v>
      </c>
      <c r="S38" s="775">
        <f t="shared" si="12"/>
        <v>100</v>
      </c>
      <c r="T38" s="774" t="s">
        <v>21</v>
      </c>
      <c r="U38" s="775">
        <f t="shared" si="13"/>
        <v>100</v>
      </c>
      <c r="V38" s="774" t="s">
        <v>21</v>
      </c>
      <c r="W38" s="775">
        <f t="shared" si="14"/>
        <v>100</v>
      </c>
      <c r="X38" s="2943"/>
      <c r="Y38" s="3242" t="s">
        <v>2568</v>
      </c>
      <c r="Z38" s="2944" t="str">
        <f t="shared" si="18"/>
        <v>物业管理</v>
      </c>
      <c r="AA38" s="2942">
        <f t="shared" si="15"/>
        <v>1</v>
      </c>
      <c r="AB38" s="2942">
        <f t="shared" si="16"/>
        <v>1</v>
      </c>
      <c r="AC38" s="2942">
        <f t="shared" si="17"/>
        <v>1</v>
      </c>
    </row>
    <row r="39" spans="1:29" ht="15">
      <c r="A39" s="472"/>
      <c r="B39" s="2935"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40"/>
      <c r="Q39" s="2941" t="str">
        <f t="shared" si="11"/>
        <v>市政基础设施</v>
      </c>
      <c r="R39" s="774" t="s">
        <v>21</v>
      </c>
      <c r="S39" s="775">
        <f t="shared" si="12"/>
        <v>100</v>
      </c>
      <c r="T39" s="774" t="s">
        <v>21</v>
      </c>
      <c r="U39" s="775">
        <f t="shared" si="13"/>
        <v>100</v>
      </c>
      <c r="V39" s="774" t="s">
        <v>21</v>
      </c>
      <c r="W39" s="775">
        <f t="shared" si="14"/>
        <v>100</v>
      </c>
      <c r="X39" s="2943"/>
      <c r="Y39" s="3242"/>
      <c r="Z39" s="2944" t="str">
        <f t="shared" si="18"/>
        <v>市政基础设施</v>
      </c>
      <c r="AA39" s="2942">
        <f t="shared" si="15"/>
        <v>1</v>
      </c>
      <c r="AB39" s="2942">
        <f t="shared" si="16"/>
        <v>1</v>
      </c>
      <c r="AC39" s="2942">
        <f t="shared" si="17"/>
        <v>1</v>
      </c>
    </row>
    <row r="40" spans="1:29" ht="15">
      <c r="A40" s="472"/>
      <c r="B40" s="2935"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40"/>
      <c r="Q40" s="2941" t="str">
        <f t="shared" si="11"/>
        <v>房型</v>
      </c>
      <c r="R40" s="774" t="s">
        <v>21</v>
      </c>
      <c r="S40" s="775">
        <f t="shared" si="12"/>
        <v>100</v>
      </c>
      <c r="T40" s="774" t="s">
        <v>21</v>
      </c>
      <c r="U40" s="775">
        <f t="shared" si="13"/>
        <v>100</v>
      </c>
      <c r="V40" s="774" t="s">
        <v>21</v>
      </c>
      <c r="W40" s="775">
        <f t="shared" si="14"/>
        <v>100</v>
      </c>
      <c r="X40" s="2943"/>
      <c r="Y40" s="3242"/>
      <c r="Z40" s="2944" t="str">
        <f t="shared" si="18"/>
        <v>房型</v>
      </c>
      <c r="AA40" s="2942">
        <f t="shared" si="15"/>
        <v>1</v>
      </c>
      <c r="AB40" s="2942">
        <f t="shared" si="16"/>
        <v>1</v>
      </c>
      <c r="AC40" s="2942">
        <f t="shared" si="17"/>
        <v>1</v>
      </c>
    </row>
    <row r="41" spans="1:29" s="471" customFormat="1" ht="28.5">
      <c r="A41" s="468"/>
      <c r="B41" s="2935"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2942">
        <f t="shared" si="15"/>
        <v>1</v>
      </c>
      <c r="AB41" s="2942">
        <f t="shared" si="16"/>
        <v>1</v>
      </c>
      <c r="AC41" s="2942">
        <f t="shared" si="17"/>
        <v>1</v>
      </c>
    </row>
    <row r="42" spans="1:29" ht="15">
      <c r="A42" s="472"/>
      <c r="B42" s="2935"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40"/>
      <c r="Q42" s="2941" t="str">
        <f t="shared" si="11"/>
        <v>内部装修</v>
      </c>
      <c r="R42" s="774" t="s">
        <v>21</v>
      </c>
      <c r="S42" s="775">
        <f t="shared" si="12"/>
        <v>100</v>
      </c>
      <c r="T42" s="774" t="s">
        <v>21</v>
      </c>
      <c r="U42" s="775">
        <f t="shared" si="13"/>
        <v>100</v>
      </c>
      <c r="V42" s="774" t="s">
        <v>21</v>
      </c>
      <c r="W42" s="775">
        <f t="shared" si="14"/>
        <v>100</v>
      </c>
      <c r="X42" s="2943"/>
      <c r="Y42" s="3242"/>
      <c r="Z42" s="2944" t="str">
        <f t="shared" si="18"/>
        <v>内部装修</v>
      </c>
      <c r="AA42" s="2942">
        <f t="shared" si="15"/>
        <v>1</v>
      </c>
      <c r="AB42" s="2942">
        <f t="shared" si="16"/>
        <v>1</v>
      </c>
      <c r="AC42" s="2942">
        <f t="shared" si="17"/>
        <v>1</v>
      </c>
    </row>
    <row r="43" spans="1:29" ht="15">
      <c r="A43" s="472"/>
      <c r="B43" s="2935"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40"/>
      <c r="Q43" s="2941" t="str">
        <f t="shared" si="11"/>
        <v>内部装修维护情况</v>
      </c>
      <c r="R43" s="774" t="s">
        <v>21</v>
      </c>
      <c r="S43" s="775">
        <f t="shared" si="12"/>
        <v>100</v>
      </c>
      <c r="T43" s="774" t="s">
        <v>21</v>
      </c>
      <c r="U43" s="775">
        <f t="shared" si="13"/>
        <v>100</v>
      </c>
      <c r="V43" s="774" t="s">
        <v>21</v>
      </c>
      <c r="W43" s="775">
        <f t="shared" si="14"/>
        <v>100</v>
      </c>
      <c r="X43" s="2943"/>
      <c r="Y43" s="3242"/>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40"/>
      <c r="Q44" s="2929">
        <f t="shared" si="11"/>
        <v>111</v>
      </c>
      <c r="R44" s="770" t="s">
        <v>21</v>
      </c>
      <c r="S44" s="771">
        <f t="shared" si="12"/>
        <v>100</v>
      </c>
      <c r="T44" s="770" t="s">
        <v>21</v>
      </c>
      <c r="U44" s="771">
        <f t="shared" si="13"/>
        <v>100</v>
      </c>
      <c r="V44" s="770" t="s">
        <v>21</v>
      </c>
      <c r="W44" s="771">
        <f t="shared" si="14"/>
        <v>100</v>
      </c>
      <c r="X44" s="772"/>
      <c r="Y44" s="3242"/>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40"/>
      <c r="Q45" s="2941">
        <f t="shared" si="11"/>
        <v>111</v>
      </c>
      <c r="R45" s="774" t="s">
        <v>21</v>
      </c>
      <c r="S45" s="775">
        <f t="shared" si="12"/>
        <v>100</v>
      </c>
      <c r="T45" s="774" t="s">
        <v>21</v>
      </c>
      <c r="U45" s="775">
        <f t="shared" si="13"/>
        <v>100</v>
      </c>
      <c r="V45" s="774" t="s">
        <v>21</v>
      </c>
      <c r="W45" s="775">
        <f t="shared" si="14"/>
        <v>100</v>
      </c>
      <c r="X45" s="2943"/>
      <c r="Y45" s="3242"/>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41"/>
      <c r="Q46" s="2941">
        <f t="shared" si="11"/>
        <v>111</v>
      </c>
      <c r="R46" s="774" t="s">
        <v>20</v>
      </c>
      <c r="S46" s="775">
        <f t="shared" si="12"/>
        <v>100</v>
      </c>
      <c r="T46" s="774" t="s">
        <v>20</v>
      </c>
      <c r="U46" s="775">
        <f t="shared" si="13"/>
        <v>100</v>
      </c>
      <c r="V46" s="774" t="s">
        <v>20</v>
      </c>
      <c r="W46" s="775">
        <f t="shared" si="14"/>
        <v>100</v>
      </c>
      <c r="X46" s="2943"/>
      <c r="Y46" s="3243"/>
      <c r="Z46" s="2944">
        <f t="shared" si="18"/>
        <v>111</v>
      </c>
      <c r="AA46" s="2942">
        <f t="shared" si="15"/>
        <v>1</v>
      </c>
      <c r="AB46" s="2942">
        <f t="shared" si="16"/>
        <v>1</v>
      </c>
      <c r="AC46" s="2942">
        <f t="shared" si="17"/>
        <v>1</v>
      </c>
    </row>
    <row r="47" spans="1:29" ht="15">
      <c r="A47" s="479" t="s">
        <v>2580</v>
      </c>
      <c r="B47" s="480"/>
      <c r="C47" s="1409" t="s">
        <v>19</v>
      </c>
      <c r="D47" s="1410"/>
      <c r="E47" s="1411"/>
      <c r="F47" s="1412"/>
      <c r="G47" s="1413"/>
      <c r="H47" s="1414"/>
      <c r="I47" s="1411"/>
      <c r="J47" s="1414"/>
      <c r="K47" s="2624"/>
      <c r="L47" s="1145"/>
      <c r="M47" s="1146"/>
      <c r="N47" s="1133"/>
      <c r="O47" s="1146"/>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46" t="s">
        <v>1404</v>
      </c>
      <c r="C6" s="1298">
        <f ca="1">ROUND(F6*F8*F7*(1-F9)/10000,0)</f>
        <v>0</v>
      </c>
      <c r="D6" s="164" t="s">
        <v>3037</v>
      </c>
      <c r="E6" s="347" t="s">
        <v>1406</v>
      </c>
      <c r="F6" s="348">
        <f ca="1">INDIRECT("'数据-取费表'!u"&amp;$G$1)</f>
        <v>0</v>
      </c>
      <c r="G6" s="1854"/>
      <c r="H6" s="1293" t="s">
        <v>1035</v>
      </c>
      <c r="I6" s="3246" t="s">
        <v>1404</v>
      </c>
      <c r="J6" s="346">
        <f ca="1">ROUND(M6*M8*M7*(1-M9)/10000,0)</f>
        <v>0</v>
      </c>
      <c r="K6" s="164" t="s">
        <v>3036</v>
      </c>
      <c r="L6" s="347" t="s">
        <v>1406</v>
      </c>
      <c r="M6" s="348">
        <f ca="1">INDIRECT("'数据-取费表'!z"&amp;$G$1)</f>
        <v>0</v>
      </c>
    </row>
    <row r="7" spans="1:37" ht="18" customHeight="1">
      <c r="A7" s="1297"/>
      <c r="B7" s="3247"/>
      <c r="C7" s="1299"/>
      <c r="D7" s="352"/>
      <c r="E7" s="2940" t="s">
        <v>1407</v>
      </c>
      <c r="F7" s="348">
        <f ca="1">IF(INDIRECT("'数据-取费表'!ah"&amp;$G$1)="",INDIRECT("'数据-取费表'!k"&amp;$G$1),INDIRECT("'数据-取费表'!ah"&amp;$G$1))</f>
        <v>0</v>
      </c>
      <c r="G7" s="1854"/>
      <c r="H7" s="349"/>
      <c r="I7" s="3247"/>
      <c r="J7" s="351"/>
      <c r="K7" s="352"/>
      <c r="L7" s="347" t="s">
        <v>1407</v>
      </c>
      <c r="M7" s="348">
        <f ca="1">F7</f>
        <v>0</v>
      </c>
    </row>
    <row r="8" spans="1:37" ht="18" customHeight="1">
      <c r="A8" s="349"/>
      <c r="B8" s="3247"/>
      <c r="C8" s="351"/>
      <c r="D8" s="352"/>
      <c r="E8" s="347" t="s">
        <v>1408</v>
      </c>
      <c r="F8" s="348">
        <f ca="1">INDIRECT("'数据-取费表'!ai"&amp;$G$1)</f>
        <v>0</v>
      </c>
      <c r="G8" s="1854"/>
      <c r="H8" s="349"/>
      <c r="I8" s="3247"/>
      <c r="J8" s="351"/>
      <c r="K8" s="352"/>
      <c r="L8" s="347" t="s">
        <v>1408</v>
      </c>
      <c r="M8" s="348">
        <f ca="1">INDIRECT("'数据-取费表'!ai"&amp;$G$1)</f>
        <v>0</v>
      </c>
    </row>
    <row r="9" spans="1:37" ht="18" customHeight="1">
      <c r="A9" s="349"/>
      <c r="B9" s="3248"/>
      <c r="C9" s="351"/>
      <c r="D9" s="352"/>
      <c r="E9" s="347" t="s">
        <v>1409</v>
      </c>
      <c r="F9" s="357">
        <f ca="1">INDIRECT("'数据-取费表'!w"&amp;$G$1)</f>
        <v>0</v>
      </c>
      <c r="G9" s="1854"/>
      <c r="H9" s="349"/>
      <c r="I9" s="324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49" t="s">
        <v>1550</v>
      </c>
      <c r="L53" s="3250"/>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0" t="e">
        <f ca="1">IF(C2="——",IF(B37="元/平方米",ROUND(C39*D3/10000,0),ROUND(F3*C39/10000,0)),IF(B37="元/平方米",ROUND(C39*D3/10000,0),ROUND(F3*C39/10000,0))-D2)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01" t="s">
        <v>2651</v>
      </c>
      <c r="AC4" s="3200" t="s">
        <v>2652</v>
      </c>
    </row>
    <row r="5" spans="1:29"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01"/>
      <c r="AC5" s="3201"/>
    </row>
    <row r="6" spans="1:29" ht="15.75" thickBot="1">
      <c r="A6" s="406"/>
      <c r="B6" s="407"/>
      <c r="C6" s="3213" t="s">
        <v>2549</v>
      </c>
      <c r="D6" s="3214"/>
      <c r="E6" s="3215" t="s">
        <v>2549</v>
      </c>
      <c r="F6" s="3216"/>
      <c r="G6" s="3213" t="s">
        <v>2549</v>
      </c>
      <c r="H6" s="3214"/>
      <c r="I6" s="3213" t="s">
        <v>2549</v>
      </c>
      <c r="J6" s="3214"/>
      <c r="K6" s="610" t="s">
        <v>2550</v>
      </c>
      <c r="L6" s="1132"/>
      <c r="M6" s="1133"/>
      <c r="N6" s="1133"/>
      <c r="O6" s="1133"/>
      <c r="P6" s="3226"/>
      <c r="Q6" s="3227"/>
      <c r="R6" s="3207"/>
      <c r="S6" s="3208"/>
      <c r="T6" s="3228"/>
      <c r="U6" s="3229"/>
      <c r="V6" s="3230"/>
      <c r="W6" s="3230"/>
      <c r="X6" s="1816"/>
      <c r="Y6" s="3228"/>
      <c r="Z6" s="3229"/>
      <c r="AA6" s="3202"/>
      <c r="AB6" s="3202"/>
      <c r="AC6" s="3202"/>
    </row>
    <row r="7" spans="1:29" s="117" customFormat="1" ht="15.75" thickBot="1">
      <c r="A7" s="408" t="s">
        <v>2551</v>
      </c>
      <c r="B7" s="409"/>
      <c r="C7" s="410">
        <f>'数据-取费表'!B2</f>
        <v>43109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3" t="s">
        <v>2552</v>
      </c>
      <c r="Q7" s="3231"/>
      <c r="R7" s="770" t="s">
        <v>17</v>
      </c>
      <c r="S7" s="771">
        <f t="shared" ref="S7:S14" si="0">F7</f>
        <v>0</v>
      </c>
      <c r="T7" s="770" t="s">
        <v>17</v>
      </c>
      <c r="U7" s="771">
        <f t="shared" ref="U7:U14" si="1">H7</f>
        <v>0</v>
      </c>
      <c r="V7" s="770" t="s">
        <v>17</v>
      </c>
      <c r="W7" s="771">
        <f t="shared" ref="W7:W14"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35" t="s">
        <v>2558</v>
      </c>
      <c r="Q9" s="1798" t="str">
        <f t="shared" ref="Q9:Q14" si="6">B9</f>
        <v>用途</v>
      </c>
      <c r="R9" s="770" t="s">
        <v>17</v>
      </c>
      <c r="S9" s="771">
        <f t="shared" si="0"/>
        <v>100</v>
      </c>
      <c r="T9" s="770" t="s">
        <v>17</v>
      </c>
      <c r="U9" s="771">
        <f t="shared" si="1"/>
        <v>100</v>
      </c>
      <c r="V9" s="770" t="s">
        <v>17</v>
      </c>
      <c r="W9" s="771">
        <f t="shared" si="2"/>
        <v>100</v>
      </c>
      <c r="X9" s="772"/>
      <c r="Y9" s="307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35"/>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35"/>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35"/>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35"/>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7" t="s">
        <v>2563</v>
      </c>
      <c r="Q14" s="1813" t="str">
        <f t="shared" si="6"/>
        <v>交通便捷度</v>
      </c>
      <c r="R14" s="774" t="s">
        <v>17</v>
      </c>
      <c r="S14" s="775">
        <f t="shared" si="0"/>
        <v>100</v>
      </c>
      <c r="T14" s="774" t="s">
        <v>17</v>
      </c>
      <c r="U14" s="775">
        <f t="shared" si="1"/>
        <v>100</v>
      </c>
      <c r="V14" s="774" t="s">
        <v>17</v>
      </c>
      <c r="W14" s="775">
        <f t="shared" si="2"/>
        <v>100</v>
      </c>
      <c r="X14" s="1816"/>
      <c r="Y14" s="3237"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238"/>
      <c r="Q15" s="1813"/>
      <c r="R15" s="774"/>
      <c r="S15" s="775"/>
      <c r="T15" s="774"/>
      <c r="U15" s="775"/>
      <c r="V15" s="774"/>
      <c r="W15" s="775"/>
      <c r="X15" s="1816"/>
      <c r="Y15" s="3238"/>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8"/>
      <c r="Q16" s="1813" t="str">
        <f>B16</f>
        <v>公共配套设施</v>
      </c>
      <c r="R16" s="774" t="s">
        <v>17</v>
      </c>
      <c r="S16" s="775">
        <f>F16</f>
        <v>100</v>
      </c>
      <c r="T16" s="774" t="s">
        <v>17</v>
      </c>
      <c r="U16" s="775">
        <f>H16</f>
        <v>100</v>
      </c>
      <c r="V16" s="774" t="s">
        <v>17</v>
      </c>
      <c r="W16" s="775">
        <f>J16</f>
        <v>100</v>
      </c>
      <c r="X16" s="1816"/>
      <c r="Y16" s="323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238"/>
      <c r="Q17" s="1813"/>
      <c r="R17" s="774"/>
      <c r="S17" s="775"/>
      <c r="T17" s="774"/>
      <c r="U17" s="775"/>
      <c r="V17" s="774"/>
      <c r="W17" s="775"/>
      <c r="X17" s="1816"/>
      <c r="Y17" s="3238"/>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8"/>
      <c r="Q18" s="1813" t="str">
        <f>B18</f>
        <v>基础设施水平</v>
      </c>
      <c r="R18" s="774" t="s">
        <v>17</v>
      </c>
      <c r="S18" s="775">
        <f>F18</f>
        <v>100</v>
      </c>
      <c r="T18" s="774" t="s">
        <v>17</v>
      </c>
      <c r="U18" s="775">
        <f>H18</f>
        <v>100</v>
      </c>
      <c r="V18" s="774" t="s">
        <v>17</v>
      </c>
      <c r="W18" s="775">
        <f>J18</f>
        <v>100</v>
      </c>
      <c r="X18" s="1816"/>
      <c r="Y18" s="323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238"/>
      <c r="Q19" s="1813"/>
      <c r="R19" s="774"/>
      <c r="S19" s="775"/>
      <c r="T19" s="774"/>
      <c r="U19" s="775"/>
      <c r="V19" s="774"/>
      <c r="W19" s="775"/>
      <c r="X19" s="1816"/>
      <c r="Y19" s="3238"/>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8"/>
      <c r="Q20" s="1813" t="str">
        <f>B20</f>
        <v>自然及人文环境</v>
      </c>
      <c r="R20" s="774" t="s">
        <v>17</v>
      </c>
      <c r="S20" s="775">
        <f>F20</f>
        <v>100</v>
      </c>
      <c r="T20" s="774" t="s">
        <v>17</v>
      </c>
      <c r="U20" s="775">
        <f>H20</f>
        <v>100</v>
      </c>
      <c r="V20" s="774" t="s">
        <v>17</v>
      </c>
      <c r="W20" s="775">
        <f>J20</f>
        <v>100</v>
      </c>
      <c r="X20" s="1816"/>
      <c r="Y20" s="323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238"/>
      <c r="Q21" s="1813"/>
      <c r="R21" s="774"/>
      <c r="S21" s="775"/>
      <c r="T21" s="774"/>
      <c r="U21" s="775"/>
      <c r="V21" s="774"/>
      <c r="W21" s="775"/>
      <c r="X21" s="1816"/>
      <c r="Y21" s="3238"/>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8"/>
      <c r="Q22" s="1813" t="str">
        <f>B22</f>
        <v>楼层</v>
      </c>
      <c r="R22" s="774" t="s">
        <v>17</v>
      </c>
      <c r="S22" s="775">
        <f>F22</f>
        <v>100</v>
      </c>
      <c r="T22" s="774" t="s">
        <v>17</v>
      </c>
      <c r="U22" s="775">
        <f>H22</f>
        <v>100</v>
      </c>
      <c r="V22" s="774" t="s">
        <v>17</v>
      </c>
      <c r="W22" s="775">
        <f>J22</f>
        <v>100</v>
      </c>
      <c r="X22" s="1816"/>
      <c r="Y22" s="323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8"/>
      <c r="Q23" s="1813">
        <f>B23</f>
        <v>111</v>
      </c>
      <c r="R23" s="774" t="s">
        <v>17</v>
      </c>
      <c r="S23" s="775">
        <f>F23</f>
        <v>100</v>
      </c>
      <c r="T23" s="774" t="s">
        <v>17</v>
      </c>
      <c r="U23" s="775">
        <f>H23</f>
        <v>100</v>
      </c>
      <c r="V23" s="774" t="s">
        <v>17</v>
      </c>
      <c r="W23" s="775">
        <f>J23</f>
        <v>100</v>
      </c>
      <c r="X23" s="1816"/>
      <c r="Y23" s="323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8"/>
      <c r="Q24" s="1813">
        <f t="shared" ref="Q24:Q36" si="11">B24</f>
        <v>111</v>
      </c>
      <c r="R24" s="774" t="s">
        <v>17</v>
      </c>
      <c r="S24" s="775">
        <f>F24</f>
        <v>100</v>
      </c>
      <c r="T24" s="774" t="s">
        <v>17</v>
      </c>
      <c r="U24" s="775">
        <f>H24</f>
        <v>100</v>
      </c>
      <c r="V24" s="774" t="s">
        <v>17</v>
      </c>
      <c r="W24" s="775">
        <f>J24</f>
        <v>100</v>
      </c>
      <c r="X24" s="1816"/>
      <c r="Y24" s="323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8"/>
      <c r="Q25" s="1798">
        <f t="shared" si="11"/>
        <v>111</v>
      </c>
      <c r="R25" s="770" t="s">
        <v>17</v>
      </c>
      <c r="S25" s="771">
        <f>F25</f>
        <v>100</v>
      </c>
      <c r="T25" s="770" t="s">
        <v>17</v>
      </c>
      <c r="U25" s="771">
        <f>H25</f>
        <v>100</v>
      </c>
      <c r="V25" s="770" t="s">
        <v>17</v>
      </c>
      <c r="W25" s="771">
        <f>J25</f>
        <v>100</v>
      </c>
      <c r="X25" s="772"/>
      <c r="Y25" s="3238"/>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88"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2"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2"/>
      <c r="Q28" s="1813" t="str">
        <f t="shared" si="11"/>
        <v>公共部分装修</v>
      </c>
      <c r="R28" s="774" t="s">
        <v>17</v>
      </c>
      <c r="S28" s="775">
        <f t="shared" si="12"/>
        <v>100</v>
      </c>
      <c r="T28" s="774" t="s">
        <v>17</v>
      </c>
      <c r="U28" s="775">
        <f t="shared" si="13"/>
        <v>100</v>
      </c>
      <c r="V28" s="774" t="s">
        <v>17</v>
      </c>
      <c r="W28" s="775">
        <f t="shared" si="14"/>
        <v>100</v>
      </c>
      <c r="X28" s="1816"/>
      <c r="Y28" s="3242"/>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2"/>
      <c r="Q29" s="1813" t="str">
        <f t="shared" si="11"/>
        <v>成新率</v>
      </c>
      <c r="R29" s="774" t="s">
        <v>17</v>
      </c>
      <c r="S29" s="775" t="e">
        <f t="shared" si="12"/>
        <v>#N/A</v>
      </c>
      <c r="T29" s="774" t="s">
        <v>17</v>
      </c>
      <c r="U29" s="775" t="e">
        <f t="shared" si="13"/>
        <v>#N/A</v>
      </c>
      <c r="V29" s="774" t="s">
        <v>17</v>
      </c>
      <c r="W29" s="775" t="e">
        <f t="shared" si="14"/>
        <v>#N/A</v>
      </c>
      <c r="X29" s="1816"/>
      <c r="Y29" s="3242"/>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2"/>
      <c r="Q30" s="1813" t="str">
        <f t="shared" si="11"/>
        <v>物业等级</v>
      </c>
      <c r="R30" s="774" t="s">
        <v>17</v>
      </c>
      <c r="S30" s="775">
        <f t="shared" si="12"/>
        <v>100</v>
      </c>
      <c r="T30" s="774" t="s">
        <v>17</v>
      </c>
      <c r="U30" s="775">
        <f t="shared" si="13"/>
        <v>100</v>
      </c>
      <c r="V30" s="774" t="s">
        <v>17</v>
      </c>
      <c r="W30" s="775">
        <f t="shared" si="14"/>
        <v>100</v>
      </c>
      <c r="X30" s="1816"/>
      <c r="Y30" s="3242"/>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2"/>
      <c r="Q31" s="1798"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2" t="s">
        <v>2568</v>
      </c>
      <c r="Q32" s="1813" t="str">
        <f t="shared" si="11"/>
        <v>车位类型</v>
      </c>
      <c r="R32" s="774" t="s">
        <v>17</v>
      </c>
      <c r="S32" s="775">
        <f t="shared" si="12"/>
        <v>100</v>
      </c>
      <c r="T32" s="774" t="s">
        <v>17</v>
      </c>
      <c r="U32" s="775">
        <f t="shared" si="13"/>
        <v>100</v>
      </c>
      <c r="V32" s="774" t="s">
        <v>17</v>
      </c>
      <c r="W32" s="775">
        <f t="shared" si="14"/>
        <v>100</v>
      </c>
      <c r="X32" s="1816"/>
      <c r="Y32" s="3242"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2"/>
      <c r="Q33" s="1813" t="str">
        <f t="shared" si="11"/>
        <v>是否直接入户</v>
      </c>
      <c r="R33" s="774" t="s">
        <v>17</v>
      </c>
      <c r="S33" s="775">
        <f t="shared" si="12"/>
        <v>100</v>
      </c>
      <c r="T33" s="774" t="s">
        <v>17</v>
      </c>
      <c r="U33" s="775">
        <f t="shared" si="13"/>
        <v>100</v>
      </c>
      <c r="V33" s="774" t="s">
        <v>17</v>
      </c>
      <c r="W33" s="775">
        <f t="shared" si="14"/>
        <v>100</v>
      </c>
      <c r="X33" s="1816"/>
      <c r="Y33" s="324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2"/>
      <c r="Q34" s="1813">
        <f t="shared" si="11"/>
        <v>111</v>
      </c>
      <c r="R34" s="774" t="s">
        <v>17</v>
      </c>
      <c r="S34" s="775">
        <f t="shared" si="12"/>
        <v>100</v>
      </c>
      <c r="T34" s="774" t="s">
        <v>17</v>
      </c>
      <c r="U34" s="775">
        <f t="shared" si="13"/>
        <v>100</v>
      </c>
      <c r="V34" s="774" t="s">
        <v>17</v>
      </c>
      <c r="W34" s="775">
        <f t="shared" si="14"/>
        <v>100</v>
      </c>
      <c r="X34" s="1816"/>
      <c r="Y34" s="324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2"/>
      <c r="Q36" s="1813">
        <f t="shared" si="11"/>
        <v>111</v>
      </c>
      <c r="R36" s="774" t="s">
        <v>17</v>
      </c>
      <c r="S36" s="775">
        <f t="shared" si="12"/>
        <v>100</v>
      </c>
      <c r="T36" s="774" t="s">
        <v>17</v>
      </c>
      <c r="U36" s="775">
        <f t="shared" si="13"/>
        <v>100</v>
      </c>
      <c r="V36" s="774" t="s">
        <v>17</v>
      </c>
      <c r="W36" s="775">
        <f t="shared" si="14"/>
        <v>100</v>
      </c>
      <c r="X36" s="1816"/>
      <c r="Y36" s="3242"/>
      <c r="Z36" s="1817">
        <f t="shared" si="15"/>
        <v>111</v>
      </c>
      <c r="AA36" s="1814">
        <f t="shared" si="3"/>
        <v>1</v>
      </c>
      <c r="AB36" s="1814">
        <f t="shared" si="4"/>
        <v>1</v>
      </c>
      <c r="AC36" s="1814">
        <f t="shared" si="5"/>
        <v>1</v>
      </c>
    </row>
    <row r="37" spans="1:29" ht="15">
      <c r="A37" s="479" t="s">
        <v>2723</v>
      </c>
      <c r="B37" s="2698" t="s">
        <v>2724</v>
      </c>
      <c r="C37" s="1409" t="s">
        <v>1</v>
      </c>
      <c r="D37" s="1410"/>
      <c r="E37" s="1411">
        <v>7000</v>
      </c>
      <c r="F37" s="1412"/>
      <c r="G37" s="1413">
        <v>7000</v>
      </c>
      <c r="H37" s="1414"/>
      <c r="I37" s="1411">
        <v>7000</v>
      </c>
      <c r="J37" s="1414"/>
      <c r="K37" s="619"/>
      <c r="L37" s="1145"/>
      <c r="M37" s="1146"/>
      <c r="N37" s="1133"/>
      <c r="O37" s="1146"/>
      <c r="P37" s="3235" t="str">
        <f>A37</f>
        <v>成交单价</v>
      </c>
      <c r="Q37" s="3235"/>
      <c r="R37" s="3236">
        <f>E37</f>
        <v>7000</v>
      </c>
      <c r="S37" s="3236"/>
      <c r="T37" s="3236">
        <f>G37</f>
        <v>7000</v>
      </c>
      <c r="U37" s="3236"/>
      <c r="V37" s="3236">
        <f>I37</f>
        <v>7000</v>
      </c>
      <c r="W37" s="3236"/>
      <c r="X37" s="759"/>
      <c r="Y37" s="781"/>
      <c r="Z37" s="759"/>
      <c r="AA37" s="759"/>
      <c r="AB37" s="759"/>
      <c r="AC37" s="759"/>
    </row>
    <row r="38" spans="1:29" ht="15.75" thickBot="1">
      <c r="A38" s="486" t="s">
        <v>2725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2726</v>
      </c>
      <c r="B39" s="493"/>
      <c r="C39" s="1419" t="e">
        <f>R39</f>
        <v>#DIV/0!</v>
      </c>
      <c r="D39" s="1419"/>
      <c r="E39" s="1419"/>
      <c r="F39" s="1419"/>
      <c r="G39" s="1419"/>
      <c r="H39" s="1419"/>
      <c r="I39" s="1419"/>
      <c r="J39" s="1419"/>
      <c r="K39" s="621"/>
      <c r="L39" s="1145"/>
      <c r="M39" s="1146"/>
      <c r="N39" s="1146"/>
      <c r="O39" s="1146"/>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2731</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2553</v>
      </c>
      <c r="B51" s="510"/>
      <c r="C51" s="522" t="s">
        <v>2655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2591</v>
      </c>
      <c r="B53" s="528" t="s">
        <v>2557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2606</v>
      </c>
      <c r="C65" s="578" t="s">
        <v>2600</v>
      </c>
      <c r="D65" s="578" t="s">
        <v>2601</v>
      </c>
      <c r="E65" s="578" t="s">
        <v>2602</v>
      </c>
      <c r="F65" s="578" t="s">
        <v>2603</v>
      </c>
      <c r="G65" s="578" t="s">
        <v>2604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2692</v>
      </c>
      <c r="C67" s="660" t="s">
        <v>2678</v>
      </c>
      <c r="D67" s="660" t="s">
        <v>2679</v>
      </c>
      <c r="E67" s="660" t="s">
        <v>2680</v>
      </c>
      <c r="F67" s="660" t="s">
        <v>2681</v>
      </c>
      <c r="G67" s="660" t="s">
        <v>2682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2612</v>
      </c>
      <c r="C69" s="578" t="s">
        <v>2600</v>
      </c>
      <c r="D69" s="578" t="s">
        <v>2601</v>
      </c>
      <c r="E69" s="578" t="s">
        <v>2602</v>
      </c>
      <c r="F69" s="578" t="s">
        <v>2603</v>
      </c>
      <c r="G69" s="578" t="s">
        <v>2604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2566</v>
      </c>
      <c r="B79" s="528" t="s">
        <v>2733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46" t="s">
        <v>1404</v>
      </c>
      <c r="C6" s="1298">
        <f ca="1">ROUND(F6*F8*F7*(1-F9)/10000,0)</f>
        <v>0</v>
      </c>
      <c r="D6" s="164" t="s">
        <v>3037</v>
      </c>
      <c r="E6" s="347" t="s">
        <v>1406</v>
      </c>
      <c r="F6" s="348">
        <f ca="1">INDIRECT("'数据-取费表'!u"&amp;$G$1)</f>
        <v>0</v>
      </c>
      <c r="G6" s="1854"/>
      <c r="H6" s="1293" t="s">
        <v>1035</v>
      </c>
      <c r="I6" s="3246" t="s">
        <v>1404</v>
      </c>
      <c r="J6" s="346">
        <f ca="1">ROUND(M6*M8*M7*(1-M9)/10000,0)</f>
        <v>0</v>
      </c>
      <c r="K6" s="164" t="s">
        <v>3036</v>
      </c>
      <c r="L6" s="347" t="s">
        <v>1406</v>
      </c>
      <c r="M6" s="348">
        <f ca="1">INDIRECT("'数据-取费表'!z"&amp;$G$1)</f>
        <v>0</v>
      </c>
    </row>
    <row r="7" spans="1:37" ht="18" customHeight="1">
      <c r="A7" s="1297"/>
      <c r="B7" s="3247"/>
      <c r="C7" s="1299"/>
      <c r="D7" s="352"/>
      <c r="E7" s="2940" t="s">
        <v>1407</v>
      </c>
      <c r="F7" s="348">
        <f ca="1">IF(INDIRECT("'数据-取费表'!ah"&amp;$G$1)="",INDIRECT("'数据-取费表'!k"&amp;$G$1),INDIRECT("'数据-取费表'!ah"&amp;$G$1))</f>
        <v>0</v>
      </c>
      <c r="G7" s="1854"/>
      <c r="H7" s="349"/>
      <c r="I7" s="3247"/>
      <c r="J7" s="351"/>
      <c r="K7" s="352"/>
      <c r="L7" s="347" t="s">
        <v>1407</v>
      </c>
      <c r="M7" s="348">
        <f ca="1">F7</f>
        <v>0</v>
      </c>
    </row>
    <row r="8" spans="1:37" ht="18" customHeight="1">
      <c r="A8" s="349"/>
      <c r="B8" s="3247"/>
      <c r="C8" s="351"/>
      <c r="D8" s="352"/>
      <c r="E8" s="347" t="s">
        <v>1408</v>
      </c>
      <c r="F8" s="348">
        <f ca="1">INDIRECT("'数据-取费表'!ai"&amp;$G$1)</f>
        <v>0</v>
      </c>
      <c r="G8" s="1854"/>
      <c r="H8" s="349"/>
      <c r="I8" s="3247"/>
      <c r="J8" s="351"/>
      <c r="K8" s="352"/>
      <c r="L8" s="347" t="s">
        <v>1408</v>
      </c>
      <c r="M8" s="348">
        <f ca="1">INDIRECT("'数据-取费表'!ai"&amp;$G$1)</f>
        <v>0</v>
      </c>
    </row>
    <row r="9" spans="1:37" ht="18" customHeight="1">
      <c r="A9" s="349"/>
      <c r="B9" s="3248"/>
      <c r="C9" s="351"/>
      <c r="D9" s="352"/>
      <c r="E9" s="347" t="s">
        <v>1409</v>
      </c>
      <c r="F9" s="357">
        <f ca="1">INDIRECT("'数据-取费表'!w"&amp;$G$1)</f>
        <v>0</v>
      </c>
      <c r="G9" s="1854"/>
      <c r="H9" s="349"/>
      <c r="I9" s="3248"/>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49" t="s">
        <v>1550</v>
      </c>
      <c r="L53" s="3250"/>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IF(C2="——",ROUND(C37*D3/10000,0),ROUND(C37*D3/10000,0)-D2)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01" t="s">
        <v>2651</v>
      </c>
      <c r="AC4" s="3200" t="s">
        <v>2652</v>
      </c>
    </row>
    <row r="5" spans="1:29"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01"/>
      <c r="AC5" s="3201"/>
    </row>
    <row r="6" spans="1:29" ht="15.75" thickBot="1">
      <c r="A6" s="406"/>
      <c r="B6" s="407"/>
      <c r="C6" s="3213" t="s">
        <v>2549</v>
      </c>
      <c r="D6" s="3214"/>
      <c r="E6" s="3215" t="s">
        <v>2549</v>
      </c>
      <c r="F6" s="3216"/>
      <c r="G6" s="3213" t="s">
        <v>2549</v>
      </c>
      <c r="H6" s="3214"/>
      <c r="I6" s="3213" t="s">
        <v>2549</v>
      </c>
      <c r="J6" s="3214"/>
      <c r="K6" s="610" t="s">
        <v>2550</v>
      </c>
      <c r="L6" s="1132"/>
      <c r="M6" s="1133"/>
      <c r="N6" s="1133"/>
      <c r="O6" s="1133"/>
      <c r="P6" s="3226"/>
      <c r="Q6" s="3227"/>
      <c r="R6" s="3207"/>
      <c r="S6" s="3208"/>
      <c r="T6" s="3228"/>
      <c r="U6" s="3229"/>
      <c r="V6" s="3230"/>
      <c r="W6" s="3230"/>
      <c r="X6" s="1816"/>
      <c r="Y6" s="3228"/>
      <c r="Z6" s="3229"/>
      <c r="AA6" s="3202"/>
      <c r="AB6" s="3202"/>
      <c r="AC6" s="3202"/>
    </row>
    <row r="7" spans="1:29" s="117" customFormat="1" ht="15.75" thickBot="1">
      <c r="A7" s="408" t="s">
        <v>2551</v>
      </c>
      <c r="B7" s="409"/>
      <c r="C7" s="410">
        <f>'数据-取费表'!B2</f>
        <v>43109</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203" t="s">
        <v>2552</v>
      </c>
      <c r="Q7" s="3231"/>
      <c r="R7" s="770" t="s">
        <v>17</v>
      </c>
      <c r="S7" s="771">
        <f t="shared" ref="S7:S14" si="0">F7</f>
        <v>0</v>
      </c>
      <c r="T7" s="770" t="s">
        <v>17</v>
      </c>
      <c r="U7" s="771">
        <f t="shared" ref="U7:U14" si="1">H7</f>
        <v>0</v>
      </c>
      <c r="V7" s="770" t="s">
        <v>17</v>
      </c>
      <c r="W7" s="771">
        <f t="shared" ref="W7:W14" si="2">J7</f>
        <v>0</v>
      </c>
      <c r="X7" s="772"/>
      <c r="Y7" s="3203" t="s">
        <v>2552</v>
      </c>
      <c r="Z7" s="320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35" t="s">
        <v>2558</v>
      </c>
      <c r="Q9" s="1798" t="str">
        <f t="shared" ref="Q9:Q14" si="6">B9</f>
        <v>用途</v>
      </c>
      <c r="R9" s="770" t="s">
        <v>17</v>
      </c>
      <c r="S9" s="771">
        <f t="shared" si="0"/>
        <v>100</v>
      </c>
      <c r="T9" s="770" t="s">
        <v>17</v>
      </c>
      <c r="U9" s="771">
        <f t="shared" si="1"/>
        <v>100</v>
      </c>
      <c r="V9" s="770" t="s">
        <v>17</v>
      </c>
      <c r="W9" s="771">
        <f t="shared" si="2"/>
        <v>100</v>
      </c>
      <c r="X9" s="772"/>
      <c r="Y9" s="307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35"/>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35"/>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35"/>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235"/>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7" t="s">
        <v>2563</v>
      </c>
      <c r="Q14" s="1813" t="str">
        <f t="shared" si="6"/>
        <v>交通便捷度</v>
      </c>
      <c r="R14" s="774" t="s">
        <v>17</v>
      </c>
      <c r="S14" s="775">
        <f t="shared" si="0"/>
        <v>100</v>
      </c>
      <c r="T14" s="774" t="s">
        <v>17</v>
      </c>
      <c r="U14" s="775">
        <f t="shared" si="1"/>
        <v>100</v>
      </c>
      <c r="V14" s="774" t="s">
        <v>17</v>
      </c>
      <c r="W14" s="775">
        <f t="shared" si="2"/>
        <v>100</v>
      </c>
      <c r="X14" s="1816"/>
      <c r="Y14" s="3237"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238"/>
      <c r="Q15" s="1813"/>
      <c r="R15" s="774"/>
      <c r="S15" s="775"/>
      <c r="T15" s="774"/>
      <c r="U15" s="775"/>
      <c r="V15" s="774"/>
      <c r="W15" s="775"/>
      <c r="X15" s="1816"/>
      <c r="Y15" s="3238"/>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8"/>
      <c r="Q16" s="1813" t="str">
        <f>B16</f>
        <v>公共配套设施</v>
      </c>
      <c r="R16" s="774" t="s">
        <v>17</v>
      </c>
      <c r="S16" s="775">
        <f>F16</f>
        <v>100</v>
      </c>
      <c r="T16" s="774" t="s">
        <v>17</v>
      </c>
      <c r="U16" s="775">
        <f>H16</f>
        <v>100</v>
      </c>
      <c r="V16" s="774" t="s">
        <v>17</v>
      </c>
      <c r="W16" s="775">
        <f>J16</f>
        <v>100</v>
      </c>
      <c r="X16" s="1816"/>
      <c r="Y16" s="323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238"/>
      <c r="Q17" s="1813"/>
      <c r="R17" s="774"/>
      <c r="S17" s="775"/>
      <c r="T17" s="774"/>
      <c r="U17" s="775"/>
      <c r="V17" s="774"/>
      <c r="W17" s="775"/>
      <c r="X17" s="1816"/>
      <c r="Y17" s="3238"/>
      <c r="Z17" s="1817"/>
      <c r="AA17" s="1814">
        <v>1</v>
      </c>
      <c r="AB17" s="1814">
        <v>1</v>
      </c>
      <c r="AC17" s="1814">
        <v>1</v>
      </c>
    </row>
    <row r="18" spans="1:29" ht="28.5">
      <c r="A18" s="428"/>
      <c r="B18" s="1386"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8"/>
      <c r="Q18" s="1813" t="str">
        <f>B18</f>
        <v>基础设施水平</v>
      </c>
      <c r="R18" s="774" t="s">
        <v>17</v>
      </c>
      <c r="S18" s="775">
        <f>F18</f>
        <v>100</v>
      </c>
      <c r="T18" s="774" t="s">
        <v>17</v>
      </c>
      <c r="U18" s="775">
        <f>H18</f>
        <v>100</v>
      </c>
      <c r="V18" s="774" t="s">
        <v>17</v>
      </c>
      <c r="W18" s="775">
        <f>J18</f>
        <v>100</v>
      </c>
      <c r="X18" s="1816"/>
      <c r="Y18" s="3238"/>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238"/>
      <c r="Q19" s="1813"/>
      <c r="R19" s="774"/>
      <c r="S19" s="775"/>
      <c r="T19" s="774"/>
      <c r="U19" s="775"/>
      <c r="V19" s="774"/>
      <c r="W19" s="775"/>
      <c r="X19" s="1816"/>
      <c r="Y19" s="3238"/>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8"/>
      <c r="Q20" s="1813" t="str">
        <f>B20</f>
        <v>自然及人文环境</v>
      </c>
      <c r="R20" s="774" t="s">
        <v>17</v>
      </c>
      <c r="S20" s="775">
        <f>F20</f>
        <v>100</v>
      </c>
      <c r="T20" s="774" t="s">
        <v>17</v>
      </c>
      <c r="U20" s="775">
        <f>H20</f>
        <v>100</v>
      </c>
      <c r="V20" s="774" t="s">
        <v>17</v>
      </c>
      <c r="W20" s="775">
        <f>J20</f>
        <v>100</v>
      </c>
      <c r="X20" s="1816"/>
      <c r="Y20" s="323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238"/>
      <c r="Q21" s="1813"/>
      <c r="R21" s="774"/>
      <c r="S21" s="775"/>
      <c r="T21" s="774"/>
      <c r="U21" s="775"/>
      <c r="V21" s="774"/>
      <c r="W21" s="775"/>
      <c r="X21" s="1816"/>
      <c r="Y21" s="3238"/>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8"/>
      <c r="Q22" s="1813" t="str">
        <f>B22</f>
        <v>楼层</v>
      </c>
      <c r="R22" s="774" t="s">
        <v>17</v>
      </c>
      <c r="S22" s="775">
        <f>F22</f>
        <v>100</v>
      </c>
      <c r="T22" s="774" t="s">
        <v>17</v>
      </c>
      <c r="U22" s="775">
        <f>H22</f>
        <v>100</v>
      </c>
      <c r="V22" s="774" t="s">
        <v>17</v>
      </c>
      <c r="W22" s="775">
        <f>J22</f>
        <v>100</v>
      </c>
      <c r="X22" s="1816"/>
      <c r="Y22" s="323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8"/>
      <c r="Q23" s="1813">
        <f>B23</f>
        <v>111</v>
      </c>
      <c r="R23" s="774" t="s">
        <v>17</v>
      </c>
      <c r="S23" s="775">
        <f>F23</f>
        <v>100</v>
      </c>
      <c r="T23" s="774" t="s">
        <v>17</v>
      </c>
      <c r="U23" s="775">
        <f>H23</f>
        <v>100</v>
      </c>
      <c r="V23" s="774" t="s">
        <v>17</v>
      </c>
      <c r="W23" s="775">
        <f>J23</f>
        <v>100</v>
      </c>
      <c r="X23" s="1816"/>
      <c r="Y23" s="323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8"/>
      <c r="Q24" s="1813">
        <f t="shared" ref="Q24:Q34" si="11">B24</f>
        <v>111</v>
      </c>
      <c r="R24" s="774" t="s">
        <v>17</v>
      </c>
      <c r="S24" s="775">
        <f>F24</f>
        <v>100</v>
      </c>
      <c r="T24" s="774" t="s">
        <v>17</v>
      </c>
      <c r="U24" s="775">
        <f>H24</f>
        <v>100</v>
      </c>
      <c r="V24" s="774" t="s">
        <v>17</v>
      </c>
      <c r="W24" s="775">
        <f>J24</f>
        <v>100</v>
      </c>
      <c r="X24" s="1816"/>
      <c r="Y24" s="323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238"/>
      <c r="Q25" s="1798">
        <f t="shared" si="11"/>
        <v>111</v>
      </c>
      <c r="R25" s="770" t="s">
        <v>17</v>
      </c>
      <c r="S25" s="771">
        <f>F25</f>
        <v>100</v>
      </c>
      <c r="T25" s="770" t="s">
        <v>17</v>
      </c>
      <c r="U25" s="771">
        <f>H25</f>
        <v>100</v>
      </c>
      <c r="V25" s="770" t="s">
        <v>17</v>
      </c>
      <c r="W25" s="771">
        <f>J25</f>
        <v>100</v>
      </c>
      <c r="X25" s="772"/>
      <c r="Y25" s="3238"/>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288"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2"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2"/>
      <c r="Q28" s="1813" t="str">
        <f t="shared" si="11"/>
        <v>物业等级</v>
      </c>
      <c r="R28" s="774" t="s">
        <v>17</v>
      </c>
      <c r="S28" s="775">
        <f t="shared" si="12"/>
        <v>100</v>
      </c>
      <c r="T28" s="774" t="s">
        <v>17</v>
      </c>
      <c r="U28" s="775">
        <f t="shared" si="13"/>
        <v>100</v>
      </c>
      <c r="V28" s="774" t="s">
        <v>17</v>
      </c>
      <c r="W28" s="775">
        <f t="shared" si="14"/>
        <v>100</v>
      </c>
      <c r="X28" s="1816"/>
      <c r="Y28" s="3242"/>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2"/>
      <c r="Q29" s="1813" t="str">
        <f t="shared" si="11"/>
        <v>有无电梯</v>
      </c>
      <c r="R29" s="774" t="s">
        <v>17</v>
      </c>
      <c r="S29" s="775">
        <f t="shared" si="12"/>
        <v>100</v>
      </c>
      <c r="T29" s="774" t="s">
        <v>17</v>
      </c>
      <c r="U29" s="775">
        <f t="shared" si="13"/>
        <v>100</v>
      </c>
      <c r="V29" s="774" t="s">
        <v>17</v>
      </c>
      <c r="W29" s="775">
        <f t="shared" si="14"/>
        <v>100</v>
      </c>
      <c r="X29" s="1816"/>
      <c r="Y29" s="3242"/>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2"/>
      <c r="Q30" s="1813" t="str">
        <f t="shared" si="11"/>
        <v>建筑面积</v>
      </c>
      <c r="R30" s="774" t="s">
        <v>17</v>
      </c>
      <c r="S30" s="775" t="e">
        <f t="shared" si="12"/>
        <v>#N/A</v>
      </c>
      <c r="T30" s="774" t="s">
        <v>17</v>
      </c>
      <c r="U30" s="775" t="e">
        <f t="shared" si="13"/>
        <v>#N/A</v>
      </c>
      <c r="V30" s="774" t="s">
        <v>17</v>
      </c>
      <c r="W30" s="775" t="e">
        <f t="shared" si="14"/>
        <v>#N/A</v>
      </c>
      <c r="X30" s="1816"/>
      <c r="Y30" s="3242"/>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2"/>
      <c r="Q31" s="1798"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2" t="s">
        <v>2568</v>
      </c>
      <c r="Q32" s="1813">
        <f t="shared" si="11"/>
        <v>111</v>
      </c>
      <c r="R32" s="774" t="s">
        <v>17</v>
      </c>
      <c r="S32" s="775">
        <f t="shared" si="12"/>
        <v>100</v>
      </c>
      <c r="T32" s="774" t="s">
        <v>17</v>
      </c>
      <c r="U32" s="775">
        <f t="shared" si="13"/>
        <v>100</v>
      </c>
      <c r="V32" s="774" t="s">
        <v>17</v>
      </c>
      <c r="W32" s="775">
        <f t="shared" si="14"/>
        <v>100</v>
      </c>
      <c r="X32" s="1816"/>
      <c r="Y32" s="3242"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2"/>
      <c r="Q33" s="1813">
        <f t="shared" si="11"/>
        <v>111</v>
      </c>
      <c r="R33" s="774" t="s">
        <v>17</v>
      </c>
      <c r="S33" s="775">
        <f t="shared" si="12"/>
        <v>100</v>
      </c>
      <c r="T33" s="774" t="s">
        <v>17</v>
      </c>
      <c r="U33" s="775">
        <f t="shared" si="13"/>
        <v>100</v>
      </c>
      <c r="V33" s="774" t="s">
        <v>17</v>
      </c>
      <c r="W33" s="775">
        <f t="shared" si="14"/>
        <v>100</v>
      </c>
      <c r="X33" s="1816"/>
      <c r="Y33" s="324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242"/>
      <c r="Q34" s="1813">
        <f t="shared" si="11"/>
        <v>111</v>
      </c>
      <c r="R34" s="774" t="s">
        <v>17</v>
      </c>
      <c r="S34" s="775">
        <f t="shared" si="12"/>
        <v>100</v>
      </c>
      <c r="T34" s="774" t="s">
        <v>17</v>
      </c>
      <c r="U34" s="775">
        <f t="shared" si="13"/>
        <v>100</v>
      </c>
      <c r="V34" s="774" t="s">
        <v>17</v>
      </c>
      <c r="W34" s="775">
        <f t="shared" si="14"/>
        <v>100</v>
      </c>
      <c r="X34" s="1816"/>
      <c r="Y34" s="3242"/>
      <c r="Z34" s="1817">
        <f t="shared" si="15"/>
        <v>111</v>
      </c>
      <c r="AA34" s="1814">
        <f t="shared" si="3"/>
        <v>1</v>
      </c>
      <c r="AB34" s="1814">
        <f t="shared" si="4"/>
        <v>1</v>
      </c>
      <c r="AC34" s="1814">
        <f t="shared" si="5"/>
        <v>1</v>
      </c>
    </row>
    <row r="35" spans="1:29" ht="15">
      <c r="A35" s="479" t="s">
        <v>2580</v>
      </c>
      <c r="B35" s="480"/>
      <c r="C35" s="1409" t="s">
        <v>1</v>
      </c>
      <c r="D35" s="1410"/>
      <c r="E35" s="1411"/>
      <c r="F35" s="1412"/>
      <c r="G35" s="1413"/>
      <c r="H35" s="1414"/>
      <c r="I35" s="1411"/>
      <c r="J35" s="1414"/>
      <c r="K35" s="783"/>
      <c r="L35" s="1145"/>
      <c r="M35" s="1146"/>
      <c r="N35" s="1133"/>
      <c r="O35" s="1146"/>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2672</v>
      </c>
      <c r="B36" s="487"/>
      <c r="C36" s="1415" t="e">
        <f>R37</f>
        <v>#DIV/0!</v>
      </c>
      <c r="D36" s="1416"/>
      <c r="E36" s="1417" t="e">
        <f>R36</f>
        <v>#DIV/0!</v>
      </c>
      <c r="F36" s="1417"/>
      <c r="G36" s="1415" t="e">
        <f>T36</f>
        <v>#DIV/0!</v>
      </c>
      <c r="H36" s="1416"/>
      <c r="I36" s="1417" t="e">
        <f>V36</f>
        <v>#DIV/0!</v>
      </c>
      <c r="J36" s="1416"/>
      <c r="K36" s="784"/>
      <c r="L36" s="1145"/>
      <c r="M36" s="1146"/>
      <c r="N36" s="1133"/>
      <c r="O36" s="1146"/>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2673</v>
      </c>
      <c r="B37" s="493"/>
      <c r="C37" s="1419" t="e">
        <f>R37</f>
        <v>#DIV/0!</v>
      </c>
      <c r="D37" s="1419"/>
      <c r="E37" s="1419"/>
      <c r="F37" s="1419"/>
      <c r="G37" s="1419"/>
      <c r="H37" s="1419"/>
      <c r="I37" s="1419"/>
      <c r="J37" s="1419"/>
      <c r="K37" s="785"/>
      <c r="L37" s="1145"/>
      <c r="M37" s="1146"/>
      <c r="N37" s="1146"/>
      <c r="O37" s="1146"/>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2591</v>
      </c>
      <c r="B51" s="528" t="s">
        <v>2557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2566</v>
      </c>
      <c r="B77" s="528" t="s">
        <v>2619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01" t="s">
        <v>2651</v>
      </c>
      <c r="AC4" s="3200" t="s">
        <v>2652</v>
      </c>
    </row>
    <row r="5" spans="1:30"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01"/>
      <c r="AC5" s="3201"/>
    </row>
    <row r="6" spans="1:30" ht="15.75" thickBot="1">
      <c r="A6" s="406"/>
      <c r="B6" s="407"/>
      <c r="C6" s="3213" t="s">
        <v>2549</v>
      </c>
      <c r="D6" s="3214"/>
      <c r="E6" s="3215" t="s">
        <v>2549</v>
      </c>
      <c r="F6" s="3216"/>
      <c r="G6" s="3213" t="s">
        <v>2549</v>
      </c>
      <c r="H6" s="3214"/>
      <c r="I6" s="3213" t="s">
        <v>2549</v>
      </c>
      <c r="J6" s="3214"/>
      <c r="K6" s="610" t="s">
        <v>2550</v>
      </c>
      <c r="L6" s="1132"/>
      <c r="M6" s="1133"/>
      <c r="N6" s="1133"/>
      <c r="O6" s="1133"/>
      <c r="P6" s="3226"/>
      <c r="Q6" s="3227"/>
      <c r="R6" s="3207"/>
      <c r="S6" s="3208"/>
      <c r="T6" s="3228"/>
      <c r="U6" s="3229"/>
      <c r="V6" s="3230"/>
      <c r="W6" s="3230"/>
      <c r="X6" s="1816"/>
      <c r="Y6" s="3228"/>
      <c r="Z6" s="3229"/>
      <c r="AA6" s="3202"/>
      <c r="AB6" s="3202"/>
      <c r="AC6" s="3202"/>
    </row>
    <row r="7" spans="1:30" s="117" customFormat="1" ht="15.75" thickBot="1">
      <c r="A7" s="408" t="s">
        <v>2551</v>
      </c>
      <c r="B7" s="409"/>
      <c r="C7" s="410">
        <f>'数据-取费表'!B2</f>
        <v>43109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4"/>
      <c r="M7" s="1135"/>
      <c r="N7" s="1135"/>
      <c r="O7" s="1135"/>
      <c r="P7" s="3203" t="s">
        <v>2552</v>
      </c>
      <c r="Q7" s="3231"/>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45" si="3">D8/F8</f>
        <v>#DIV/0!</v>
      </c>
      <c r="AB8" s="773" t="e">
        <f t="shared" ref="AB8:AB45" si="4">D8/H8</f>
        <v>#DIV/0!</v>
      </c>
      <c r="AC8" s="773"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4"/>
      <c r="M9" s="1135"/>
      <c r="N9" s="1135"/>
      <c r="O9" s="1136"/>
      <c r="P9" s="3235"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116</v>
      </c>
      <c r="G10" s="463"/>
      <c r="H10" s="136">
        <f>ROUND(100/'数据-取费表'!G16,0)</f>
        <v>116</v>
      </c>
      <c r="I10" s="463"/>
      <c r="J10" s="136">
        <f>ROUND(100/'数据-取费表'!G16,0)</f>
        <v>116</v>
      </c>
      <c r="K10" s="672"/>
      <c r="L10" s="1137"/>
      <c r="M10" s="1138"/>
      <c r="N10" s="1138"/>
      <c r="O10" s="1139"/>
      <c r="P10" s="3235"/>
      <c r="Q10" s="1798" t="str">
        <f t="shared" si="6"/>
        <v>土地使用年限（年）</v>
      </c>
      <c r="R10" s="770" t="s">
        <v>17</v>
      </c>
      <c r="S10" s="771">
        <f t="shared" si="0"/>
        <v>116</v>
      </c>
      <c r="T10" s="770" t="s">
        <v>17</v>
      </c>
      <c r="U10" s="771">
        <f t="shared" si="1"/>
        <v>116</v>
      </c>
      <c r="V10" s="770" t="s">
        <v>17</v>
      </c>
      <c r="W10" s="771">
        <f t="shared" si="2"/>
        <v>116</v>
      </c>
      <c r="X10" s="772"/>
      <c r="Y10" s="3077"/>
      <c r="Z10" s="55" t="str">
        <f t="shared" si="7"/>
        <v>土地使用年限（年）</v>
      </c>
      <c r="AA10" s="773">
        <f t="shared" si="3"/>
        <v>0.86206896551724133</v>
      </c>
      <c r="AB10" s="773">
        <f t="shared" si="4"/>
        <v>0.86206896551724133</v>
      </c>
      <c r="AC10" s="773">
        <f t="shared" si="5"/>
        <v>0.86206896551724133</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35"/>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35"/>
      <c r="Q12" s="1798"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35"/>
      <c r="Q13" s="1798">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35"/>
      <c r="Q14" s="1798">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2562</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7" t="s">
        <v>2563</v>
      </c>
      <c r="Q15" s="1813" t="str">
        <f t="shared" si="6"/>
        <v>居住社区成熟度</v>
      </c>
      <c r="R15" s="774" t="s">
        <v>17</v>
      </c>
      <c r="S15" s="775">
        <f t="shared" si="0"/>
        <v>100</v>
      </c>
      <c r="T15" s="774" t="s">
        <v>17</v>
      </c>
      <c r="U15" s="775">
        <f t="shared" si="1"/>
        <v>100</v>
      </c>
      <c r="V15" s="774" t="s">
        <v>17</v>
      </c>
      <c r="W15" s="775">
        <f t="shared" si="2"/>
        <v>100</v>
      </c>
      <c r="X15" s="1816"/>
      <c r="Y15" s="3237" t="s">
        <v>2563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2"/>
      <c r="M16" s="1133"/>
      <c r="N16" s="1133"/>
      <c r="O16" s="1141"/>
      <c r="P16" s="3238"/>
      <c r="Q16" s="1813"/>
      <c r="R16" s="774"/>
      <c r="S16" s="775"/>
      <c r="T16" s="774"/>
      <c r="U16" s="775"/>
      <c r="V16" s="774"/>
      <c r="W16" s="775"/>
      <c r="X16" s="1816"/>
      <c r="Y16" s="3238"/>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8"/>
      <c r="Q17" s="1813" t="str">
        <f>B17</f>
        <v>商业繁华度</v>
      </c>
      <c r="R17" s="774" t="s">
        <v>17</v>
      </c>
      <c r="S17" s="775">
        <f>F17</f>
        <v>100</v>
      </c>
      <c r="T17" s="774" t="s">
        <v>17</v>
      </c>
      <c r="U17" s="775">
        <f>H17</f>
        <v>100</v>
      </c>
      <c r="V17" s="774" t="s">
        <v>17</v>
      </c>
      <c r="W17" s="775">
        <f>J17</f>
        <v>100</v>
      </c>
      <c r="X17" s="1816"/>
      <c r="Y17" s="323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2"/>
      <c r="M18" s="1133"/>
      <c r="N18" s="1133"/>
      <c r="O18" s="1141"/>
      <c r="P18" s="3238"/>
      <c r="Q18" s="1813"/>
      <c r="R18" s="774"/>
      <c r="S18" s="775"/>
      <c r="T18" s="774"/>
      <c r="U18" s="775"/>
      <c r="V18" s="774"/>
      <c r="W18" s="775"/>
      <c r="X18" s="1816"/>
      <c r="Y18" s="3238"/>
      <c r="Z18" s="1817"/>
      <c r="AA18" s="1814">
        <v>1</v>
      </c>
      <c r="AB18" s="1814">
        <v>1</v>
      </c>
      <c r="AC18" s="1814">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8"/>
      <c r="Q19" s="1813" t="str">
        <f>B19</f>
        <v>办公集聚程度</v>
      </c>
      <c r="R19" s="774" t="s">
        <v>17</v>
      </c>
      <c r="S19" s="775">
        <f>F19</f>
        <v>100</v>
      </c>
      <c r="T19" s="774" t="s">
        <v>17</v>
      </c>
      <c r="U19" s="775">
        <f>H19</f>
        <v>100</v>
      </c>
      <c r="V19" s="774" t="s">
        <v>17</v>
      </c>
      <c r="W19" s="775">
        <f>J19</f>
        <v>100</v>
      </c>
      <c r="X19" s="1816"/>
      <c r="Y19" s="323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2"/>
      <c r="M20" s="1133"/>
      <c r="N20" s="1133"/>
      <c r="O20" s="1141"/>
      <c r="P20" s="3238"/>
      <c r="Q20" s="1813"/>
      <c r="R20" s="774"/>
      <c r="S20" s="775"/>
      <c r="T20" s="774"/>
      <c r="U20" s="775"/>
      <c r="V20" s="774"/>
      <c r="W20" s="775"/>
      <c r="X20" s="1816"/>
      <c r="Y20" s="3238"/>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8"/>
      <c r="Q21" s="1813" t="str">
        <f>B21</f>
        <v>交通便捷度</v>
      </c>
      <c r="R21" s="774" t="s">
        <v>17</v>
      </c>
      <c r="S21" s="775">
        <f>F21</f>
        <v>100</v>
      </c>
      <c r="T21" s="774" t="s">
        <v>17</v>
      </c>
      <c r="U21" s="775">
        <f>H21</f>
        <v>100</v>
      </c>
      <c r="V21" s="774" t="s">
        <v>17</v>
      </c>
      <c r="W21" s="775">
        <f>J21</f>
        <v>100</v>
      </c>
      <c r="X21" s="1816"/>
      <c r="Y21" s="3238"/>
      <c r="Z21" s="1817" t="str">
        <f>Q21</f>
        <v>交通便捷度</v>
      </c>
      <c r="AA21" s="1814">
        <f t="shared" si="3"/>
        <v>1</v>
      </c>
      <c r="AB21" s="1814">
        <f t="shared" si="4"/>
        <v>1</v>
      </c>
      <c r="AC21" s="1814">
        <f t="shared" si="5"/>
        <v>1</v>
      </c>
    </row>
    <row r="22" spans="1:29" ht="15">
      <c r="A22" s="428"/>
      <c r="B22" s="1386"/>
      <c r="C22" s="447"/>
      <c r="D22" s="450"/>
      <c r="E22" s="2608"/>
      <c r="F22" s="448"/>
      <c r="G22" s="2608"/>
      <c r="H22" s="448"/>
      <c r="I22" s="2607"/>
      <c r="J22" s="448"/>
      <c r="K22" s="672"/>
      <c r="L22" s="1142"/>
      <c r="M22" s="1133"/>
      <c r="N22" s="1133"/>
      <c r="O22" s="1141"/>
      <c r="P22" s="3238"/>
      <c r="Q22" s="1813"/>
      <c r="R22" s="774"/>
      <c r="S22" s="775"/>
      <c r="T22" s="774"/>
      <c r="U22" s="775"/>
      <c r="V22" s="774"/>
      <c r="W22" s="775"/>
      <c r="X22" s="1816"/>
      <c r="Y22" s="3238"/>
      <c r="Z22" s="1817"/>
      <c r="AA22" s="1814">
        <v>1</v>
      </c>
      <c r="AB22" s="1814">
        <v>1</v>
      </c>
      <c r="AC22" s="1814">
        <v>1</v>
      </c>
    </row>
    <row r="23" spans="1:29" ht="15">
      <c r="A23" s="404"/>
      <c r="B23" s="451" t="s">
        <v>2751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8"/>
      <c r="Q23" s="1813" t="str">
        <f t="shared" ref="Q23:Q37" si="8">B23</f>
        <v>区域土地利用方向</v>
      </c>
      <c r="R23" s="774" t="s">
        <v>17</v>
      </c>
      <c r="S23" s="775">
        <f>F23</f>
        <v>100</v>
      </c>
      <c r="T23" s="774" t="s">
        <v>17</v>
      </c>
      <c r="U23" s="775">
        <f>H23</f>
        <v>100</v>
      </c>
      <c r="V23" s="774" t="s">
        <v>17</v>
      </c>
      <c r="W23" s="775">
        <f>J23</f>
        <v>100</v>
      </c>
      <c r="X23" s="1816"/>
      <c r="Y23" s="323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1"/>
      <c r="L24" s="1142"/>
      <c r="M24" s="1133"/>
      <c r="N24" s="1133"/>
      <c r="O24" s="1141"/>
      <c r="P24" s="3238"/>
      <c r="Q24" s="1813"/>
      <c r="R24" s="774"/>
      <c r="S24" s="775"/>
      <c r="T24" s="774"/>
      <c r="U24" s="775"/>
      <c r="V24" s="774"/>
      <c r="W24" s="775"/>
      <c r="X24" s="1816"/>
      <c r="Y24" s="3238"/>
      <c r="Z24" s="1817"/>
      <c r="AA24" s="1814"/>
      <c r="AB24" s="1814"/>
      <c r="AC24" s="1814"/>
    </row>
    <row r="25" spans="1:29" ht="57">
      <c r="A25" s="404"/>
      <c r="B25" s="1386"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8"/>
      <c r="Q25" s="1813" t="str">
        <f t="shared" si="8"/>
        <v>自然及人文环境状况</v>
      </c>
      <c r="R25" s="774" t="s">
        <v>17</v>
      </c>
      <c r="S25" s="775">
        <f>F25</f>
        <v>100</v>
      </c>
      <c r="T25" s="774" t="s">
        <v>17</v>
      </c>
      <c r="U25" s="775">
        <f>H25</f>
        <v>100</v>
      </c>
      <c r="V25" s="774" t="s">
        <v>17</v>
      </c>
      <c r="W25" s="775">
        <f>J25</f>
        <v>100</v>
      </c>
      <c r="X25" s="1816"/>
      <c r="Y25" s="323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2"/>
      <c r="M26" s="1133"/>
      <c r="N26" s="1133"/>
      <c r="O26" s="1141"/>
      <c r="P26" s="3238"/>
      <c r="Q26" s="1813"/>
      <c r="R26" s="774"/>
      <c r="S26" s="775"/>
      <c r="T26" s="774"/>
      <c r="U26" s="775"/>
      <c r="V26" s="774"/>
      <c r="W26" s="775"/>
      <c r="X26" s="1816"/>
      <c r="Y26" s="3238"/>
      <c r="Z26" s="1817"/>
      <c r="AA26" s="1814">
        <v>1</v>
      </c>
      <c r="AB26" s="1814">
        <v>1</v>
      </c>
      <c r="AC26" s="1814">
        <v>1</v>
      </c>
    </row>
    <row r="27" spans="1:29" s="117" customFormat="1" ht="42.75">
      <c r="A27" s="649"/>
      <c r="B27" s="1386"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8"/>
      <c r="Q27" s="1798" t="str">
        <f t="shared" si="8"/>
        <v>公共配套设施</v>
      </c>
      <c r="R27" s="770" t="s">
        <v>17</v>
      </c>
      <c r="S27" s="771">
        <f>F27</f>
        <v>100</v>
      </c>
      <c r="T27" s="770" t="s">
        <v>17</v>
      </c>
      <c r="U27" s="771">
        <f>H27</f>
        <v>100</v>
      </c>
      <c r="V27" s="770" t="s">
        <v>17</v>
      </c>
      <c r="W27" s="771">
        <f>J27</f>
        <v>100</v>
      </c>
      <c r="X27" s="772"/>
      <c r="Y27" s="323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4"/>
      <c r="M28" s="1135"/>
      <c r="N28" s="1135"/>
      <c r="O28" s="1136"/>
      <c r="P28" s="3238"/>
      <c r="Q28" s="1798"/>
      <c r="R28" s="770"/>
      <c r="S28" s="771"/>
      <c r="T28" s="770"/>
      <c r="U28" s="771"/>
      <c r="V28" s="770"/>
      <c r="W28" s="771"/>
      <c r="X28" s="772"/>
      <c r="Y28" s="3238"/>
      <c r="Z28" s="55"/>
      <c r="AA28" s="1814">
        <v>1</v>
      </c>
      <c r="AB28" s="1814">
        <v>1</v>
      </c>
      <c r="AC28" s="1814">
        <v>1</v>
      </c>
    </row>
    <row r="29" spans="1:29" s="117" customFormat="1" ht="28.5">
      <c r="A29" s="649"/>
      <c r="B29" s="1386"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8"/>
      <c r="Q29" s="1798"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4"/>
      <c r="M30" s="1135"/>
      <c r="N30" s="1135"/>
      <c r="O30" s="1136"/>
      <c r="P30" s="3238"/>
      <c r="Q30" s="1798"/>
      <c r="R30" s="770"/>
      <c r="S30" s="771"/>
      <c r="T30" s="770"/>
      <c r="U30" s="771"/>
      <c r="V30" s="770"/>
      <c r="W30" s="771"/>
      <c r="X30" s="772"/>
      <c r="Y30" s="3238"/>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8"/>
      <c r="Z31" s="1817" t="str">
        <f t="shared" ref="Z31:Z45" si="13">Q31</f>
        <v>临街状况</v>
      </c>
      <c r="AA31" s="1814">
        <f t="shared" si="3"/>
        <v>1</v>
      </c>
      <c r="AB31" s="1814">
        <f t="shared" si="4"/>
        <v>1</v>
      </c>
      <c r="AC31" s="1814">
        <f t="shared" si="5"/>
        <v>1</v>
      </c>
    </row>
    <row r="32" spans="1:29" ht="27">
      <c r="A32" s="428"/>
      <c r="B32" s="1386"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8"/>
      <c r="Q32" s="1813" t="str">
        <f t="shared" si="8"/>
        <v>毗邻道路的类型与等级</v>
      </c>
      <c r="R32" s="774" t="s">
        <v>17</v>
      </c>
      <c r="S32" s="775">
        <f t="shared" si="10"/>
        <v>100</v>
      </c>
      <c r="T32" s="774" t="s">
        <v>17</v>
      </c>
      <c r="U32" s="775">
        <f t="shared" si="11"/>
        <v>100</v>
      </c>
      <c r="V32" s="774" t="s">
        <v>17</v>
      </c>
      <c r="W32" s="775">
        <f t="shared" si="12"/>
        <v>100</v>
      </c>
      <c r="X32" s="1816"/>
      <c r="Y32" s="323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2"/>
      <c r="M33" s="1133"/>
      <c r="N33" s="1133"/>
      <c r="O33" s="1141"/>
      <c r="P33" s="3238"/>
      <c r="Q33" s="1813"/>
      <c r="R33" s="774"/>
      <c r="S33" s="775"/>
      <c r="T33" s="774"/>
      <c r="U33" s="775"/>
      <c r="V33" s="774"/>
      <c r="W33" s="775"/>
      <c r="X33" s="1816"/>
      <c r="Y33" s="3238"/>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8"/>
      <c r="Q34" s="1813" t="str">
        <f t="shared" si="8"/>
        <v>土地级别</v>
      </c>
      <c r="R34" s="774" t="s">
        <v>17</v>
      </c>
      <c r="S34" s="775">
        <f t="shared" si="10"/>
        <v>100</v>
      </c>
      <c r="T34" s="774" t="s">
        <v>17</v>
      </c>
      <c r="U34" s="775">
        <f t="shared" si="11"/>
        <v>100</v>
      </c>
      <c r="V34" s="774" t="s">
        <v>17</v>
      </c>
      <c r="W34" s="775">
        <f t="shared" si="12"/>
        <v>100</v>
      </c>
      <c r="X34" s="1816"/>
      <c r="Y34" s="3238"/>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8"/>
      <c r="Q35" s="1813">
        <f t="shared" si="8"/>
        <v>111</v>
      </c>
      <c r="R35" s="774" t="s">
        <v>17</v>
      </c>
      <c r="S35" s="775">
        <f t="shared" si="10"/>
        <v>100</v>
      </c>
      <c r="T35" s="774" t="s">
        <v>17</v>
      </c>
      <c r="U35" s="775">
        <f t="shared" si="11"/>
        <v>100</v>
      </c>
      <c r="V35" s="774" t="s">
        <v>17</v>
      </c>
      <c r="W35" s="775">
        <f t="shared" si="12"/>
        <v>100</v>
      </c>
      <c r="X35" s="1816"/>
      <c r="Y35" s="3238"/>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88" t="s">
        <v>2568</v>
      </c>
      <c r="Q36" s="1813">
        <f t="shared" si="8"/>
        <v>111</v>
      </c>
      <c r="R36" s="774" t="s">
        <v>17</v>
      </c>
      <c r="S36" s="775">
        <f t="shared" si="10"/>
        <v>100</v>
      </c>
      <c r="T36" s="774" t="s">
        <v>17</v>
      </c>
      <c r="U36" s="775">
        <f t="shared" si="11"/>
        <v>100</v>
      </c>
      <c r="V36" s="774" t="s">
        <v>17</v>
      </c>
      <c r="W36" s="775">
        <f t="shared" si="12"/>
        <v>100</v>
      </c>
      <c r="X36" s="1816"/>
      <c r="Y36" s="3242" t="s">
        <v>2568</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2"/>
      <c r="Q37" s="1813">
        <f t="shared" si="8"/>
        <v>111</v>
      </c>
      <c r="R37" s="777" t="s">
        <v>17</v>
      </c>
      <c r="S37" s="778">
        <f t="shared" si="10"/>
        <v>100</v>
      </c>
      <c r="T37" s="777" t="s">
        <v>17</v>
      </c>
      <c r="U37" s="778">
        <f t="shared" si="11"/>
        <v>100</v>
      </c>
      <c r="V37" s="777" t="s">
        <v>17</v>
      </c>
      <c r="W37" s="778">
        <f t="shared" si="12"/>
        <v>100</v>
      </c>
      <c r="X37" s="779"/>
      <c r="Y37" s="3242"/>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42"/>
      <c r="Q38" s="1813" t="str">
        <f>B38</f>
        <v>宗地面积</v>
      </c>
      <c r="R38" s="774" t="s">
        <v>17</v>
      </c>
      <c r="S38" s="775" t="e">
        <f t="shared" si="10"/>
        <v>#N/A</v>
      </c>
      <c r="T38" s="774" t="s">
        <v>17</v>
      </c>
      <c r="U38" s="775" t="e">
        <f t="shared" si="11"/>
        <v>#N/A</v>
      </c>
      <c r="V38" s="774" t="s">
        <v>17</v>
      </c>
      <c r="W38" s="775" t="e">
        <f t="shared" si="12"/>
        <v>#N/A</v>
      </c>
      <c r="X38" s="1816"/>
      <c r="Y38" s="3242"/>
      <c r="Z38" s="1817" t="str">
        <f t="shared" si="13"/>
        <v>宗地面积</v>
      </c>
      <c r="AA38" s="1814" t="e">
        <f t="shared" si="3"/>
        <v>#N/A</v>
      </c>
      <c r="AB38" s="1814" t="e">
        <f t="shared" si="4"/>
        <v>#N/A</v>
      </c>
      <c r="AC38" s="1814"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242"/>
      <c r="Q39" s="1813" t="str">
        <f t="shared" ref="Q39:Q45" si="14">B39</f>
        <v>宗地形状</v>
      </c>
      <c r="R39" s="774" t="s">
        <v>17</v>
      </c>
      <c r="S39" s="775">
        <f t="shared" si="10"/>
        <v>100</v>
      </c>
      <c r="T39" s="774" t="s">
        <v>17</v>
      </c>
      <c r="U39" s="775">
        <f t="shared" si="11"/>
        <v>100</v>
      </c>
      <c r="V39" s="774" t="s">
        <v>17</v>
      </c>
      <c r="W39" s="775">
        <f t="shared" si="12"/>
        <v>100</v>
      </c>
      <c r="X39" s="1816"/>
      <c r="Y39" s="3242"/>
      <c r="Z39" s="1817" t="str">
        <f t="shared" si="13"/>
        <v>宗地形状</v>
      </c>
      <c r="AA39" s="1814">
        <f t="shared" si="3"/>
        <v>1</v>
      </c>
      <c r="AB39" s="1814">
        <f t="shared" si="4"/>
        <v>1</v>
      </c>
      <c r="AC39" s="1814">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242"/>
      <c r="Q40" s="1813" t="str">
        <f t="shared" si="14"/>
        <v>临街宽度及深度</v>
      </c>
      <c r="R40" s="774" t="s">
        <v>17</v>
      </c>
      <c r="S40" s="775">
        <f t="shared" si="10"/>
        <v>100</v>
      </c>
      <c r="T40" s="774" t="s">
        <v>17</v>
      </c>
      <c r="U40" s="775">
        <f t="shared" si="11"/>
        <v>100</v>
      </c>
      <c r="V40" s="774" t="s">
        <v>17</v>
      </c>
      <c r="W40" s="775">
        <f t="shared" si="12"/>
        <v>100</v>
      </c>
      <c r="X40" s="1816"/>
      <c r="Y40" s="3242"/>
      <c r="Z40" s="1817" t="str">
        <f t="shared" si="13"/>
        <v>临街宽度及深度</v>
      </c>
      <c r="AA40" s="1814">
        <f t="shared" si="3"/>
        <v>1</v>
      </c>
      <c r="AB40" s="1814">
        <f t="shared" si="4"/>
        <v>1</v>
      </c>
      <c r="AC40" s="1814">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4"/>
      <c r="M41" s="1135"/>
      <c r="N41" s="1135"/>
      <c r="O41" s="1136"/>
      <c r="P41" s="3242"/>
      <c r="Q41" s="1813"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242" t="s">
        <v>2568</v>
      </c>
      <c r="Q42" s="1813" t="str">
        <f t="shared" si="14"/>
        <v>工程地质条件</v>
      </c>
      <c r="R42" s="774" t="s">
        <v>17</v>
      </c>
      <c r="S42" s="775">
        <f t="shared" si="10"/>
        <v>100</v>
      </c>
      <c r="T42" s="774" t="s">
        <v>17</v>
      </c>
      <c r="U42" s="775">
        <f t="shared" si="11"/>
        <v>100</v>
      </c>
      <c r="V42" s="774" t="s">
        <v>17</v>
      </c>
      <c r="W42" s="775">
        <f t="shared" si="12"/>
        <v>100</v>
      </c>
      <c r="X42" s="1816"/>
      <c r="Y42" s="3242" t="s">
        <v>2568</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2"/>
      <c r="Q43" s="1813">
        <f t="shared" si="14"/>
        <v>111</v>
      </c>
      <c r="R43" s="774" t="s">
        <v>17</v>
      </c>
      <c r="S43" s="775">
        <f t="shared" si="10"/>
        <v>100</v>
      </c>
      <c r="T43" s="774" t="s">
        <v>17</v>
      </c>
      <c r="U43" s="775">
        <f t="shared" si="11"/>
        <v>100</v>
      </c>
      <c r="V43" s="774" t="s">
        <v>17</v>
      </c>
      <c r="W43" s="775">
        <f t="shared" si="12"/>
        <v>100</v>
      </c>
      <c r="X43" s="1816"/>
      <c r="Y43" s="3242"/>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2"/>
      <c r="Q44" s="1813">
        <f t="shared" si="14"/>
        <v>111</v>
      </c>
      <c r="R44" s="774" t="s">
        <v>17</v>
      </c>
      <c r="S44" s="775">
        <f t="shared" si="10"/>
        <v>100</v>
      </c>
      <c r="T44" s="774" t="s">
        <v>17</v>
      </c>
      <c r="U44" s="775">
        <f t="shared" si="11"/>
        <v>100</v>
      </c>
      <c r="V44" s="774" t="s">
        <v>17</v>
      </c>
      <c r="W44" s="775">
        <f t="shared" si="12"/>
        <v>100</v>
      </c>
      <c r="X44" s="1816"/>
      <c r="Y44" s="3242"/>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2"/>
      <c r="Q45" s="1813">
        <f t="shared" si="14"/>
        <v>111</v>
      </c>
      <c r="R45" s="777" t="s">
        <v>17</v>
      </c>
      <c r="S45" s="778">
        <f t="shared" si="10"/>
        <v>100</v>
      </c>
      <c r="T45" s="777" t="s">
        <v>17</v>
      </c>
      <c r="U45" s="778">
        <f t="shared" si="11"/>
        <v>100</v>
      </c>
      <c r="V45" s="777" t="s">
        <v>17</v>
      </c>
      <c r="W45" s="778">
        <f t="shared" si="12"/>
        <v>100</v>
      </c>
      <c r="X45" s="779"/>
      <c r="Y45" s="3242"/>
      <c r="Z45" s="780">
        <f t="shared" si="13"/>
        <v>111</v>
      </c>
      <c r="AA45" s="1814">
        <f t="shared" si="3"/>
        <v>1</v>
      </c>
      <c r="AB45" s="1814">
        <f t="shared" si="4"/>
        <v>1</v>
      </c>
      <c r="AC45" s="1814">
        <f t="shared" si="5"/>
        <v>1</v>
      </c>
    </row>
    <row r="46" spans="1:29" ht="15">
      <c r="A46" s="479" t="s">
        <v>2723</v>
      </c>
      <c r="B46" s="2707" t="s">
        <v>2759</v>
      </c>
      <c r="C46" s="682" t="s">
        <v>1</v>
      </c>
      <c r="D46" s="481"/>
      <c r="E46" s="482"/>
      <c r="F46" s="483"/>
      <c r="G46" s="484"/>
      <c r="H46" s="485"/>
      <c r="I46" s="482"/>
      <c r="J46" s="485"/>
      <c r="K46" s="783"/>
      <c r="L46" s="1145"/>
      <c r="M46" s="1146"/>
      <c r="N46" s="1133"/>
      <c r="O46" s="1146"/>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5"/>
      <c r="M47" s="1146"/>
      <c r="N47" s="1146"/>
      <c r="O47" s="1146"/>
      <c r="P47" s="3235" t="str">
        <f>A47</f>
        <v>比较价值（元/平方米）</v>
      </c>
      <c r="Q47" s="3235"/>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32" t="str">
        <f>A48</f>
        <v>估价对象XX用房的比较价值（楼面单价，元/平方米）</v>
      </c>
      <c r="Q48" s="3233"/>
      <c r="R48" s="3290" t="e">
        <f>ROUND(AVERAGE(R47:V47),0)</f>
        <v>#DIV/0!</v>
      </c>
      <c r="S48" s="3290"/>
      <c r="T48" s="3290"/>
      <c r="U48" s="3290"/>
      <c r="V48" s="3290"/>
      <c r="W48" s="329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8" t="s">
        <v>2763</v>
      </c>
      <c r="D55" s="2709" t="s">
        <v>2764</v>
      </c>
      <c r="E55" s="686" t="s">
        <v>2765</v>
      </c>
      <c r="F55" s="1109" t="s">
        <v>2766</v>
      </c>
      <c r="G55" s="3218" t="s">
        <v>2767</v>
      </c>
      <c r="H55" s="3291"/>
      <c r="I55" s="144" t="s">
        <v>2768</v>
      </c>
      <c r="J55" s="2710">
        <f>项目基本情况!F35</f>
        <v>0</v>
      </c>
      <c r="K55" s="2711" t="s">
        <v>2769</v>
      </c>
      <c r="L55" s="1108"/>
      <c r="M55" s="1146"/>
      <c r="N55" s="1146"/>
      <c r="O55" s="1146"/>
    </row>
    <row r="56" spans="1:15" s="692" customFormat="1">
      <c r="A56" s="688" t="s">
        <v>2770</v>
      </c>
      <c r="B56" s="689" t="e">
        <f>C48</f>
        <v>#DIV/0!</v>
      </c>
      <c r="C56" s="690">
        <v>1</v>
      </c>
      <c r="D56" s="1165">
        <v>1</v>
      </c>
      <c r="E56" s="690">
        <f>'数据-汇总表'!E8+'数据-汇总表'!E9</f>
        <v>7253.4400000000014</v>
      </c>
      <c r="F56" s="1105" t="e">
        <f t="shared" ref="F56:F65" si="15">ROUND(B56*E56/10000,0)</f>
        <v>#DIV/0!</v>
      </c>
      <c r="G56" s="3217"/>
      <c r="H56" s="3235"/>
      <c r="I56" s="1110">
        <v>1</v>
      </c>
      <c r="J56" s="1113">
        <v>1</v>
      </c>
      <c r="K56" s="1147"/>
      <c r="L56" s="943"/>
      <c r="M56" s="943"/>
      <c r="N56" s="943"/>
      <c r="O56" s="943"/>
    </row>
    <row r="57" spans="1:15" s="692" customFormat="1">
      <c r="A57" s="693" t="s">
        <v>2771</v>
      </c>
      <c r="B57" s="262" t="e">
        <f>ROUND($C$48*C57*D57,0)</f>
        <v>#DIV/0!</v>
      </c>
      <c r="C57" s="200">
        <f t="shared" ref="C57:C65" si="16">IF($C$55="北京市系数",I57,J57)</f>
        <v>0.8</v>
      </c>
      <c r="D57" s="1166">
        <v>0.25</v>
      </c>
      <c r="E57" s="694"/>
      <c r="F57" s="1105" t="e">
        <f t="shared" si="15"/>
        <v>#DIV/0!</v>
      </c>
      <c r="G57" s="3292" t="s">
        <v>2772</v>
      </c>
      <c r="H57" s="1106" t="str">
        <f>项目基本情况!B37</f>
        <v>二级</v>
      </c>
      <c r="I57" s="1110">
        <f>SUMIF(修正!A45:A56,H57,修正!B45:B56)</f>
        <v>0.8</v>
      </c>
      <c r="J57" s="1114"/>
      <c r="K57" s="1146"/>
      <c r="L57" s="943"/>
      <c r="M57" s="943"/>
      <c r="N57" s="943"/>
      <c r="O57" s="943"/>
    </row>
    <row r="58" spans="1:15" s="692" customFormat="1">
      <c r="A58" s="693" t="s">
        <v>2773</v>
      </c>
      <c r="B58" s="262" t="e">
        <f t="shared" ref="B58:B65" si="17">ROUND($C$48*C58*D58,0)</f>
        <v>#DIV/0!</v>
      </c>
      <c r="C58" s="200">
        <f t="shared" si="16"/>
        <v>0.5</v>
      </c>
      <c r="D58" s="1166">
        <v>0.25</v>
      </c>
      <c r="E58" s="694"/>
      <c r="F58" s="1105" t="e">
        <f t="shared" si="15"/>
        <v>#DIV/0!</v>
      </c>
      <c r="G58" s="3292"/>
      <c r="H58" s="1106" t="str">
        <f>项目基本情况!B37</f>
        <v>二级</v>
      </c>
      <c r="I58" s="1110">
        <f>SUMIF(修正!A45:A56,H58,修正!C45:C56)</f>
        <v>0.5</v>
      </c>
      <c r="J58" s="1114"/>
      <c r="K58" s="1147"/>
      <c r="L58" s="943"/>
      <c r="M58" s="943"/>
      <c r="N58" s="943"/>
      <c r="O58" s="943"/>
    </row>
    <row r="59" spans="1:15" s="692" customFormat="1">
      <c r="A59" s="693" t="s">
        <v>2774</v>
      </c>
      <c r="B59" s="262" t="e">
        <f t="shared" si="17"/>
        <v>#DIV/0!</v>
      </c>
      <c r="C59" s="200">
        <f t="shared" si="16"/>
        <v>0.36</v>
      </c>
      <c r="D59" s="1166">
        <v>0.25</v>
      </c>
      <c r="E59" s="694"/>
      <c r="F59" s="1105" t="e">
        <f t="shared" si="15"/>
        <v>#DIV/0!</v>
      </c>
      <c r="G59" s="3292"/>
      <c r="H59" s="1106" t="str">
        <f>项目基本情况!B37</f>
        <v>二级</v>
      </c>
      <c r="I59" s="1110">
        <f>SUMIF(修正!A45:A56,H59,修正!D45:D56)</f>
        <v>0.36</v>
      </c>
      <c r="J59" s="1114"/>
      <c r="K59" s="1146"/>
      <c r="L59" s="943"/>
      <c r="M59" s="943"/>
      <c r="N59" s="943"/>
      <c r="O59" s="943"/>
    </row>
    <row r="60" spans="1:15" s="692" customFormat="1">
      <c r="A60" s="693" t="s">
        <v>2775</v>
      </c>
      <c r="B60" s="262" t="e">
        <f t="shared" si="17"/>
        <v>#DIV/0!</v>
      </c>
      <c r="C60" s="200">
        <f t="shared" si="16"/>
        <v>0.3</v>
      </c>
      <c r="D60" s="1166">
        <v>0.25</v>
      </c>
      <c r="E60" s="694"/>
      <c r="F60" s="1105" t="e">
        <f t="shared" si="15"/>
        <v>#DIV/0!</v>
      </c>
      <c r="G60" s="3292"/>
      <c r="H60" s="1106" t="str">
        <f>项目基本情况!B37</f>
        <v>二级</v>
      </c>
      <c r="I60" s="1110">
        <f>SUMIF(修正!A45:A56,H60,修正!E45:E56)</f>
        <v>0.3</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12"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0.25</v>
      </c>
      <c r="D64" s="1166">
        <v>0.25</v>
      </c>
      <c r="E64" s="261">
        <f>'数据-汇总表'!E14</f>
        <v>0</v>
      </c>
      <c r="F64" s="1105" t="e">
        <f t="shared" si="15"/>
        <v>#DIV/0!</v>
      </c>
      <c r="G64" s="2712" t="s">
        <v>2772</v>
      </c>
      <c r="H64" s="1106" t="str">
        <f>项目基本情况!B37</f>
        <v>二级</v>
      </c>
      <c r="I64" s="1110">
        <f>SUMIF(修正!A45:A56,H64,修正!H45:H56)</f>
        <v>0.25</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13"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7253.4400000000014</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2677</v>
      </c>
      <c r="B69" s="759"/>
      <c r="C69" s="764"/>
      <c r="D69" s="764"/>
      <c r="E69" s="764"/>
      <c r="F69" s="765"/>
      <c r="G69" s="765"/>
      <c r="H69" s="764"/>
      <c r="I69" s="764"/>
      <c r="J69" s="1161"/>
      <c r="K69" s="1162"/>
      <c r="L69" s="1163"/>
      <c r="M69" s="1161"/>
      <c r="N69" s="1161"/>
      <c r="O69" s="1161"/>
      <c r="P69" s="503"/>
      <c r="Q69" s="504"/>
    </row>
    <row r="70" spans="1:17" s="508" customFormat="1" ht="15">
      <c r="A70" s="2714" t="s">
        <v>2785</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4"/>
      <c r="P72" s="504"/>
      <c r="Q72" s="504"/>
    </row>
    <row r="73" spans="1:17" s="117" customFormat="1" ht="15">
      <c r="A73" s="521" t="s">
        <v>2553</v>
      </c>
      <c r="B73" s="510"/>
      <c r="C73" s="522" t="s">
        <v>2655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2591</v>
      </c>
      <c r="B75" s="528" t="s">
        <v>2557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18" t="s">
        <v>2649</v>
      </c>
      <c r="D4" s="3219"/>
      <c r="E4" s="3220" t="s">
        <v>2650</v>
      </c>
      <c r="F4" s="3221"/>
      <c r="G4" s="3218" t="s">
        <v>2651</v>
      </c>
      <c r="H4" s="3219"/>
      <c r="I4" s="3218" t="s">
        <v>2652</v>
      </c>
      <c r="J4" s="3219"/>
      <c r="K4" s="610" t="s">
        <v>2653</v>
      </c>
      <c r="L4" s="1132"/>
      <c r="M4" s="1133"/>
      <c r="N4" s="1133"/>
      <c r="O4" s="1133"/>
      <c r="P4" s="3222" t="s">
        <v>2654</v>
      </c>
      <c r="Q4" s="3223"/>
      <c r="R4" s="3205" t="s">
        <v>2650</v>
      </c>
      <c r="S4" s="3206"/>
      <c r="T4" s="3205" t="s">
        <v>2651</v>
      </c>
      <c r="U4" s="3206"/>
      <c r="V4" s="3230" t="s">
        <v>2652</v>
      </c>
      <c r="W4" s="3230"/>
      <c r="X4" s="1816"/>
      <c r="Y4" s="3205" t="s">
        <v>2654</v>
      </c>
      <c r="Z4" s="3206"/>
      <c r="AA4" s="3200" t="s">
        <v>2650</v>
      </c>
      <c r="AB4" s="3201" t="s">
        <v>2651</v>
      </c>
      <c r="AC4" s="3200" t="s">
        <v>2652</v>
      </c>
    </row>
    <row r="5" spans="1:29" ht="15">
      <c r="A5" s="404"/>
      <c r="B5" s="405"/>
      <c r="C5" s="3211" t="s">
        <v>2545</v>
      </c>
      <c r="D5" s="3212"/>
      <c r="E5" s="3209" t="s">
        <v>2546</v>
      </c>
      <c r="F5" s="3210"/>
      <c r="G5" s="3211" t="s">
        <v>2547</v>
      </c>
      <c r="H5" s="3212"/>
      <c r="I5" s="3211" t="s">
        <v>2548</v>
      </c>
      <c r="J5" s="3212"/>
      <c r="K5" s="610"/>
      <c r="L5" s="1132"/>
      <c r="M5" s="1133"/>
      <c r="N5" s="1133"/>
      <c r="O5" s="1133"/>
      <c r="P5" s="3224"/>
      <c r="Q5" s="3225"/>
      <c r="R5" s="3207"/>
      <c r="S5" s="3208"/>
      <c r="T5" s="3207"/>
      <c r="U5" s="3208"/>
      <c r="V5" s="3230"/>
      <c r="W5" s="3230"/>
      <c r="X5" s="1816"/>
      <c r="Y5" s="3207"/>
      <c r="Z5" s="3208"/>
      <c r="AA5" s="3201"/>
      <c r="AB5" s="3201"/>
      <c r="AC5" s="3201"/>
    </row>
    <row r="6" spans="1:29" ht="15.75" thickBot="1">
      <c r="A6" s="406"/>
      <c r="B6" s="407"/>
      <c r="C6" s="3293" t="s">
        <v>2800</v>
      </c>
      <c r="D6" s="3294"/>
      <c r="E6" s="3295" t="s">
        <v>2800</v>
      </c>
      <c r="F6" s="3296"/>
      <c r="G6" s="3293" t="s">
        <v>2800</v>
      </c>
      <c r="H6" s="3294"/>
      <c r="I6" s="3293" t="s">
        <v>2800</v>
      </c>
      <c r="J6" s="3294"/>
      <c r="K6" s="610" t="s">
        <v>2550</v>
      </c>
      <c r="L6" s="1132"/>
      <c r="M6" s="1133"/>
      <c r="N6" s="1133"/>
      <c r="O6" s="1133"/>
      <c r="P6" s="3226"/>
      <c r="Q6" s="3227"/>
      <c r="R6" s="3207"/>
      <c r="S6" s="3208"/>
      <c r="T6" s="3228"/>
      <c r="U6" s="3229"/>
      <c r="V6" s="3230"/>
      <c r="W6" s="3230"/>
      <c r="X6" s="1816"/>
      <c r="Y6" s="3228"/>
      <c r="Z6" s="3229"/>
      <c r="AA6" s="3202"/>
      <c r="AB6" s="3202"/>
      <c r="AC6" s="3202"/>
    </row>
    <row r="7" spans="1:29" s="117" customFormat="1" ht="15.75" thickBot="1">
      <c r="A7" s="408" t="s">
        <v>2551</v>
      </c>
      <c r="B7" s="409"/>
      <c r="C7" s="410">
        <f>'数据-取费表'!B2</f>
        <v>43109</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203" t="s">
        <v>2552</v>
      </c>
      <c r="Q7" s="3231"/>
      <c r="R7" s="770" t="s">
        <v>17</v>
      </c>
      <c r="S7" s="771">
        <f t="shared" ref="S7:S15" si="0">F7</f>
        <v>0</v>
      </c>
      <c r="T7" s="770" t="s">
        <v>17</v>
      </c>
      <c r="U7" s="771">
        <f t="shared" ref="U7:U15" si="1">H7</f>
        <v>0</v>
      </c>
      <c r="V7" s="770" t="s">
        <v>17</v>
      </c>
      <c r="W7" s="771">
        <f t="shared" ref="W7:W15" si="2">J7</f>
        <v>0</v>
      </c>
      <c r="X7" s="772"/>
      <c r="Y7" s="3203" t="s">
        <v>2552</v>
      </c>
      <c r="Z7" s="320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3" t="s">
        <v>2555</v>
      </c>
      <c r="Q8" s="3204"/>
      <c r="R8" s="770" t="s">
        <v>17</v>
      </c>
      <c r="S8" s="771">
        <f t="shared" si="0"/>
        <v>0</v>
      </c>
      <c r="T8" s="770" t="s">
        <v>17</v>
      </c>
      <c r="U8" s="771">
        <f t="shared" si="1"/>
        <v>0</v>
      </c>
      <c r="V8" s="770" t="s">
        <v>17</v>
      </c>
      <c r="W8" s="771">
        <f t="shared" si="2"/>
        <v>0</v>
      </c>
      <c r="X8" s="772"/>
      <c r="Y8" s="3203" t="s">
        <v>2555</v>
      </c>
      <c r="Z8" s="3204"/>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235" t="s">
        <v>2558</v>
      </c>
      <c r="Q9" s="1798" t="str">
        <f t="shared" ref="Q9:Q15" si="6">B9</f>
        <v>用途</v>
      </c>
      <c r="R9" s="770" t="s">
        <v>17</v>
      </c>
      <c r="S9" s="771">
        <f t="shared" si="0"/>
        <v>100</v>
      </c>
      <c r="T9" s="770" t="s">
        <v>17</v>
      </c>
      <c r="U9" s="771">
        <f t="shared" si="1"/>
        <v>100</v>
      </c>
      <c r="V9" s="770" t="s">
        <v>17</v>
      </c>
      <c r="W9" s="771">
        <f t="shared" si="2"/>
        <v>100</v>
      </c>
      <c r="X9" s="772"/>
      <c r="Y9" s="307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116</v>
      </c>
      <c r="G10" s="432"/>
      <c r="H10" s="136">
        <f>ROUND(100/'数据-取费表'!G16,0)</f>
        <v>116</v>
      </c>
      <c r="I10" s="432"/>
      <c r="J10" s="136">
        <f>ROUND(100/'数据-取费表'!G16,0)</f>
        <v>116</v>
      </c>
      <c r="K10" s="672"/>
      <c r="L10" s="1137"/>
      <c r="M10" s="1138"/>
      <c r="N10" s="1138"/>
      <c r="O10" s="1139"/>
      <c r="P10" s="3235"/>
      <c r="Q10" s="1798" t="str">
        <f t="shared" si="6"/>
        <v>土地使用年限（年）</v>
      </c>
      <c r="R10" s="770" t="s">
        <v>17</v>
      </c>
      <c r="S10" s="771">
        <f t="shared" si="0"/>
        <v>116</v>
      </c>
      <c r="T10" s="770" t="s">
        <v>17</v>
      </c>
      <c r="U10" s="771">
        <f t="shared" si="1"/>
        <v>116</v>
      </c>
      <c r="V10" s="770" t="s">
        <v>17</v>
      </c>
      <c r="W10" s="771">
        <f t="shared" si="2"/>
        <v>116</v>
      </c>
      <c r="X10" s="772"/>
      <c r="Y10" s="3077"/>
      <c r="Z10" s="55" t="str">
        <f t="shared" si="7"/>
        <v>土地使用年限（年）</v>
      </c>
      <c r="AA10" s="773">
        <f t="shared" si="3"/>
        <v>0.86206896551724133</v>
      </c>
      <c r="AB10" s="773">
        <f t="shared" si="4"/>
        <v>0.86206896551724133</v>
      </c>
      <c r="AC10" s="773">
        <f t="shared" si="5"/>
        <v>0.86206896551724133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35"/>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35"/>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35"/>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35"/>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7" t="s">
        <v>2563</v>
      </c>
      <c r="Q15" s="1813" t="str">
        <f t="shared" si="6"/>
        <v>产业集聚程度</v>
      </c>
      <c r="R15" s="774" t="s">
        <v>17</v>
      </c>
      <c r="S15" s="775">
        <f t="shared" si="0"/>
        <v>100</v>
      </c>
      <c r="T15" s="774" t="s">
        <v>17</v>
      </c>
      <c r="U15" s="775">
        <f t="shared" si="1"/>
        <v>100</v>
      </c>
      <c r="V15" s="774" t="s">
        <v>17</v>
      </c>
      <c r="W15" s="775">
        <f t="shared" si="2"/>
        <v>100</v>
      </c>
      <c r="X15" s="1816"/>
      <c r="Y15" s="3237"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238"/>
      <c r="Q16" s="1813"/>
      <c r="R16" s="774"/>
      <c r="S16" s="775"/>
      <c r="T16" s="774"/>
      <c r="U16" s="775"/>
      <c r="V16" s="774"/>
      <c r="W16" s="775"/>
      <c r="X16" s="1816"/>
      <c r="Y16" s="3238"/>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8"/>
      <c r="Q17" s="1813" t="str">
        <f>B17</f>
        <v>交通便捷度</v>
      </c>
      <c r="R17" s="774" t="s">
        <v>17</v>
      </c>
      <c r="S17" s="775">
        <f>F17</f>
        <v>100</v>
      </c>
      <c r="T17" s="774" t="s">
        <v>17</v>
      </c>
      <c r="U17" s="775">
        <f>H17</f>
        <v>100</v>
      </c>
      <c r="V17" s="774" t="s">
        <v>17</v>
      </c>
      <c r="W17" s="775">
        <f>J17</f>
        <v>100</v>
      </c>
      <c r="X17" s="1816"/>
      <c r="Y17" s="323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238"/>
      <c r="Q18" s="1813"/>
      <c r="R18" s="774"/>
      <c r="S18" s="775"/>
      <c r="T18" s="774"/>
      <c r="U18" s="775"/>
      <c r="V18" s="774"/>
      <c r="W18" s="775"/>
      <c r="X18" s="1816"/>
      <c r="Y18" s="3238"/>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8"/>
      <c r="Q19" s="1813" t="str">
        <f t="shared" ref="Q19:Q33" si="8">B19</f>
        <v>区域土地利用方向</v>
      </c>
      <c r="R19" s="774" t="s">
        <v>17</v>
      </c>
      <c r="S19" s="775">
        <f>F19</f>
        <v>100</v>
      </c>
      <c r="T19" s="774" t="s">
        <v>17</v>
      </c>
      <c r="U19" s="775">
        <f>H19</f>
        <v>100</v>
      </c>
      <c r="V19" s="774" t="s">
        <v>17</v>
      </c>
      <c r="W19" s="775">
        <f>J19</f>
        <v>100</v>
      </c>
      <c r="X19" s="1816"/>
      <c r="Y19" s="323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238"/>
      <c r="Q20" s="1813"/>
      <c r="R20" s="774"/>
      <c r="S20" s="775"/>
      <c r="T20" s="774"/>
      <c r="U20" s="775"/>
      <c r="V20" s="774"/>
      <c r="W20" s="775"/>
      <c r="X20" s="1816"/>
      <c r="Y20" s="3238"/>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8"/>
      <c r="Q21" s="1813" t="str">
        <f t="shared" si="8"/>
        <v>环境状况</v>
      </c>
      <c r="R21" s="774" t="s">
        <v>17</v>
      </c>
      <c r="S21" s="775">
        <f>F21</f>
        <v>100</v>
      </c>
      <c r="T21" s="774" t="s">
        <v>17</v>
      </c>
      <c r="U21" s="775">
        <f>H21</f>
        <v>100</v>
      </c>
      <c r="V21" s="774" t="s">
        <v>17</v>
      </c>
      <c r="W21" s="775">
        <f>J21</f>
        <v>100</v>
      </c>
      <c r="X21" s="1816"/>
      <c r="Y21" s="323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238"/>
      <c r="Q22" s="1813"/>
      <c r="R22" s="774"/>
      <c r="S22" s="775"/>
      <c r="T22" s="774"/>
      <c r="U22" s="775"/>
      <c r="V22" s="774"/>
      <c r="W22" s="775"/>
      <c r="X22" s="1816"/>
      <c r="Y22" s="3238"/>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8"/>
      <c r="Q23" s="1798" t="str">
        <f t="shared" si="8"/>
        <v>公共配套设施</v>
      </c>
      <c r="R23" s="770" t="s">
        <v>17</v>
      </c>
      <c r="S23" s="771">
        <f>F23</f>
        <v>100</v>
      </c>
      <c r="T23" s="770" t="s">
        <v>17</v>
      </c>
      <c r="U23" s="771">
        <f>H23</f>
        <v>100</v>
      </c>
      <c r="V23" s="770" t="s">
        <v>17</v>
      </c>
      <c r="W23" s="771">
        <f>J23</f>
        <v>100</v>
      </c>
      <c r="X23" s="772"/>
      <c r="Y23" s="323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238"/>
      <c r="Q24" s="1798"/>
      <c r="R24" s="770"/>
      <c r="S24" s="771"/>
      <c r="T24" s="770"/>
      <c r="U24" s="771"/>
      <c r="V24" s="770"/>
      <c r="W24" s="771"/>
      <c r="X24" s="772"/>
      <c r="Y24" s="3238"/>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8"/>
      <c r="Q25" s="1798"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238"/>
      <c r="Q26" s="1798"/>
      <c r="R26" s="770"/>
      <c r="S26" s="771"/>
      <c r="T26" s="770"/>
      <c r="U26" s="771"/>
      <c r="V26" s="770"/>
      <c r="W26" s="771"/>
      <c r="X26" s="772"/>
      <c r="Y26" s="3238"/>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8"/>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8"/>
      <c r="Q28" s="1813" t="str">
        <f t="shared" si="8"/>
        <v>毗邻道路的类型与等级</v>
      </c>
      <c r="R28" s="774" t="s">
        <v>17</v>
      </c>
      <c r="S28" s="775">
        <f t="shared" si="10"/>
        <v>100</v>
      </c>
      <c r="T28" s="774" t="s">
        <v>17</v>
      </c>
      <c r="U28" s="775">
        <f t="shared" si="11"/>
        <v>100</v>
      </c>
      <c r="V28" s="774" t="s">
        <v>17</v>
      </c>
      <c r="W28" s="775">
        <f t="shared" si="12"/>
        <v>100</v>
      </c>
      <c r="X28" s="1816"/>
      <c r="Y28" s="323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238"/>
      <c r="Q29" s="1813"/>
      <c r="R29" s="774"/>
      <c r="S29" s="775"/>
      <c r="T29" s="774"/>
      <c r="U29" s="775"/>
      <c r="V29" s="774"/>
      <c r="W29" s="775"/>
      <c r="X29" s="1816"/>
      <c r="Y29" s="3238"/>
      <c r="Z29" s="1817"/>
      <c r="AA29" s="1814">
        <v>1</v>
      </c>
      <c r="AB29" s="1814">
        <v>1</v>
      </c>
      <c r="AC29" s="1814">
        <v>1</v>
      </c>
    </row>
    <row r="30" spans="1:29" ht="15">
      <c r="A30" s="428"/>
      <c r="B30" s="654" t="s">
        <v>2753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8"/>
      <c r="Q30" s="1813" t="str">
        <f t="shared" si="8"/>
        <v>土地级别</v>
      </c>
      <c r="R30" s="774" t="s">
        <v>17</v>
      </c>
      <c r="S30" s="775">
        <f t="shared" si="10"/>
        <v>100</v>
      </c>
      <c r="T30" s="774" t="s">
        <v>17</v>
      </c>
      <c r="U30" s="775">
        <f t="shared" si="11"/>
        <v>100</v>
      </c>
      <c r="V30" s="774" t="s">
        <v>17</v>
      </c>
      <c r="W30" s="775">
        <f t="shared" si="12"/>
        <v>100</v>
      </c>
      <c r="X30" s="1816"/>
      <c r="Y30" s="323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8"/>
      <c r="Q31" s="1813">
        <f t="shared" si="8"/>
        <v>111</v>
      </c>
      <c r="R31" s="774" t="s">
        <v>17</v>
      </c>
      <c r="S31" s="775">
        <f t="shared" si="10"/>
        <v>100</v>
      </c>
      <c r="T31" s="774" t="s">
        <v>17</v>
      </c>
      <c r="U31" s="775">
        <f t="shared" si="11"/>
        <v>100</v>
      </c>
      <c r="V31" s="774" t="s">
        <v>17</v>
      </c>
      <c r="W31" s="775">
        <f t="shared" si="12"/>
        <v>100</v>
      </c>
      <c r="X31" s="1816"/>
      <c r="Y31" s="323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88" t="s">
        <v>2568</v>
      </c>
      <c r="Q32" s="1813">
        <f t="shared" si="8"/>
        <v>111</v>
      </c>
      <c r="R32" s="774" t="s">
        <v>17</v>
      </c>
      <c r="S32" s="775">
        <f t="shared" si="10"/>
        <v>100</v>
      </c>
      <c r="T32" s="774" t="s">
        <v>17</v>
      </c>
      <c r="U32" s="775">
        <f t="shared" si="11"/>
        <v>100</v>
      </c>
      <c r="V32" s="774" t="s">
        <v>17</v>
      </c>
      <c r="W32" s="775">
        <f t="shared" si="12"/>
        <v>100</v>
      </c>
      <c r="X32" s="1816"/>
      <c r="Y32" s="3242"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2"/>
      <c r="Q33" s="1813">
        <f t="shared" si="8"/>
        <v>111</v>
      </c>
      <c r="R33" s="777" t="s">
        <v>17</v>
      </c>
      <c r="S33" s="778">
        <f t="shared" si="10"/>
        <v>100</v>
      </c>
      <c r="T33" s="777" t="s">
        <v>17</v>
      </c>
      <c r="U33" s="778">
        <f t="shared" si="11"/>
        <v>100</v>
      </c>
      <c r="V33" s="777" t="s">
        <v>17</v>
      </c>
      <c r="W33" s="778">
        <f t="shared" si="12"/>
        <v>100</v>
      </c>
      <c r="X33" s="779"/>
      <c r="Y33" s="3242"/>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2"/>
      <c r="Q34" s="1813" t="str">
        <f>B34</f>
        <v>宗地面积</v>
      </c>
      <c r="R34" s="774" t="s">
        <v>17</v>
      </c>
      <c r="S34" s="775" t="e">
        <f t="shared" si="10"/>
        <v>#N/A</v>
      </c>
      <c r="T34" s="774" t="s">
        <v>17</v>
      </c>
      <c r="U34" s="775" t="e">
        <f t="shared" si="11"/>
        <v>#N/A</v>
      </c>
      <c r="V34" s="774" t="s">
        <v>17</v>
      </c>
      <c r="W34" s="775" t="e">
        <f t="shared" si="12"/>
        <v>#N/A</v>
      </c>
      <c r="X34" s="1816"/>
      <c r="Y34" s="3242"/>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242"/>
      <c r="Q35" s="1813" t="str">
        <f t="shared" ref="Q35:Q40" si="14">B35</f>
        <v>宗地形状</v>
      </c>
      <c r="R35" s="774" t="s">
        <v>17</v>
      </c>
      <c r="S35" s="775">
        <f t="shared" si="10"/>
        <v>100</v>
      </c>
      <c r="T35" s="774" t="s">
        <v>17</v>
      </c>
      <c r="U35" s="775">
        <f t="shared" si="11"/>
        <v>100</v>
      </c>
      <c r="V35" s="774" t="s">
        <v>17</v>
      </c>
      <c r="W35" s="775">
        <f t="shared" si="12"/>
        <v>100</v>
      </c>
      <c r="X35" s="1816"/>
      <c r="Y35" s="3242"/>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242"/>
      <c r="Q36" s="1813"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242" t="s">
        <v>2568</v>
      </c>
      <c r="Q37" s="1813" t="str">
        <f t="shared" si="14"/>
        <v>工程地质条件</v>
      </c>
      <c r="R37" s="774" t="s">
        <v>17</v>
      </c>
      <c r="S37" s="775">
        <f t="shared" si="10"/>
        <v>100</v>
      </c>
      <c r="T37" s="774" t="s">
        <v>17</v>
      </c>
      <c r="U37" s="775">
        <f t="shared" si="11"/>
        <v>100</v>
      </c>
      <c r="V37" s="774" t="s">
        <v>17</v>
      </c>
      <c r="W37" s="775">
        <f t="shared" si="12"/>
        <v>100</v>
      </c>
      <c r="X37" s="1816"/>
      <c r="Y37" s="3242" t="s">
        <v>2568</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2"/>
      <c r="Q38" s="1813">
        <f t="shared" si="14"/>
        <v>111</v>
      </c>
      <c r="R38" s="774" t="s">
        <v>17</v>
      </c>
      <c r="S38" s="775">
        <f t="shared" si="10"/>
        <v>100</v>
      </c>
      <c r="T38" s="774" t="s">
        <v>17</v>
      </c>
      <c r="U38" s="775">
        <f t="shared" si="11"/>
        <v>100</v>
      </c>
      <c r="V38" s="774" t="s">
        <v>17</v>
      </c>
      <c r="W38" s="775">
        <f t="shared" si="12"/>
        <v>100</v>
      </c>
      <c r="X38" s="1816"/>
      <c r="Y38" s="3242"/>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2"/>
      <c r="Q39" s="1813">
        <f t="shared" si="14"/>
        <v>111</v>
      </c>
      <c r="R39" s="774" t="s">
        <v>17</v>
      </c>
      <c r="S39" s="775">
        <f t="shared" si="10"/>
        <v>100</v>
      </c>
      <c r="T39" s="774" t="s">
        <v>17</v>
      </c>
      <c r="U39" s="775">
        <f t="shared" si="11"/>
        <v>100</v>
      </c>
      <c r="V39" s="774" t="s">
        <v>17</v>
      </c>
      <c r="W39" s="775">
        <f t="shared" si="12"/>
        <v>100</v>
      </c>
      <c r="X39" s="1816"/>
      <c r="Y39" s="3242"/>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2"/>
      <c r="Q40" s="1813">
        <f t="shared" si="14"/>
        <v>111</v>
      </c>
      <c r="R40" s="777" t="s">
        <v>17</v>
      </c>
      <c r="S40" s="778">
        <f t="shared" si="10"/>
        <v>100</v>
      </c>
      <c r="T40" s="777" t="s">
        <v>17</v>
      </c>
      <c r="U40" s="778">
        <f t="shared" si="11"/>
        <v>100</v>
      </c>
      <c r="V40" s="777" t="s">
        <v>17</v>
      </c>
      <c r="W40" s="778">
        <f t="shared" si="12"/>
        <v>100</v>
      </c>
      <c r="X40" s="779"/>
      <c r="Y40" s="3242"/>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5"/>
      <c r="M41" s="1133"/>
      <c r="N41" s="1133"/>
      <c r="O41" s="1146"/>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5"/>
      <c r="M42" s="1133"/>
      <c r="N42" s="1133"/>
      <c r="O42" s="1146"/>
      <c r="P42" s="3235" t="str">
        <f>A42</f>
        <v>比较价值（元/平方米）</v>
      </c>
      <c r="Q42" s="3235"/>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5"/>
      <c r="M43" s="1133"/>
      <c r="N43" s="1133"/>
      <c r="O43" s="1146"/>
      <c r="P43" s="3232" t="str">
        <f>A43</f>
        <v>估价对象XX用房的比较价值（楼面单价，元/平方米）</v>
      </c>
      <c r="Q43" s="3233"/>
      <c r="R43" s="3290" t="e">
        <f>ROUND(AVERAGE(R42:V42),0)</f>
        <v>#DIV/0!</v>
      </c>
      <c r="S43" s="3290"/>
      <c r="T43" s="3290"/>
      <c r="U43" s="3290"/>
      <c r="V43" s="3290"/>
      <c r="W43" s="329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8" t="s">
        <v>2763</v>
      </c>
      <c r="D50" s="2709" t="s">
        <v>2764</v>
      </c>
      <c r="E50" s="686" t="s">
        <v>2765</v>
      </c>
      <c r="F50" s="687" t="s">
        <v>2766</v>
      </c>
      <c r="G50" s="3218" t="s">
        <v>2767</v>
      </c>
      <c r="H50" s="3291"/>
      <c r="I50" s="1817" t="s">
        <v>2804</v>
      </c>
      <c r="J50" s="1817">
        <f>项目基本情况!F35</f>
        <v>0</v>
      </c>
      <c r="K50" s="2711" t="s">
        <v>2769</v>
      </c>
      <c r="L50" s="1108"/>
      <c r="M50" s="1146"/>
      <c r="N50" s="1146"/>
      <c r="O50" s="1146"/>
    </row>
    <row r="51" spans="1:17" s="692" customFormat="1">
      <c r="A51" s="688" t="s">
        <v>2770</v>
      </c>
      <c r="B51" s="689" t="e">
        <f>C43</f>
        <v>#DIV/0!</v>
      </c>
      <c r="C51" s="690">
        <v>1</v>
      </c>
      <c r="D51" s="1165">
        <v>1</v>
      </c>
      <c r="E51" s="690">
        <f>'数据-汇总表'!E8+'数据-汇总表'!E9</f>
        <v>7253.4400000000014</v>
      </c>
      <c r="F51" s="691" t="e">
        <f t="shared" ref="F51:F60" si="15">ROUND(B51*E51/10000,0)</f>
        <v>#DIV/0!</v>
      </c>
      <c r="G51" s="3217"/>
      <c r="H51" s="3235"/>
      <c r="I51" s="944">
        <v>1</v>
      </c>
      <c r="J51" s="944">
        <v>1</v>
      </c>
      <c r="K51" s="1147"/>
      <c r="L51" s="943"/>
      <c r="M51" s="943"/>
      <c r="N51" s="943"/>
      <c r="O51" s="943"/>
    </row>
    <row r="52" spans="1:17" s="692" customFormat="1">
      <c r="A52" s="693" t="s">
        <v>2771</v>
      </c>
      <c r="B52" s="262" t="e">
        <f>ROUND($C$43*C52*D52,0)</f>
        <v>#DIV/0!</v>
      </c>
      <c r="C52" s="200">
        <f t="shared" ref="C52:C60" si="16">IF($C$50="北京市系数",I52,J52)</f>
        <v>0.8</v>
      </c>
      <c r="D52" s="1166">
        <v>0.25</v>
      </c>
      <c r="E52" s="694"/>
      <c r="F52" s="691" t="e">
        <f t="shared" si="15"/>
        <v>#DIV/0!</v>
      </c>
      <c r="G52" s="3292" t="s">
        <v>2772</v>
      </c>
      <c r="H52" s="1106" t="str">
        <f>项目基本情况!B37</f>
        <v>二级</v>
      </c>
      <c r="I52" s="944">
        <f>SUMIF(修正!A45:A56,H52,修正!B45:B56)</f>
        <v>0.8</v>
      </c>
      <c r="J52" s="945"/>
      <c r="K52" s="1146"/>
      <c r="L52" s="943"/>
      <c r="M52" s="943"/>
      <c r="N52" s="943"/>
      <c r="O52" s="943"/>
    </row>
    <row r="53" spans="1:17" s="692" customFormat="1">
      <c r="A53" s="693" t="s">
        <v>2773</v>
      </c>
      <c r="B53" s="262" t="e">
        <f t="shared" ref="B53:B60" si="17">ROUND($C$43*C53*D53,0)</f>
        <v>#DIV/0!</v>
      </c>
      <c r="C53" s="200">
        <f t="shared" si="16"/>
        <v>0.5</v>
      </c>
      <c r="D53" s="1166">
        <v>0.25</v>
      </c>
      <c r="E53" s="694"/>
      <c r="F53" s="691" t="e">
        <f t="shared" si="15"/>
        <v>#DIV/0!</v>
      </c>
      <c r="G53" s="3292"/>
      <c r="H53" s="1106" t="str">
        <f>项目基本情况!B37</f>
        <v>二级</v>
      </c>
      <c r="I53" s="944">
        <f>SUMIF(修正!A45:A56,H53,修正!C45:C56)</f>
        <v>0.5</v>
      </c>
      <c r="J53" s="945"/>
      <c r="K53" s="1147"/>
      <c r="L53" s="943"/>
      <c r="M53" s="943"/>
      <c r="N53" s="943"/>
      <c r="O53" s="943"/>
    </row>
    <row r="54" spans="1:17" s="692" customFormat="1">
      <c r="A54" s="693" t="s">
        <v>2774</v>
      </c>
      <c r="B54" s="262" t="e">
        <f t="shared" si="17"/>
        <v>#DIV/0!</v>
      </c>
      <c r="C54" s="200">
        <f t="shared" si="16"/>
        <v>0.36</v>
      </c>
      <c r="D54" s="1166">
        <v>0.25</v>
      </c>
      <c r="E54" s="694"/>
      <c r="F54" s="691" t="e">
        <f t="shared" si="15"/>
        <v>#DIV/0!</v>
      </c>
      <c r="G54" s="3292"/>
      <c r="H54" s="1106" t="str">
        <f>项目基本情况!B37</f>
        <v>二级</v>
      </c>
      <c r="I54" s="944">
        <f>SUMIF(修正!A45:A56,H54,修正!D45:D56)</f>
        <v>0.36</v>
      </c>
      <c r="J54" s="945"/>
      <c r="K54" s="1146"/>
      <c r="L54" s="943"/>
      <c r="M54" s="943"/>
      <c r="N54" s="943"/>
      <c r="O54" s="943"/>
    </row>
    <row r="55" spans="1:17" s="692" customFormat="1">
      <c r="A55" s="693" t="s">
        <v>2775</v>
      </c>
      <c r="B55" s="262" t="e">
        <f t="shared" si="17"/>
        <v>#DIV/0!</v>
      </c>
      <c r="C55" s="200">
        <f t="shared" si="16"/>
        <v>0.3</v>
      </c>
      <c r="D55" s="1166">
        <v>0.25</v>
      </c>
      <c r="E55" s="694"/>
      <c r="F55" s="691" t="e">
        <f t="shared" si="15"/>
        <v>#DIV/0!</v>
      </c>
      <c r="G55" s="3292"/>
      <c r="H55" s="1106" t="str">
        <f>项目基本情况!B37</f>
        <v>二级</v>
      </c>
      <c r="I55" s="944">
        <f>SUMIF(修正!A45:A56,H55,修正!E45:E56)</f>
        <v>0.3</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12"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0.25</v>
      </c>
      <c r="D59" s="1166">
        <v>0.25</v>
      </c>
      <c r="E59" s="261">
        <f>'数据-汇总表'!E14</f>
        <v>0</v>
      </c>
      <c r="F59" s="691" t="e">
        <f t="shared" si="15"/>
        <v>#DIV/0!</v>
      </c>
      <c r="G59" s="2712" t="s">
        <v>2772</v>
      </c>
      <c r="H59" s="1106" t="str">
        <f>项目基本情况!B37</f>
        <v>二级</v>
      </c>
      <c r="I59" s="944">
        <f>SUMIF(修正!A45:A56,H59,修正!H45:H56)</f>
        <v>0.25</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13"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2044.09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2677</v>
      </c>
      <c r="B64" s="759"/>
      <c r="C64" s="764"/>
      <c r="D64" s="764"/>
      <c r="E64" s="764"/>
      <c r="F64" s="765"/>
      <c r="G64" s="765"/>
      <c r="H64" s="764"/>
      <c r="I64" s="764"/>
      <c r="J64" s="764"/>
      <c r="K64" s="766"/>
      <c r="L64" s="767"/>
      <c r="M64" s="764"/>
      <c r="N64" s="764"/>
      <c r="O64" s="1161"/>
      <c r="P64" s="503"/>
      <c r="Q64" s="504"/>
    </row>
    <row r="65" spans="1:17" s="508" customFormat="1" ht="15">
      <c r="A65" s="2714" t="s">
        <v>2785</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2805</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2591</v>
      </c>
      <c r="B70" s="528" t="s">
        <v>2557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C56" sqref="C5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2807</v>
      </c>
      <c r="B1" s="241"/>
      <c r="C1" s="245" t="s">
        <v>2808</v>
      </c>
      <c r="D1" s="388">
        <f>SUM(D29:D30,D33:D39)</f>
        <v>7253.4400000000014</v>
      </c>
      <c r="E1" s="2720"/>
      <c r="F1" s="2720"/>
      <c r="G1" s="2720"/>
      <c r="H1" s="2720"/>
      <c r="I1" s="2720"/>
      <c r="J1" s="2720"/>
      <c r="K1" s="1372"/>
      <c r="L1" s="2721" t="s">
        <v>2809</v>
      </c>
      <c r="M1" s="1082">
        <f>SUMPRODUCT((区片价!B5:B9=I2)*(区片价!C3:F3=E2)*(区片价!C5:F9))</f>
        <v>0</v>
      </c>
      <c r="N1" s="1085">
        <f>SUMPRODUCT((因素修正幅度!B5:B9=I2)*(因素修正幅度!C3:F3=E2)*(因素修正幅度!C5:F9))</f>
        <v>0</v>
      </c>
      <c r="O1" s="2722"/>
      <c r="P1" s="2722"/>
      <c r="Q1" s="1372"/>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20290</v>
      </c>
      <c r="C2" s="2724" t="s">
        <v>2816</v>
      </c>
      <c r="D2" s="2725" t="s">
        <v>2817</v>
      </c>
      <c r="E2" s="2726" t="s">
        <v>1378</v>
      </c>
      <c r="F2" s="2725" t="s">
        <v>2818</v>
      </c>
      <c r="G2" s="2727" t="str">
        <f>IF(E2="商业",项目基本情况!B37,IF(E2="办公",项目基本情况!C37,IF(E2="住宅",项目基本情况!D37,项目基本情况!E37)))</f>
        <v>二级</v>
      </c>
      <c r="H2" s="2725" t="s">
        <v>2819</v>
      </c>
      <c r="I2" s="2727" t="str">
        <f>IF(E2="商业",项目基本情况!B38,IF(E2="办公",项目基本情况!C38,IF(E2="住宅",项目基本情况!D38,项目基本情况!E38)))</f>
        <v>Ⅱ—14</v>
      </c>
      <c r="J2" s="2728"/>
      <c r="K2" s="1372"/>
      <c r="L2" s="2729" t="s">
        <v>2820</v>
      </c>
      <c r="M2" s="1083">
        <f>SUMPRODUCT((区片价!B10:B28=I2)*(区片价!C3:F3=E2)*(区片价!C10:F28))</f>
        <v>24700</v>
      </c>
      <c r="N2" s="1085">
        <f>SUMPRODUCT((因素修正幅度!B10:B28=I2)*(因素修正幅度!C3:F3=E2)*(因素修正幅度!C10:F28))</f>
        <v>9.9000000000000005E-2</v>
      </c>
      <c r="O2" s="1372"/>
      <c r="P2" s="1372"/>
      <c r="Q2" s="1372"/>
      <c r="R2" s="1605">
        <v>1</v>
      </c>
      <c r="S2" s="1605">
        <f>ROUND(IF(G3&gt;1,IF(R2&lt;7,SUMPRODUCT((B93:B98=R2)*(C92:N92=G2)*(C93:N98)),SUMIF(C92:N92,G2,C100:N100)),IF(R2&lt;7,SUMPRODUCT((B102:B107=R2)*(C92:N92=G2)*(C102:N107)),SUMIF(C92:N92,G2,C109:N109))),4)</f>
        <v>1.9361999999999999</v>
      </c>
      <c r="T2" s="1605">
        <f ca="1">ROUND($C$5*$C$18*$C$19*$C$20*S2*$C$24,0)</f>
        <v>54340</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27973</v>
      </c>
      <c r="C3" s="2724" t="s">
        <v>2822</v>
      </c>
      <c r="D3" s="2725" t="s">
        <v>2823</v>
      </c>
      <c r="E3" s="2730" t="s">
        <v>3187</v>
      </c>
      <c r="F3" s="2731" t="s">
        <v>2824</v>
      </c>
      <c r="G3" s="915">
        <f>IF(F3="宗地容积率",'数据-汇总表'!I4,IF(F3="估价对象容积率",'数据-汇总表'!I6,'数据-汇总表'!I7))</f>
        <v>3.55</v>
      </c>
      <c r="H3" s="198" t="s">
        <v>2825</v>
      </c>
      <c r="I3" s="946"/>
      <c r="J3" s="2728" t="s">
        <v>2826</v>
      </c>
      <c r="K3" s="1372"/>
      <c r="L3" s="2729" t="s">
        <v>2827</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1.4198</v>
      </c>
      <c r="T3" s="1605">
        <f t="shared" ref="T3:T16" ca="1" si="0">ROUND($C$5*$C$18*$C$19*$C$20*S3*$C$24,0)</f>
        <v>39847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11"/>
      <c r="B4" s="3312"/>
      <c r="C4" s="3312"/>
      <c r="D4" s="3313"/>
      <c r="E4" s="3313"/>
      <c r="F4" s="3313"/>
      <c r="G4" s="3313"/>
      <c r="H4" s="3313"/>
      <c r="I4" s="3313"/>
      <c r="J4" s="3314"/>
      <c r="K4" s="1372"/>
      <c r="L4" s="2729" t="s">
        <v>2828</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1.1594</v>
      </c>
      <c r="T4" s="1605">
        <f t="shared" ca="1" si="0"/>
        <v>32539</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6">
        <f>ROUND(IF(E2="商业",IF(F16="增加",C6*C7+C16,C6*C7-C16),IF(E2="住宅",IF(F16="增加",C6*C12+C16,C6*C12-C16),IF(F16="增加",C6+C16,C6-C16))),0)</f>
        <v>24683</v>
      </c>
      <c r="D5" s="1790">
        <f>ROUND(IF(E2="商业",IF(F16="增加",C6+C16,C6-C16)),0)</f>
        <v>24683</v>
      </c>
      <c r="E5" s="2734"/>
      <c r="F5" s="2734"/>
      <c r="G5" s="2735"/>
      <c r="H5" s="2735"/>
      <c r="I5" s="2735"/>
      <c r="J5" s="2736"/>
      <c r="K5" s="2737"/>
      <c r="L5" s="2729" t="s">
        <v>2830</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0.96220000000000006</v>
      </c>
      <c r="T5" s="1605">
        <f t="shared" ca="1" si="0"/>
        <v>27005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2831</v>
      </c>
      <c r="B6" s="2743" t="s">
        <v>2832</v>
      </c>
      <c r="C6" s="917">
        <f>SUMIF(L1:L12,G2,M1:M12)</f>
        <v>24700</v>
      </c>
      <c r="D6" s="2744" t="s">
        <v>2833</v>
      </c>
      <c r="E6" s="2745"/>
      <c r="F6" s="2745"/>
      <c r="G6" s="2746"/>
      <c r="H6" s="2746"/>
      <c r="I6" s="2746"/>
      <c r="J6" s="2747"/>
      <c r="K6" s="1845"/>
      <c r="L6" s="2729" t="s">
        <v>2834</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0.8417</v>
      </c>
      <c r="T6" s="1605">
        <f t="shared" ca="1" si="0"/>
        <v>23623</v>
      </c>
      <c r="U6" s="1606"/>
      <c r="V6" s="1605">
        <f t="shared" ca="1" si="1"/>
        <v>0</v>
      </c>
      <c r="W6" s="1609"/>
      <c r="X6" s="1609"/>
      <c r="Y6" s="1609"/>
      <c r="Z6" s="1609"/>
      <c r="AA6" s="1609"/>
      <c r="AB6" s="1609"/>
      <c r="AC6" s="2738"/>
      <c r="AD6" s="2739"/>
      <c r="AE6" s="2739"/>
      <c r="AF6" s="2739"/>
      <c r="AG6" s="2739"/>
      <c r="AH6" s="2739"/>
      <c r="AI6" s="2739"/>
      <c r="AJ6" s="2740"/>
    </row>
    <row r="7" spans="1:36" ht="24">
      <c r="A7" s="3297" t="str">
        <f>IF(E2="商业",IF(C8="不临58条商业街","",2),"")</f>
        <v/>
      </c>
      <c r="B7" s="2748" t="s">
        <v>2835</v>
      </c>
      <c r="C7" s="918">
        <f>IF(C8="不临58条商业街",1,ROUND(1+(1.6*E8+1.2*E9+0.8*E10+0.4*E11)*C9,4))</f>
        <v>1</v>
      </c>
      <c r="D7" s="2749" t="s">
        <v>2836</v>
      </c>
      <c r="E7" s="947"/>
      <c r="F7" s="2750"/>
      <c r="G7" s="2751"/>
      <c r="H7" s="2751"/>
      <c r="I7" s="2751"/>
      <c r="J7" s="2752"/>
      <c r="K7" s="1845"/>
      <c r="L7" s="2729" t="s">
        <v>2837</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0.76080000000000003</v>
      </c>
      <c r="T7" s="1605">
        <f t="shared" ca="1" si="0"/>
        <v>21352</v>
      </c>
      <c r="U7" s="1606"/>
      <c r="V7" s="1605">
        <f t="shared" ca="1" si="1"/>
        <v>0</v>
      </c>
      <c r="W7" s="1819" t="s">
        <v>2838</v>
      </c>
      <c r="X7" s="1607" t="str">
        <f>G2</f>
        <v>二级</v>
      </c>
      <c r="Y7" s="1607" t="s">
        <v>2839</v>
      </c>
      <c r="Z7" s="1608">
        <f>G3</f>
        <v>3.55</v>
      </c>
      <c r="AA7" s="1609"/>
      <c r="AB7" s="1609"/>
      <c r="AC7" s="1610"/>
      <c r="AD7" s="1611"/>
      <c r="AE7" s="1611"/>
      <c r="AF7" s="1611"/>
      <c r="AG7" s="1611"/>
      <c r="AH7" s="1611"/>
      <c r="AI7" s="1611"/>
      <c r="AJ7" s="1612"/>
    </row>
    <row r="8" spans="1:36" ht="25.5">
      <c r="A8" s="3298"/>
      <c r="B8" s="198" t="s">
        <v>2840</v>
      </c>
      <c r="C8" s="2753" t="s">
        <v>3188</v>
      </c>
      <c r="D8" s="919" t="s">
        <v>139</v>
      </c>
      <c r="E8" s="920" t="e">
        <f>ROUND(C11/E7,4)</f>
        <v>#DIV/0!</v>
      </c>
      <c r="F8" s="2754" t="s">
        <v>2841</v>
      </c>
      <c r="G8" s="2755"/>
      <c r="H8" s="2755"/>
      <c r="I8" s="2755"/>
      <c r="J8" s="2756"/>
      <c r="K8" s="1372"/>
      <c r="L8" s="2729" t="s">
        <v>2842</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308" t="s">
        <v>2843</v>
      </c>
      <c r="X8" s="3309"/>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8"/>
      <c r="B9" s="198" t="s">
        <v>2856</v>
      </c>
      <c r="C9" s="921">
        <f>SUMIF(修正!C59:C119,C8,修正!E59:E119)</f>
        <v>0</v>
      </c>
      <c r="D9" s="200" t="s">
        <v>140</v>
      </c>
      <c r="E9" s="200" t="e">
        <f>ROUND(C11/E7,4)</f>
        <v>#DIV/0!</v>
      </c>
      <c r="F9" s="2754" t="s">
        <v>2857</v>
      </c>
      <c r="G9" s="2755"/>
      <c r="H9" s="2755"/>
      <c r="I9" s="2755"/>
      <c r="J9" s="2756"/>
      <c r="K9" s="1372"/>
      <c r="L9" s="2729" t="s">
        <v>2858</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310"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8"/>
      <c r="B10" s="198" t="s">
        <v>2861</v>
      </c>
      <c r="C10" s="200">
        <f>SUMIF(修正!C59:C119,C8,修正!F59:F119)</f>
        <v>0</v>
      </c>
      <c r="D10" s="200" t="s">
        <v>141</v>
      </c>
      <c r="E10" s="200" t="e">
        <f>ROUND(C11/E7,4)</f>
        <v>#DIV/0!</v>
      </c>
      <c r="F10" s="2754" t="s">
        <v>2862</v>
      </c>
      <c r="G10" s="2755"/>
      <c r="H10" s="2755"/>
      <c r="I10" s="2755"/>
      <c r="J10" s="2756"/>
      <c r="K10" s="1372"/>
      <c r="L10" s="2729" t="s">
        <v>2863</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31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8"/>
      <c r="B11" s="2757" t="s">
        <v>2864</v>
      </c>
      <c r="C11" s="922">
        <f>C10/4</f>
        <v>0</v>
      </c>
      <c r="D11" s="922" t="s">
        <v>142</v>
      </c>
      <c r="E11" s="922" t="e">
        <f>ROUND(C11/E7,4)</f>
        <v>#DIV/0!</v>
      </c>
      <c r="F11" s="2758" t="s">
        <v>2865</v>
      </c>
      <c r="G11" s="2759"/>
      <c r="H11" s="2759"/>
      <c r="I11" s="2759"/>
      <c r="J11" s="2760"/>
      <c r="K11" s="1372"/>
      <c r="L11" s="2729" t="s">
        <v>2866</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310" t="s">
        <v>2867</v>
      </c>
      <c r="X11" s="1617" t="s">
        <v>2868</v>
      </c>
      <c r="Y11" s="1618">
        <f>$G$3</f>
        <v>3.55</v>
      </c>
      <c r="Z11" s="1618">
        <f t="shared" ref="Z11:AJ11" si="3">$G$3</f>
        <v>3.55</v>
      </c>
      <c r="AA11" s="1618">
        <f t="shared" si="3"/>
        <v>3.55</v>
      </c>
      <c r="AB11" s="1618">
        <f t="shared" si="3"/>
        <v>3.55</v>
      </c>
      <c r="AC11" s="1618">
        <f t="shared" si="3"/>
        <v>3.55</v>
      </c>
      <c r="AD11" s="1618">
        <f t="shared" si="3"/>
        <v>3.55</v>
      </c>
      <c r="AE11" s="1618">
        <f t="shared" si="3"/>
        <v>3.55</v>
      </c>
      <c r="AF11" s="1618">
        <f t="shared" si="3"/>
        <v>3.55</v>
      </c>
      <c r="AG11" s="1618">
        <f t="shared" si="3"/>
        <v>3.55</v>
      </c>
      <c r="AH11" s="1618">
        <f t="shared" si="3"/>
        <v>3.55</v>
      </c>
      <c r="AI11" s="1618">
        <f t="shared" si="3"/>
        <v>3.55</v>
      </c>
      <c r="AJ11" s="1618">
        <f t="shared" si="3"/>
        <v>3.55</v>
      </c>
    </row>
    <row r="12" spans="1:36" ht="25.5" thickBot="1">
      <c r="A12" s="3297" t="s">
        <v>2869</v>
      </c>
      <c r="B12" s="2761" t="s">
        <v>2870</v>
      </c>
      <c r="C12" s="918">
        <f>ROUND(C15*D15*E15*F15*G15*H15*I15*J15,4)</f>
        <v>1</v>
      </c>
      <c r="D12" s="2762" t="s">
        <v>2871</v>
      </c>
      <c r="E12" s="2763"/>
      <c r="F12" s="2763"/>
      <c r="G12" s="2764"/>
      <c r="H12" s="2764"/>
      <c r="I12" s="2764"/>
      <c r="J12" s="2765"/>
      <c r="K12" s="1372"/>
      <c r="L12" s="2766" t="s">
        <v>2872</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310"/>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5"/>
      <c r="B13" s="2767" t="s">
        <v>2874</v>
      </c>
      <c r="C13" s="2768" t="s">
        <v>2875</v>
      </c>
      <c r="D13" s="1811" t="s">
        <v>2876</v>
      </c>
      <c r="E13" s="1811" t="s">
        <v>2877</v>
      </c>
      <c r="F13" s="30" t="s">
        <v>2878</v>
      </c>
      <c r="G13" s="2769" t="s">
        <v>2879</v>
      </c>
      <c r="H13" s="2769" t="s">
        <v>2879</v>
      </c>
      <c r="I13" s="2769" t="s">
        <v>2879</v>
      </c>
      <c r="J13" s="2770" t="s">
        <v>2879</v>
      </c>
      <c r="K13" s="1372"/>
      <c r="L13" s="1372"/>
      <c r="M13" s="1372"/>
      <c r="N13" s="1372"/>
      <c r="O13" s="1372"/>
      <c r="P13" s="1372"/>
      <c r="Q13" s="1372"/>
      <c r="R13" s="1605">
        <v>12</v>
      </c>
      <c r="S13" s="1606"/>
      <c r="T13" s="1605">
        <f t="shared" ca="1" si="0"/>
        <v>0</v>
      </c>
      <c r="U13" s="1606"/>
      <c r="V13" s="1605">
        <f t="shared" ca="1" si="1"/>
        <v>0</v>
      </c>
      <c r="W13" s="3310"/>
      <c r="X13" s="1619"/>
      <c r="Y13" s="1616">
        <f>(-0.163*(Y12^2)-0.59*Y12+7617)*(10^(-4))/Y11</f>
        <v>0.21456338028169017</v>
      </c>
      <c r="Z13" s="1616">
        <f t="shared" ref="Z13:AJ13" si="5">(-0.163*(Z12^2)-0.59*Z12+7617)*(10^(-4))/Z11</f>
        <v>0.21456338028169017</v>
      </c>
      <c r="AA13" s="1616">
        <f t="shared" si="5"/>
        <v>0.21456338028169017</v>
      </c>
      <c r="AB13" s="1616">
        <f t="shared" si="5"/>
        <v>0.21456338028169017</v>
      </c>
      <c r="AC13" s="1616">
        <f t="shared" si="5"/>
        <v>0.21456338028169017</v>
      </c>
      <c r="AD13" s="1616">
        <f t="shared" si="5"/>
        <v>0.21456338028169017</v>
      </c>
      <c r="AE13" s="1616">
        <f t="shared" si="5"/>
        <v>0.21456338028169017</v>
      </c>
      <c r="AF13" s="1616">
        <f t="shared" si="5"/>
        <v>0.21456338028169017</v>
      </c>
      <c r="AG13" s="1616">
        <f t="shared" si="5"/>
        <v>0.21456338028169017</v>
      </c>
      <c r="AH13" s="1616">
        <f t="shared" si="5"/>
        <v>0.21456338028169017</v>
      </c>
      <c r="AI13" s="1616">
        <f t="shared" si="5"/>
        <v>0.21456338028169017</v>
      </c>
      <c r="AJ13" s="1616">
        <f t="shared" si="5"/>
        <v>0.21456338028169017</v>
      </c>
    </row>
    <row r="14" spans="1:36" ht="15">
      <c r="A14" s="3315"/>
      <c r="B14" s="2771"/>
      <c r="C14" s="2772"/>
      <c r="D14" s="2773"/>
      <c r="E14" s="2773"/>
      <c r="F14" s="2774"/>
      <c r="G14" s="2775" t="s">
        <v>2880</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16"/>
      <c r="B15" s="2779" t="s">
        <v>2881</v>
      </c>
      <c r="C15" s="229">
        <f>IF(C14="有",1.1,1)</f>
        <v>1</v>
      </c>
      <c r="D15" s="229">
        <f>IF(D14="有",1.1,1)</f>
        <v>1</v>
      </c>
      <c r="E15" s="229">
        <f>IF(E14="有",1.1,1)</f>
        <v>1</v>
      </c>
      <c r="F15" s="229">
        <f>IF(F14="500米范围内",1.2,IF(F14="500-1000米",1.1,1))</f>
        <v>1</v>
      </c>
      <c r="G15" s="948">
        <v>1</v>
      </c>
      <c r="H15" s="948">
        <v>1</v>
      </c>
      <c r="I15" s="948">
        <v>1</v>
      </c>
      <c r="J15" s="949">
        <v>1</v>
      </c>
      <c r="K15" s="1372"/>
      <c r="L15" s="2780" t="s">
        <v>2817</v>
      </c>
      <c r="M15" s="919" t="s">
        <v>2882</v>
      </c>
      <c r="N15" s="919" t="s">
        <v>2883</v>
      </c>
      <c r="O15" s="919" t="s">
        <v>2884</v>
      </c>
      <c r="P15" s="2781" t="s">
        <v>2885</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7" t="s">
        <v>2886</v>
      </c>
      <c r="B16" s="2748" t="s">
        <v>2887</v>
      </c>
      <c r="C16" s="1804">
        <f>ROUND(SUM(G17:J17)/C17,0)</f>
        <v>17</v>
      </c>
      <c r="D16" s="2782" t="s">
        <v>2888</v>
      </c>
      <c r="E16" s="2783" t="s">
        <v>3209</v>
      </c>
      <c r="F16" s="2784" t="s">
        <v>3189</v>
      </c>
      <c r="G16" s="2785" t="s">
        <v>3190</v>
      </c>
      <c r="H16" s="2785"/>
      <c r="I16" s="2785"/>
      <c r="J16" s="2786"/>
      <c r="K16" s="1372"/>
      <c r="L16" s="2787" t="s">
        <v>2889</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8"/>
      <c r="B17" s="2788" t="s">
        <v>2890</v>
      </c>
      <c r="C17" s="923">
        <f>SUMPRODUCT((修正!A2:A5=E2)*(修正!B1:M1=G2)*(修正!B2:M5))</f>
        <v>3.5</v>
      </c>
      <c r="D17" s="2789" t="s">
        <v>2891</v>
      </c>
      <c r="E17" s="922" t="str">
        <f>IF(OR(G2="八级",G2="九级",G2="十级",G2="十一级",G2="十二级"),"五通一平","七通一平")</f>
        <v>七通一平</v>
      </c>
      <c r="F17" s="923" t="s">
        <v>2892</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90"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2894</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25" thickBot="1">
      <c r="A19" s="2792" t="s">
        <v>809</v>
      </c>
      <c r="B19" s="2793" t="s">
        <v>2895</v>
      </c>
      <c r="C19" s="926">
        <f>ROUND(IF(H19="按公示增长率计算",SUMPRODUCT((地价!A3:A20=YEAR(G19)&amp;"-"&amp;ROUNDUP(MONTH(G19)/3,0))*(地价!X2:AB2=E2)*(地价!X3:AB20)),IF(H19="地价指数",M20/M19,(1+I19)^O19)),4)</f>
        <v>1.2875000000000001</v>
      </c>
      <c r="D19" s="2800" t="s">
        <v>2896</v>
      </c>
      <c r="E19" s="927">
        <v>41640</v>
      </c>
      <c r="F19" s="2800" t="s">
        <v>2897</v>
      </c>
      <c r="G19" s="928">
        <f>'数据-取费表'!B2</f>
        <v>43109</v>
      </c>
      <c r="H19" s="2801" t="s">
        <v>3192</v>
      </c>
      <c r="I19" s="929" t="str">
        <f>IF(H19="季度增幅（自定义）",SUMIF(N21:N24,E2,O21:O24),"")</f>
        <v/>
      </c>
      <c r="J19" s="2798"/>
      <c r="K19" s="1379"/>
      <c r="L19" s="2802" t="s">
        <v>2898</v>
      </c>
      <c r="M19" s="1737">
        <f>ROUND(SUMIF(地价!B2:F2,E2,地价!B20:F20),0)</f>
        <v>258</v>
      </c>
      <c r="N19" s="2803" t="s">
        <v>2899</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2900</v>
      </c>
      <c r="C20" s="931">
        <f ca="1">ROUND(POWER(1+G20,J20-I20)*(POWER(1+G20,I20)-1)/(POWER(1+G20,J20)-1),4)</f>
        <v>0.85599999999999998</v>
      </c>
      <c r="D20" s="2809" t="s">
        <v>2901</v>
      </c>
      <c r="E20" s="1771">
        <f ca="1">存贷款利率!D4/100</f>
        <v>4.3499999999999997E-2</v>
      </c>
      <c r="F20" s="2809" t="s">
        <v>2893</v>
      </c>
      <c r="G20" s="936">
        <f ca="1">SUMIF(M15:P15,E2,M17:P17)</f>
        <v>5.3999999999999999E-2</v>
      </c>
      <c r="H20" s="2809" t="s">
        <v>2902</v>
      </c>
      <c r="I20" s="937">
        <f>SUMIF('数据-取费表'!C6:C15,E2,'数据-取费表'!F6:F15)/COUNTIF('数据-取费表'!C6:C15,E2)</f>
        <v>26.48</v>
      </c>
      <c r="J20" s="938">
        <f>IF(E2="住宅",70,IF(E2="商业",40,50))</f>
        <v>40</v>
      </c>
      <c r="K20" s="1379"/>
      <c r="L20" s="2810" t="s">
        <v>2903</v>
      </c>
      <c r="M20" s="1738">
        <f>ROUND(SUMPRODUCT((地价!A5:A20=YEAR(G19)&amp;"-"&amp;ROUNDUP(MONTH(G19)/3,0))*(地价!B2:F2=E2)*(地价!B5:F20)),0)</f>
        <v>0</v>
      </c>
      <c r="N20" s="2811" t="s">
        <v>2904</v>
      </c>
      <c r="O20" s="2812" t="s">
        <v>2905</v>
      </c>
      <c r="P20" s="2813" t="s">
        <v>2906</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3191</v>
      </c>
      <c r="C21" s="939">
        <f>IF(B21="容积率修正",IF(G3&lt;=10,D22,J22),C23)</f>
        <v>0.99670000000000003</v>
      </c>
      <c r="D21" s="2816"/>
      <c r="E21" s="2816"/>
      <c r="F21" s="2816"/>
      <c r="G21" s="2816"/>
      <c r="H21" s="2816"/>
      <c r="I21" s="2816"/>
      <c r="J21" s="2817"/>
      <c r="K21" s="1379"/>
      <c r="N21" s="2818" t="s">
        <v>2907</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2908</v>
      </c>
      <c r="B22" s="2819" t="s">
        <v>2909</v>
      </c>
      <c r="C22" s="1813" t="s">
        <v>2910</v>
      </c>
      <c r="D22" s="1813">
        <f>IF(E22=G22,F22,IF(G3&lt;=10,ROUND(F22+(H22-F22)*(G3-E22)/(G22-E22),4),"——"))</f>
        <v>0.99670000000000003</v>
      </c>
      <c r="E22" s="915">
        <f>ROUNDDOWN(G3,1)</f>
        <v>3.5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3.6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0.99329999999999996</v>
      </c>
      <c r="I22" s="1813" t="s">
        <v>155</v>
      </c>
      <c r="J22" s="940" t="str">
        <f>IF(G3&gt;10,D113,"——")</f>
        <v>——</v>
      </c>
      <c r="K22" s="1379"/>
      <c r="N22" s="2818" t="s">
        <v>2911</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2912</v>
      </c>
      <c r="B23" s="2820" t="s">
        <v>2913</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2914</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2915</v>
      </c>
      <c r="C24" s="926">
        <f>SUMIF(A45:A88,E2,B45:B88)</f>
        <v>1.0317000000000001</v>
      </c>
      <c r="D24" s="2796"/>
      <c r="E24" s="2826"/>
      <c r="F24" s="2826"/>
      <c r="G24" s="2826"/>
      <c r="H24" s="2826"/>
      <c r="I24" s="2826"/>
      <c r="J24" s="2827"/>
      <c r="K24" s="1379"/>
      <c r="N24" s="2828" t="s">
        <v>2916</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2917</v>
      </c>
      <c r="C25" s="932"/>
      <c r="D25" s="2751"/>
      <c r="E25" s="2751"/>
      <c r="F25" s="2830"/>
      <c r="G25" s="2751"/>
      <c r="H25" s="2751"/>
      <c r="I25" s="2751"/>
      <c r="J25" s="2752"/>
      <c r="K25" s="1372"/>
      <c r="N25" s="2831" t="s">
        <v>2918</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2919</v>
      </c>
      <c r="C26" s="206">
        <f ca="1">E29+SUM(E33:E39)</f>
        <v>20290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2920</v>
      </c>
      <c r="C27" s="933" t="e">
        <f ca="1">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2921</v>
      </c>
      <c r="C28" s="2843" t="s">
        <v>2922</v>
      </c>
      <c r="D28" s="2843" t="s">
        <v>2923</v>
      </c>
      <c r="E28" s="2844" t="s">
        <v>2924</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2925</v>
      </c>
      <c r="C29" s="206">
        <f ca="1">ROUND(C5*C18*C19*C20*C21*C24,0)</f>
        <v>27973</v>
      </c>
      <c r="D29" s="2848">
        <f>'数据-汇总表'!E3</f>
        <v>7253.4400000000014</v>
      </c>
      <c r="E29" s="944">
        <f ca="1">ROUND(C29*D29/10000,0)</f>
        <v>20290</v>
      </c>
      <c r="F29" s="2849" t="s">
        <v>2926</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2927</v>
      </c>
      <c r="C30" s="229">
        <f ca="1">ROUND(IF(E2="工业",C29*M39,C29*M38),0)</f>
        <v>6993</v>
      </c>
      <c r="D30" s="2854"/>
      <c r="E30" s="944">
        <f ca="1">ROUND(C30*D30/10000,0)</f>
        <v>0</v>
      </c>
      <c r="F30" s="2855" t="s">
        <v>2928</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305" t="s">
        <v>2933</v>
      </c>
      <c r="B33" s="2864" t="s">
        <v>2934</v>
      </c>
      <c r="C33" s="206">
        <f ca="1">ROUND(D5*C19*C20*C24*F33,0)</f>
        <v>22452</v>
      </c>
      <c r="D33" s="2848"/>
      <c r="E33" s="200">
        <f ca="1">ROUND(C33*D33/10000,0)</f>
        <v>0</v>
      </c>
      <c r="F33" s="200">
        <f>SUMIF(修正!A45:A56,G2,修正!B45:B56)</f>
        <v>0.8</v>
      </c>
      <c r="G33" s="200">
        <f t="shared" ref="G33:G39" ca="1" si="6">ROUND(IF(E2="工业",C33*$M$39,C33*$M$38),0)</f>
        <v>5613</v>
      </c>
      <c r="H33" s="200">
        <f>D33</f>
        <v>0</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6"/>
      <c r="B34" s="2768" t="s">
        <v>2935</v>
      </c>
      <c r="C34" s="206">
        <f ca="1">ROUND(D5*C19*C20*C24*F34,0)</f>
        <v>14033</v>
      </c>
      <c r="D34" s="2848"/>
      <c r="E34" s="200">
        <f t="shared" ref="E34:E39" ca="1" si="7">ROUND(C34*D34/10000,0)</f>
        <v>0</v>
      </c>
      <c r="F34" s="200">
        <f>SUMIF(修正!A45:A56,G2,修正!C45:C56)</f>
        <v>0.5</v>
      </c>
      <c r="G34" s="200">
        <f t="shared" ca="1" si="6"/>
        <v>3508</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6"/>
      <c r="B35" s="2768" t="s">
        <v>2936</v>
      </c>
      <c r="C35" s="206">
        <f ca="1">ROUND(D5*C19*C20*C24*F35,0)</f>
        <v>10104</v>
      </c>
      <c r="D35" s="2848"/>
      <c r="E35" s="200">
        <f t="shared" ca="1" si="7"/>
        <v>0</v>
      </c>
      <c r="F35" s="200">
        <f>SUMIF(修正!A45:A56,G2,修正!D45:D56)</f>
        <v>0.36</v>
      </c>
      <c r="G35" s="200">
        <f t="shared" ca="1" si="6"/>
        <v>2526</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307"/>
      <c r="B36" s="2768" t="s">
        <v>2937</v>
      </c>
      <c r="C36" s="206">
        <f ca="1">ROUND(D5*C19*C20*C24*F36,0)</f>
        <v>8420</v>
      </c>
      <c r="D36" s="2848"/>
      <c r="E36" s="200">
        <f t="shared" ca="1" si="7"/>
        <v>0</v>
      </c>
      <c r="F36" s="200">
        <f>SUMIF(修正!A45:A56,G2,修正!E45:E56)</f>
        <v>0.3</v>
      </c>
      <c r="G36" s="200">
        <f t="shared" ca="1" si="6"/>
        <v>2105</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2938</v>
      </c>
      <c r="C37" s="200">
        <f ca="1">ROUND(C5*C19*C20*C24*F37,0)</f>
        <v>8420</v>
      </c>
      <c r="D37" s="2848"/>
      <c r="E37" s="200">
        <f t="shared" ca="1" si="7"/>
        <v>0</v>
      </c>
      <c r="F37" s="206">
        <f>SUMIF(修正!A45:A56,G2,修正!F45:F56)</f>
        <v>0.3</v>
      </c>
      <c r="G37" s="200">
        <f t="shared" ca="1" si="6"/>
        <v>2105</v>
      </c>
      <c r="H37" s="200">
        <f t="shared" si="8"/>
        <v>0</v>
      </c>
      <c r="I37" s="200">
        <f t="shared" ca="1" si="9"/>
        <v>0</v>
      </c>
      <c r="J37" s="2865"/>
      <c r="K37" s="1372"/>
      <c r="L37" s="2867" t="s">
        <v>2939</v>
      </c>
      <c r="M37" s="2868"/>
      <c r="N37" s="1372"/>
      <c r="O37" s="1372"/>
      <c r="P37" s="1372"/>
      <c r="Q37" s="1372"/>
      <c r="R37" s="1372"/>
      <c r="S37" s="1372"/>
      <c r="T37" s="1372"/>
      <c r="U37" s="1372"/>
      <c r="V37" s="1372"/>
      <c r="W37" s="1372"/>
      <c r="X37" s="1372"/>
      <c r="Y37" s="1372"/>
      <c r="Z37" s="1373"/>
    </row>
    <row r="38" spans="1:37">
      <c r="A38" s="2866"/>
      <c r="B38" s="2768" t="s">
        <v>2940</v>
      </c>
      <c r="C38" s="200">
        <f ca="1">ROUND(C5*C19*C20*C24*F38,0)</f>
        <v>8420</v>
      </c>
      <c r="D38" s="2848"/>
      <c r="E38" s="200">
        <f t="shared" ca="1" si="7"/>
        <v>0</v>
      </c>
      <c r="F38" s="206">
        <f>SUMIF(修正!A45:A56,G2,修正!G45:G56)</f>
        <v>0.3</v>
      </c>
      <c r="G38" s="200">
        <f t="shared" ca="1" si="6"/>
        <v>2105</v>
      </c>
      <c r="H38" s="200">
        <f t="shared" si="8"/>
        <v>0</v>
      </c>
      <c r="I38" s="200">
        <f t="shared" ca="1" si="9"/>
        <v>0</v>
      </c>
      <c r="J38" s="2865"/>
      <c r="K38" s="1372"/>
      <c r="L38" s="1890" t="s">
        <v>2941</v>
      </c>
      <c r="M38" s="2869">
        <v>0.25</v>
      </c>
      <c r="N38" s="1372"/>
      <c r="O38" s="1372"/>
      <c r="P38" s="1372"/>
      <c r="Q38" s="1372"/>
      <c r="R38" s="1372"/>
      <c r="S38" s="1372"/>
      <c r="T38" s="1372"/>
      <c r="U38" s="1372"/>
      <c r="V38" s="1372"/>
      <c r="W38" s="1372"/>
      <c r="X38" s="1372"/>
      <c r="Y38" s="1372"/>
      <c r="Z38" s="1373"/>
    </row>
    <row r="39" spans="1:37" ht="13.5" thickBot="1">
      <c r="A39" s="2852"/>
      <c r="B39" s="2870" t="s">
        <v>2942</v>
      </c>
      <c r="C39" s="229">
        <f ca="1">ROUND(C5*C19*C20*C24*F39,0)</f>
        <v>7016</v>
      </c>
      <c r="D39" s="2854"/>
      <c r="E39" s="229">
        <f t="shared" ca="1" si="7"/>
        <v>0</v>
      </c>
      <c r="F39" s="934">
        <f>SUMIF(修正!A45:A56,G2,修正!H45:H56)</f>
        <v>0.25</v>
      </c>
      <c r="G39" s="229" t="e">
        <f t="shared" si="6"/>
        <v>#DIV/0!</v>
      </c>
      <c r="H39" s="229">
        <f t="shared" si="8"/>
        <v>0</v>
      </c>
      <c r="I39" s="229" t="e">
        <f t="shared" si="9"/>
        <v>#DIV/0!</v>
      </c>
      <c r="J39" s="2871"/>
      <c r="K39" s="1372"/>
      <c r="L39" s="2872" t="s">
        <v>2885</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2943</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2944</v>
      </c>
      <c r="B46" s="2878">
        <f>1+E48</f>
        <v>1.0317000000000001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2945</v>
      </c>
      <c r="B47" s="1812" t="s">
        <v>2946</v>
      </c>
      <c r="C47" s="1812" t="s">
        <v>2947</v>
      </c>
      <c r="D47" s="1812" t="s">
        <v>2948</v>
      </c>
      <c r="E47" s="818" t="s">
        <v>2949</v>
      </c>
      <c r="F47" s="2882" t="s">
        <v>2950</v>
      </c>
      <c r="G47" s="1812" t="s">
        <v>754</v>
      </c>
      <c r="H47" s="2883" t="s">
        <v>2951</v>
      </c>
      <c r="I47" s="1812" t="s">
        <v>2952</v>
      </c>
      <c r="J47" s="603" t="s">
        <v>2600</v>
      </c>
      <c r="K47" s="603" t="s">
        <v>2601</v>
      </c>
      <c r="L47" s="603" t="s">
        <v>2602</v>
      </c>
      <c r="M47" s="603" t="s">
        <v>2603</v>
      </c>
      <c r="N47" s="603" t="s">
        <v>2604</v>
      </c>
      <c r="AA47" s="1373"/>
      <c r="AB47" s="1373"/>
      <c r="AC47" s="1373"/>
      <c r="AD47" s="1373"/>
      <c r="AE47" s="1373"/>
      <c r="AF47" s="1373"/>
      <c r="AG47" s="1373"/>
      <c r="AH47" s="1373"/>
      <c r="AI47" s="1373"/>
      <c r="AJ47" s="1373"/>
      <c r="AK47" s="1373"/>
    </row>
    <row r="48" spans="1:37" s="1372" customFormat="1" ht="38.25">
      <c r="A48" s="2881" t="s">
        <v>2953</v>
      </c>
      <c r="B48" s="2884" t="str">
        <f>估价对象房地状况!C4</f>
        <v>估价对象位于XX商圈，周边商业氛围成熟，人流量大，商业繁华度好</v>
      </c>
      <c r="C48" s="3008" t="s">
        <v>3193</v>
      </c>
      <c r="D48" s="1288">
        <f t="shared" ref="D48:D56" si="10">SUMIF($J$47:$N$47,C48,J48:N48)</f>
        <v>0</v>
      </c>
      <c r="E48" s="820">
        <f>ROUND(SUM(D48:D56),4)</f>
        <v>3.1699999999999999E-2</v>
      </c>
      <c r="F48" s="2504">
        <f>IF(E2="商业",SUMIF(L1:L12,G2,N1:N12),"——")</f>
        <v>9.9000000000000005E-2</v>
      </c>
      <c r="G48" s="1286">
        <f>H48</f>
        <v>1.6299999999999999E-2</v>
      </c>
      <c r="H48" s="1290">
        <f t="shared" ref="H48:H56" si="11">IFERROR(ROUNDDOWN($F$48*I48/2,4),"——")</f>
        <v>1.6299999999999999E-2</v>
      </c>
      <c r="I48" s="819">
        <v>0.33</v>
      </c>
      <c r="J48" s="1287">
        <f t="shared" ref="J48:J56" si="12">K48+$G48</f>
        <v>3.2599999999999997E-2</v>
      </c>
      <c r="K48" s="1287">
        <f t="shared" ref="K48:K56" si="13">$L48+$G48</f>
        <v>1.6299999999999999E-2</v>
      </c>
      <c r="L48" s="1287">
        <v>0</v>
      </c>
      <c r="M48" s="1287">
        <f t="shared" ref="M48:N56" si="14">L48-$G48</f>
        <v>-1.6299999999999999E-2</v>
      </c>
      <c r="N48" s="1287">
        <f t="shared" si="14"/>
        <v>-3.2599999999999997E-2</v>
      </c>
      <c r="AA48" s="1373"/>
      <c r="AB48" s="1373"/>
      <c r="AC48" s="1373"/>
      <c r="AD48" s="1373"/>
      <c r="AE48" s="1373"/>
      <c r="AF48" s="1373"/>
      <c r="AG48" s="1373"/>
      <c r="AH48" s="1373"/>
      <c r="AI48" s="1373"/>
      <c r="AJ48" s="1373"/>
      <c r="AK48" s="1373"/>
    </row>
    <row r="49" spans="1:37" s="1372" customFormat="1" ht="51">
      <c r="A49" s="2881" t="s">
        <v>2954</v>
      </c>
      <c r="B49" s="2885" t="str">
        <f>估价对象房地状况!C18</f>
        <v>估价对象周边道路状况、公共交通通达情况、停车便捷程度，综合评价交通便捷度较好</v>
      </c>
      <c r="C49" s="3008" t="s">
        <v>3194</v>
      </c>
      <c r="D49" s="1288">
        <f t="shared" si="10"/>
        <v>1.23E-2</v>
      </c>
      <c r="E49" s="821"/>
      <c r="F49" s="2504"/>
      <c r="G49" s="1286">
        <f t="shared" ref="G49:G56" si="15">H49</f>
        <v>1.23E-2</v>
      </c>
      <c r="H49" s="1290">
        <f t="shared" si="11"/>
        <v>1.23E-2</v>
      </c>
      <c r="I49" s="819">
        <v>0.25</v>
      </c>
      <c r="J49" s="1287">
        <f t="shared" si="12"/>
        <v>2.46E-2</v>
      </c>
      <c r="K49" s="1287">
        <f t="shared" si="13"/>
        <v>1.23E-2</v>
      </c>
      <c r="L49" s="1287">
        <v>0</v>
      </c>
      <c r="M49" s="1287">
        <f t="shared" si="14"/>
        <v>-1.23E-2</v>
      </c>
      <c r="N49" s="1287">
        <f t="shared" si="14"/>
        <v>-2.46E-2</v>
      </c>
      <c r="AA49" s="1373"/>
      <c r="AB49" s="1373"/>
      <c r="AC49" s="1373"/>
      <c r="AD49" s="1373"/>
      <c r="AE49" s="1373"/>
      <c r="AF49" s="1373"/>
      <c r="AG49" s="1373"/>
      <c r="AH49" s="1373"/>
      <c r="AI49" s="1373"/>
      <c r="AJ49" s="1373"/>
      <c r="AK49" s="1373"/>
    </row>
    <row r="50" spans="1:37" s="1372" customFormat="1" ht="24">
      <c r="A50" s="2881" t="s">
        <v>2955</v>
      </c>
      <c r="B50" s="2885">
        <f>估价对象房地状况!C19</f>
        <v>0</v>
      </c>
      <c r="C50" s="3008" t="s">
        <v>3193</v>
      </c>
      <c r="D50" s="1288">
        <f t="shared" si="10"/>
        <v>0</v>
      </c>
      <c r="E50" s="821"/>
      <c r="F50" s="2504"/>
      <c r="G50" s="1286">
        <f t="shared" si="15"/>
        <v>2.3999999999999998E-3</v>
      </c>
      <c r="H50" s="1290">
        <f t="shared" si="11"/>
        <v>2.3999999999999998E-3</v>
      </c>
      <c r="I50" s="819">
        <v>0.05</v>
      </c>
      <c r="J50" s="1287">
        <f t="shared" si="12"/>
        <v>4.7999999999999996E-3</v>
      </c>
      <c r="K50" s="1287">
        <f t="shared" si="13"/>
        <v>2.3999999999999998E-3</v>
      </c>
      <c r="L50" s="1287">
        <v>0</v>
      </c>
      <c r="M50" s="1287">
        <f t="shared" si="14"/>
        <v>-2.3999999999999998E-3</v>
      </c>
      <c r="N50" s="1287">
        <f t="shared" si="14"/>
        <v>-4.7999999999999996E-3</v>
      </c>
      <c r="AA50" s="1373"/>
      <c r="AB50" s="1373"/>
      <c r="AC50" s="1373"/>
      <c r="AD50" s="1373"/>
      <c r="AE50" s="1373"/>
      <c r="AF50" s="1373"/>
      <c r="AG50" s="1373"/>
      <c r="AH50" s="1373"/>
      <c r="AI50" s="1373"/>
      <c r="AJ50" s="1373"/>
      <c r="AK50" s="1373"/>
    </row>
    <row r="51" spans="1:37" s="1372" customFormat="1" ht="36.75">
      <c r="A51" s="2881" t="s">
        <v>2956</v>
      </c>
      <c r="B51" s="2886" t="s">
        <v>2957</v>
      </c>
      <c r="C51" s="3008" t="s">
        <v>3193</v>
      </c>
      <c r="D51" s="1288">
        <f t="shared" si="10"/>
        <v>0</v>
      </c>
      <c r="E51" s="821"/>
      <c r="F51" s="2504"/>
      <c r="G51" s="1286">
        <f t="shared" si="15"/>
        <v>2.3999999999999998E-3</v>
      </c>
      <c r="H51" s="1290">
        <f t="shared" si="11"/>
        <v>2.3999999999999998E-3</v>
      </c>
      <c r="I51" s="819">
        <v>0.05</v>
      </c>
      <c r="J51" s="1287">
        <f t="shared" si="12"/>
        <v>4.7999999999999996E-3</v>
      </c>
      <c r="K51" s="1287">
        <f t="shared" si="13"/>
        <v>2.3999999999999998E-3</v>
      </c>
      <c r="L51" s="1287">
        <v>0</v>
      </c>
      <c r="M51" s="1287">
        <f t="shared" si="14"/>
        <v>-2.3999999999999998E-3</v>
      </c>
      <c r="N51" s="1287">
        <f t="shared" si="14"/>
        <v>-4.7999999999999996E-3</v>
      </c>
      <c r="AA51" s="1373"/>
      <c r="AB51" s="1373"/>
      <c r="AC51" s="1373"/>
      <c r="AD51" s="1373"/>
      <c r="AE51" s="1373"/>
      <c r="AF51" s="1373"/>
      <c r="AG51" s="1373"/>
      <c r="AH51" s="1373"/>
      <c r="AI51" s="1373"/>
      <c r="AJ51" s="1373"/>
      <c r="AK51" s="1373"/>
    </row>
    <row r="52" spans="1:37" s="1372" customFormat="1" ht="24">
      <c r="A52" s="2881" t="s">
        <v>2958</v>
      </c>
      <c r="B52" s="2885">
        <f>估价对象房地状况!C24</f>
        <v>0</v>
      </c>
      <c r="C52" s="3008" t="s">
        <v>3210</v>
      </c>
      <c r="D52" s="1288">
        <f t="shared" si="10"/>
        <v>7.7999999999999996E-3</v>
      </c>
      <c r="E52" s="821"/>
      <c r="F52" s="2504"/>
      <c r="G52" s="1286">
        <f t="shared" si="15"/>
        <v>3.8999999999999998E-3</v>
      </c>
      <c r="H52" s="1290">
        <f t="shared" si="11"/>
        <v>3.8999999999999998E-3</v>
      </c>
      <c r="I52" s="819">
        <v>0.08</v>
      </c>
      <c r="J52" s="1287">
        <f t="shared" si="12"/>
        <v>7.7999999999999996E-3</v>
      </c>
      <c r="K52" s="1287">
        <f t="shared" si="13"/>
        <v>3.8999999999999998E-3</v>
      </c>
      <c r="L52" s="1287">
        <v>0</v>
      </c>
      <c r="M52" s="1287">
        <f t="shared" si="14"/>
        <v>-3.8999999999999998E-3</v>
      </c>
      <c r="N52" s="1287">
        <f t="shared" si="14"/>
        <v>-7.7999999999999996E-3</v>
      </c>
      <c r="AA52" s="1373"/>
      <c r="AB52" s="1373"/>
      <c r="AC52" s="1373"/>
      <c r="AD52" s="1373"/>
      <c r="AE52" s="1373"/>
      <c r="AF52" s="1373"/>
      <c r="AG52" s="1373"/>
      <c r="AH52" s="1373"/>
      <c r="AI52" s="1373"/>
      <c r="AJ52" s="1373"/>
      <c r="AK52" s="1373"/>
    </row>
    <row r="53" spans="1:37" s="1372" customFormat="1" ht="24">
      <c r="A53" s="2881" t="s">
        <v>2959</v>
      </c>
      <c r="B53" s="2887" t="s">
        <v>2960</v>
      </c>
      <c r="C53" s="3008" t="s">
        <v>3194</v>
      </c>
      <c r="D53" s="1288">
        <f t="shared" si="10"/>
        <v>1.4E-3</v>
      </c>
      <c r="E53" s="821"/>
      <c r="F53" s="2504"/>
      <c r="G53" s="1286">
        <f t="shared" si="15"/>
        <v>1.4E-3</v>
      </c>
      <c r="H53" s="1290">
        <f t="shared" si="11"/>
        <v>1.4E-3</v>
      </c>
      <c r="I53" s="819">
        <v>0.03</v>
      </c>
      <c r="J53" s="1287">
        <f t="shared" si="12"/>
        <v>2.8E-3</v>
      </c>
      <c r="K53" s="1287">
        <f t="shared" si="13"/>
        <v>1.4E-3</v>
      </c>
      <c r="L53" s="1287">
        <v>0</v>
      </c>
      <c r="M53" s="1287">
        <f t="shared" si="14"/>
        <v>-1.4E-3</v>
      </c>
      <c r="N53" s="1287">
        <f t="shared" si="14"/>
        <v>-2.8E-3</v>
      </c>
      <c r="AA53" s="1373"/>
      <c r="AB53" s="1373"/>
      <c r="AC53" s="1373"/>
      <c r="AD53" s="1373"/>
      <c r="AE53" s="1373"/>
      <c r="AF53" s="1373"/>
      <c r="AG53" s="1373"/>
      <c r="AH53" s="1373"/>
      <c r="AI53" s="1373"/>
      <c r="AJ53" s="1373"/>
      <c r="AK53" s="1373"/>
    </row>
    <row r="54" spans="1:37" s="1372" customFormat="1" ht="25.5">
      <c r="A54" s="2888" t="s">
        <v>2961</v>
      </c>
      <c r="B54" s="1728" t="str">
        <f>估价对象房地状况!C21</f>
        <v>估价对象所在区域公共配套设施齐备情况</v>
      </c>
      <c r="C54" s="3008" t="s">
        <v>3194</v>
      </c>
      <c r="D54" s="1288">
        <f t="shared" si="10"/>
        <v>2.3999999999999998E-3</v>
      </c>
      <c r="E54" s="821"/>
      <c r="F54" s="2504"/>
      <c r="G54" s="1286">
        <f t="shared" si="15"/>
        <v>2.3999999999999998E-3</v>
      </c>
      <c r="H54" s="1290">
        <f t="shared" si="11"/>
        <v>2.3999999999999998E-3</v>
      </c>
      <c r="I54" s="819">
        <v>0.05</v>
      </c>
      <c r="J54" s="1287">
        <f t="shared" si="12"/>
        <v>4.7999999999999996E-3</v>
      </c>
      <c r="K54" s="1287">
        <f t="shared" si="13"/>
        <v>2.3999999999999998E-3</v>
      </c>
      <c r="L54" s="1287">
        <v>0</v>
      </c>
      <c r="M54" s="1287">
        <f t="shared" si="14"/>
        <v>-2.3999999999999998E-3</v>
      </c>
      <c r="N54" s="1287">
        <f t="shared" si="14"/>
        <v>-4.7999999999999996E-3</v>
      </c>
      <c r="AA54" s="1373"/>
      <c r="AB54" s="1373"/>
      <c r="AC54" s="1373"/>
      <c r="AD54" s="1373"/>
      <c r="AE54" s="1373"/>
      <c r="AF54" s="1373"/>
      <c r="AG54" s="1373"/>
      <c r="AH54" s="1373"/>
      <c r="AI54" s="1373"/>
      <c r="AJ54" s="1373"/>
      <c r="AK54" s="1373"/>
    </row>
    <row r="55" spans="1:37" s="1372" customFormat="1" ht="25.5">
      <c r="A55" s="2888" t="s">
        <v>2962</v>
      </c>
      <c r="B55" s="2885" t="str">
        <f>估价对象房地状况!C22</f>
        <v>估价对象所在区域基础设施水平</v>
      </c>
      <c r="C55" s="3008" t="s">
        <v>3194</v>
      </c>
      <c r="D55" s="1288">
        <f t="shared" si="10"/>
        <v>4.8999999999999998E-3</v>
      </c>
      <c r="E55" s="821"/>
      <c r="F55" s="2504"/>
      <c r="G55" s="1286">
        <f t="shared" si="15"/>
        <v>4.8999999999999998E-3</v>
      </c>
      <c r="H55" s="1290">
        <f t="shared" si="11"/>
        <v>4.8999999999999998E-3</v>
      </c>
      <c r="I55" s="819">
        <v>0.1</v>
      </c>
      <c r="J55" s="1287">
        <f t="shared" si="12"/>
        <v>9.7999999999999997E-3</v>
      </c>
      <c r="K55" s="1287">
        <f t="shared" si="13"/>
        <v>4.8999999999999998E-3</v>
      </c>
      <c r="L55" s="1287">
        <v>0</v>
      </c>
      <c r="M55" s="1287">
        <f t="shared" si="14"/>
        <v>-4.8999999999999998E-3</v>
      </c>
      <c r="N55" s="1287">
        <f t="shared" si="14"/>
        <v>-9.7999999999999997E-3</v>
      </c>
      <c r="AA55" s="1373"/>
      <c r="AB55" s="1373"/>
      <c r="AC55" s="1373"/>
      <c r="AD55" s="1373"/>
      <c r="AE55" s="1373"/>
      <c r="AF55" s="1373"/>
      <c r="AG55" s="1373"/>
      <c r="AH55" s="1373"/>
      <c r="AI55" s="1373"/>
      <c r="AJ55" s="1373"/>
      <c r="AK55" s="1373"/>
    </row>
    <row r="56" spans="1:37" s="1372" customFormat="1" ht="39" thickBot="1">
      <c r="A56" s="2889" t="s">
        <v>2963</v>
      </c>
      <c r="B56" s="2890" t="str">
        <f>估价对象房地状况!C20</f>
        <v>区域自然环境：；人文环境；综合评价环境状况一般</v>
      </c>
      <c r="C56" s="3008" t="s">
        <v>3194</v>
      </c>
      <c r="D56" s="1288">
        <f t="shared" si="10"/>
        <v>2.8999999999999998E-3</v>
      </c>
      <c r="E56" s="824"/>
      <c r="F56" s="2504"/>
      <c r="G56" s="1286">
        <f t="shared" si="15"/>
        <v>2.8999999999999998E-3</v>
      </c>
      <c r="H56" s="1290">
        <f t="shared" si="11"/>
        <v>2.8999999999999998E-3</v>
      </c>
      <c r="I56" s="823">
        <v>0.06</v>
      </c>
      <c r="J56" s="1287">
        <f t="shared" si="12"/>
        <v>5.7999999999999996E-3</v>
      </c>
      <c r="K56" s="1287">
        <f t="shared" si="13"/>
        <v>2.8999999999999998E-3</v>
      </c>
      <c r="L56" s="1287">
        <v>0</v>
      </c>
      <c r="M56" s="1287">
        <f t="shared" si="14"/>
        <v>-2.8999999999999998E-3</v>
      </c>
      <c r="N56" s="1287">
        <f t="shared" si="14"/>
        <v>-5.7999999999999996E-3</v>
      </c>
      <c r="AA56" s="1373"/>
      <c r="AB56" s="1373"/>
      <c r="AC56" s="1373"/>
      <c r="AD56" s="1373"/>
      <c r="AE56" s="1373"/>
      <c r="AF56" s="1373"/>
      <c r="AG56" s="1373"/>
      <c r="AH56" s="1373"/>
      <c r="AI56" s="1373"/>
      <c r="AJ56" s="1373"/>
      <c r="AK56" s="1373"/>
    </row>
    <row r="57" spans="1:37" s="1372" customFormat="1" ht="15">
      <c r="A57" s="2877" t="s">
        <v>2964</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2945</v>
      </c>
      <c r="B58" s="1812"/>
      <c r="C58" s="1812" t="s">
        <v>2947</v>
      </c>
      <c r="D58" s="1812" t="s">
        <v>2948</v>
      </c>
      <c r="E58" s="818" t="s">
        <v>2949</v>
      </c>
      <c r="F58" s="2882" t="s">
        <v>2965</v>
      </c>
      <c r="G58" s="1812" t="s">
        <v>754</v>
      </c>
      <c r="H58" s="2883" t="s">
        <v>2951</v>
      </c>
      <c r="I58" s="1812" t="s">
        <v>2952</v>
      </c>
      <c r="J58" s="603" t="s">
        <v>2600</v>
      </c>
      <c r="K58" s="603" t="s">
        <v>2601</v>
      </c>
      <c r="L58" s="603" t="s">
        <v>2602</v>
      </c>
      <c r="M58" s="603" t="s">
        <v>2603</v>
      </c>
      <c r="N58" s="603" t="s">
        <v>2604</v>
      </c>
      <c r="AA58" s="1373"/>
      <c r="AB58" s="1373"/>
      <c r="AC58" s="1373"/>
      <c r="AD58" s="1373"/>
      <c r="AE58" s="1373"/>
      <c r="AF58" s="1373"/>
      <c r="AG58" s="1373"/>
      <c r="AH58" s="1373"/>
      <c r="AI58" s="1373"/>
      <c r="AJ58" s="1373"/>
      <c r="AK58" s="1373"/>
    </row>
    <row r="59" spans="1:37" s="1372" customFormat="1" ht="38.25">
      <c r="A59" s="2881" t="s">
        <v>2966</v>
      </c>
      <c r="B59" s="2884" t="str">
        <f>估价对象房地状况!C17</f>
        <v>估价对象位于XX商圈，周边办公楼项目较多，入驻率高，办公集聚程度较好</v>
      </c>
      <c r="C59" s="2773"/>
      <c r="D59" s="1288">
        <f t="shared" ref="D59:D67" si="16">SUMIF($J$58:$N$58,C59,J59:N59)</f>
        <v>0</v>
      </c>
      <c r="E59" s="820">
        <f>ROUND(SUM(D59:D67),4)</f>
        <v>0</v>
      </c>
      <c r="F59" s="2504"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1" t="s">
        <v>2954</v>
      </c>
      <c r="B60" s="2885" t="str">
        <f>估价对象房地状况!C18</f>
        <v>估价对象周边道路状况、公共交通通达情况、停车便捷程度，综合评价交通便捷度较好</v>
      </c>
      <c r="C60" s="2773"/>
      <c r="D60" s="1288">
        <f t="shared" si="16"/>
        <v>0</v>
      </c>
      <c r="E60" s="821"/>
      <c r="F60" s="2504"/>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1" t="s">
        <v>2955</v>
      </c>
      <c r="B61" s="2885">
        <f>估价对象房地状况!C19</f>
        <v>0</v>
      </c>
      <c r="C61" s="2773"/>
      <c r="D61" s="1288">
        <f t="shared" si="16"/>
        <v>0</v>
      </c>
      <c r="E61" s="821"/>
      <c r="F61" s="2504"/>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1" t="s">
        <v>2956</v>
      </c>
      <c r="B62" s="2886" t="s">
        <v>2957</v>
      </c>
      <c r="C62" s="2773"/>
      <c r="D62" s="1288">
        <f t="shared" si="16"/>
        <v>0</v>
      </c>
      <c r="E62" s="821"/>
      <c r="F62" s="2504"/>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1" t="s">
        <v>2958</v>
      </c>
      <c r="B63" s="2885">
        <f>估价对象房地状况!C24</f>
        <v>0</v>
      </c>
      <c r="C63" s="2773"/>
      <c r="D63" s="1288">
        <f t="shared" si="16"/>
        <v>0</v>
      </c>
      <c r="E63" s="821"/>
      <c r="F63" s="2504"/>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1" t="s">
        <v>2959</v>
      </c>
      <c r="B64" s="2887" t="s">
        <v>2960</v>
      </c>
      <c r="C64" s="2773"/>
      <c r="D64" s="1288">
        <f t="shared" si="16"/>
        <v>0</v>
      </c>
      <c r="E64" s="821"/>
      <c r="F64" s="2504"/>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1" t="s">
        <v>2961</v>
      </c>
      <c r="B65" s="1728" t="str">
        <f>估价对象房地状况!C21</f>
        <v>估价对象所在区域公共配套设施齐备情况</v>
      </c>
      <c r="C65" s="2773"/>
      <c r="D65" s="1288">
        <f t="shared" si="16"/>
        <v>0</v>
      </c>
      <c r="E65" s="821"/>
      <c r="F65" s="2504"/>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1" t="s">
        <v>2962</v>
      </c>
      <c r="B66" s="1728" t="str">
        <f>估价对象房地状况!C22</f>
        <v>估价对象所在区域基础设施水平</v>
      </c>
      <c r="C66" s="2773"/>
      <c r="D66" s="1288">
        <f t="shared" si="16"/>
        <v>0</v>
      </c>
      <c r="E66" s="821"/>
      <c r="F66" s="2504"/>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9" t="s">
        <v>2963</v>
      </c>
      <c r="B67" s="2891" t="str">
        <f>估价对象房地状况!C20</f>
        <v>区域自然环境：；人文环境；综合评价环境状况一般</v>
      </c>
      <c r="C67" s="2773"/>
      <c r="D67" s="1288">
        <f t="shared" si="16"/>
        <v>0</v>
      </c>
      <c r="E67" s="824"/>
      <c r="F67" s="2504"/>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7" t="s">
        <v>2967</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2945</v>
      </c>
      <c r="B69" s="1812"/>
      <c r="C69" s="1812" t="s">
        <v>2947</v>
      </c>
      <c r="D69" s="1812" t="s">
        <v>2948</v>
      </c>
      <c r="E69" s="818" t="s">
        <v>2949</v>
      </c>
      <c r="F69" s="2882" t="s">
        <v>2965</v>
      </c>
      <c r="G69" s="1812" t="s">
        <v>754</v>
      </c>
      <c r="H69" s="2883" t="s">
        <v>2951</v>
      </c>
      <c r="I69" s="1812" t="s">
        <v>2952</v>
      </c>
      <c r="J69" s="603" t="s">
        <v>2600</v>
      </c>
      <c r="K69" s="603" t="s">
        <v>2601</v>
      </c>
      <c r="L69" s="603" t="s">
        <v>2602</v>
      </c>
      <c r="M69" s="603" t="s">
        <v>2603</v>
      </c>
      <c r="N69" s="603" t="s">
        <v>2604</v>
      </c>
      <c r="AA69" s="1373"/>
      <c r="AB69" s="1373"/>
      <c r="AC69" s="1373"/>
      <c r="AD69" s="1373"/>
      <c r="AE69" s="1373"/>
      <c r="AF69" s="1373"/>
      <c r="AG69" s="1373"/>
      <c r="AH69" s="1373"/>
      <c r="AI69" s="1373"/>
      <c r="AJ69" s="1373"/>
      <c r="AK69" s="1373"/>
    </row>
    <row r="70" spans="1:37" s="1372" customFormat="1" ht="51">
      <c r="A70" s="2881" t="s">
        <v>2968</v>
      </c>
      <c r="B70" s="2884" t="str">
        <f>估价对象房地状况!C15</f>
        <v>估价对象周边居住用地比例、居住小区规模和社区发展完善程度，综合评价居住社区成熟度一般</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1" t="s">
        <v>2954</v>
      </c>
      <c r="B71" s="2885" t="str">
        <f>估价对象房地状况!C18</f>
        <v>估价对象周边道路状况、公共交通通达情况、停车便捷程度，综合评价交通便捷度较好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2955</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1" t="s">
        <v>2969</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1" t="s">
        <v>2961</v>
      </c>
      <c r="B74" s="1728" t="str">
        <f>估价对象房地状况!C21</f>
        <v>估价对象所在区域公共配套设施齐备情况</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1" t="s">
        <v>2962</v>
      </c>
      <c r="B75" s="1728" t="str">
        <f>估价对象房地状况!C22</f>
        <v>估价对象所在区域基础设施水平</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24">
      <c r="A76" s="2881" t="s">
        <v>2959</v>
      </c>
      <c r="B76" s="2887" t="s">
        <v>2960</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38.25">
      <c r="A77" s="2881" t="s">
        <v>2963</v>
      </c>
      <c r="B77" s="2884" t="str">
        <f>估价对象房地状况!C20</f>
        <v>区域自然环境：；人文环境；综合评价环境状况一般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24.75" thickBot="1">
      <c r="A78" s="2889" t="s">
        <v>2970</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5">
      <c r="A79" s="2877" t="s">
        <v>2971</v>
      </c>
      <c r="B79" s="2878">
        <f>1+E81</f>
        <v>1</v>
      </c>
      <c r="C79" s="813"/>
      <c r="D79" s="813"/>
      <c r="E79" s="814"/>
      <c r="F79" s="2880"/>
      <c r="G79" s="6"/>
      <c r="H79" s="6"/>
      <c r="I79" s="6"/>
      <c r="J79" s="7"/>
      <c r="K79" s="7"/>
      <c r="L79" s="7"/>
      <c r="M79" s="7"/>
      <c r="N79" s="7"/>
      <c r="Z79" s="2723"/>
      <c r="AA79" s="2799"/>
      <c r="AG79" s="1374"/>
      <c r="AK79" s="2799"/>
    </row>
    <row r="80" spans="1:37" ht="24.75">
      <c r="A80" s="2881" t="s">
        <v>2945</v>
      </c>
      <c r="B80" s="1812"/>
      <c r="C80" s="1812" t="s">
        <v>2947</v>
      </c>
      <c r="D80" s="1812" t="s">
        <v>2948</v>
      </c>
      <c r="E80" s="818" t="s">
        <v>2949</v>
      </c>
      <c r="F80" s="2882" t="s">
        <v>2965</v>
      </c>
      <c r="G80" s="1812" t="s">
        <v>754</v>
      </c>
      <c r="H80" s="2883" t="s">
        <v>2951</v>
      </c>
      <c r="I80" s="1812" t="s">
        <v>2952</v>
      </c>
      <c r="J80" s="603" t="s">
        <v>2600</v>
      </c>
      <c r="K80" s="603" t="s">
        <v>2601</v>
      </c>
      <c r="L80" s="603" t="s">
        <v>2602</v>
      </c>
      <c r="M80" s="603" t="s">
        <v>2603</v>
      </c>
      <c r="N80" s="603" t="s">
        <v>2604</v>
      </c>
      <c r="Z80" s="2723"/>
      <c r="AA80" s="2799"/>
      <c r="AG80" s="1374"/>
      <c r="AK80" s="2799"/>
    </row>
    <row r="81" spans="1:37" ht="38.25">
      <c r="A81" s="2881" t="s">
        <v>2972</v>
      </c>
      <c r="B81" s="2885" t="str">
        <f>估价对象房地状况!G15</f>
        <v>估价对象位于XX开发区，园区建设成熟度XX，产业集聚程度XX</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51">
      <c r="A82" s="2881" t="s">
        <v>2954</v>
      </c>
      <c r="B82" s="2885" t="str">
        <f>估价对象房地状况!G16</f>
        <v>估价对象周边道路状况、公共交通通达情况、停车便捷程度，综合评价交通便捷度较好</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2955</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4.25">
      <c r="A84" s="2881" t="s">
        <v>2969</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5.5">
      <c r="A85" s="2881" t="s">
        <v>2961</v>
      </c>
      <c r="B85" s="1728" t="str">
        <f>估价对象房地状况!G19</f>
        <v>估价对象所在区域公共配套设施齐备情况</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5.5">
      <c r="A86" s="2881" t="s">
        <v>2962</v>
      </c>
      <c r="B86" s="1728" t="str">
        <f>估价对象房地状况!G20</f>
        <v>估价对象所在区域基础设施水平</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24">
      <c r="A87" s="2881" t="s">
        <v>2959</v>
      </c>
      <c r="B87" s="2887" t="s">
        <v>2973</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39" thickBot="1">
      <c r="A88" s="2889" t="s">
        <v>2974</v>
      </c>
      <c r="B88" s="2894" t="str">
        <f>估价对象房地状况!G18</f>
        <v>该园区内是否有污染型企业，绿化情况，卫生条件，整体环境状况判断</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299" t="s">
        <v>2975</v>
      </c>
      <c r="B90" s="3299"/>
      <c r="C90" s="3299"/>
      <c r="D90" s="3299"/>
      <c r="E90" s="3299"/>
      <c r="F90" s="3299"/>
      <c r="G90" s="3299"/>
      <c r="H90" s="3299"/>
      <c r="I90" s="3299"/>
      <c r="J90" s="3299"/>
      <c r="K90" s="2895"/>
      <c r="L90" s="2895"/>
      <c r="M90" s="2895"/>
      <c r="N90" s="2895"/>
    </row>
    <row r="91" spans="1:37">
      <c r="A91" s="3301" t="s">
        <v>2976</v>
      </c>
      <c r="B91" s="3301" t="s">
        <v>2977</v>
      </c>
      <c r="C91" s="2849" t="s">
        <v>2978</v>
      </c>
      <c r="D91" s="2850"/>
      <c r="E91" s="2850"/>
      <c r="F91" s="2850"/>
      <c r="G91" s="2850"/>
      <c r="H91" s="2850"/>
      <c r="I91" s="2850"/>
      <c r="J91" s="2896"/>
      <c r="K91" s="2897"/>
      <c r="L91" s="2897"/>
      <c r="M91" s="2897"/>
      <c r="N91" s="2897"/>
    </row>
    <row r="92" spans="1:37">
      <c r="A92" s="3301"/>
      <c r="B92" s="3301"/>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02"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3"/>
      <c r="B99" s="2898" t="s">
        <v>2860</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30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2" t="s">
        <v>2980</v>
      </c>
      <c r="B101" s="2902" t="s">
        <v>2981</v>
      </c>
      <c r="C101" s="2903">
        <f>$G$3</f>
        <v>3.55</v>
      </c>
      <c r="D101" s="2903">
        <f t="shared" ref="D101:N101" si="32">$G$3</f>
        <v>3.55</v>
      </c>
      <c r="E101" s="2903">
        <f t="shared" si="32"/>
        <v>3.55</v>
      </c>
      <c r="F101" s="2903">
        <f t="shared" si="32"/>
        <v>3.55</v>
      </c>
      <c r="G101" s="2903">
        <f t="shared" si="32"/>
        <v>3.55</v>
      </c>
      <c r="H101" s="2903">
        <f t="shared" si="32"/>
        <v>3.55</v>
      </c>
      <c r="I101" s="2903">
        <f t="shared" si="32"/>
        <v>3.55</v>
      </c>
      <c r="J101" s="2903">
        <f t="shared" si="32"/>
        <v>3.55</v>
      </c>
      <c r="K101" s="2903">
        <f t="shared" si="32"/>
        <v>3.55</v>
      </c>
      <c r="L101" s="2903">
        <f t="shared" si="32"/>
        <v>3.55</v>
      </c>
      <c r="M101" s="2903">
        <f t="shared" si="32"/>
        <v>3.55</v>
      </c>
      <c r="N101" s="2903">
        <f t="shared" si="32"/>
        <v>3.55</v>
      </c>
    </row>
    <row r="102" spans="1:14">
      <c r="A102" s="3303"/>
      <c r="B102" s="2898">
        <v>1</v>
      </c>
      <c r="C102" s="2899">
        <f>1.9362/C101</f>
        <v>0.54540845070422539</v>
      </c>
      <c r="D102" s="2899">
        <f>1.9362/D101</f>
        <v>0.54540845070422539</v>
      </c>
      <c r="E102" s="2899">
        <f>1.8629/E101</f>
        <v>0.52476056338028176</v>
      </c>
      <c r="F102" s="2899">
        <f>1.8629/F101</f>
        <v>0.52476056338028176</v>
      </c>
      <c r="G102" s="2899">
        <f>1.8629/G101</f>
        <v>0.52476056338028176</v>
      </c>
      <c r="H102" s="2899">
        <f>1.8629/H101</f>
        <v>0.52476056338028176</v>
      </c>
      <c r="I102" s="2899">
        <f>1.8629/I101</f>
        <v>0.52476056338028176</v>
      </c>
      <c r="J102" s="2899">
        <f>1.942/J101</f>
        <v>0.54704225352112679</v>
      </c>
      <c r="K102" s="2899">
        <f>1.942/K101</f>
        <v>0.54704225352112679</v>
      </c>
      <c r="L102" s="2899">
        <f>1.942/L101</f>
        <v>0.54704225352112679</v>
      </c>
      <c r="M102" s="2899">
        <f>1.942/M101</f>
        <v>0.54704225352112679</v>
      </c>
      <c r="N102" s="2899">
        <f>1.942/N101</f>
        <v>0.54704225352112679</v>
      </c>
    </row>
    <row r="103" spans="1:14">
      <c r="A103" s="3303"/>
      <c r="B103" s="2898">
        <v>2</v>
      </c>
      <c r="C103" s="2899">
        <f>1.4198/C101</f>
        <v>0.39994366197183101</v>
      </c>
      <c r="D103" s="2899">
        <f>1.4198/D101</f>
        <v>0.39994366197183101</v>
      </c>
      <c r="E103" s="2899">
        <f>1.3372/E101</f>
        <v>0.3766760563380282</v>
      </c>
      <c r="F103" s="2899">
        <f>1.3372/F101</f>
        <v>0.3766760563380282</v>
      </c>
      <c r="G103" s="2899">
        <f>1.3372/G101</f>
        <v>0.3766760563380282</v>
      </c>
      <c r="H103" s="2899">
        <f>1.3372/H101</f>
        <v>0.3766760563380282</v>
      </c>
      <c r="I103" s="2899">
        <f>1.3372/I101</f>
        <v>0.3766760563380282</v>
      </c>
      <c r="J103" s="2899">
        <f>1.2799/J101</f>
        <v>0.36053521126760568</v>
      </c>
      <c r="K103" s="2899">
        <f>1.2799/K101</f>
        <v>0.36053521126760568</v>
      </c>
      <c r="L103" s="2899">
        <f>1.2799/L101</f>
        <v>0.36053521126760568</v>
      </c>
      <c r="M103" s="2899">
        <f>1.2799/M101</f>
        <v>0.36053521126760568</v>
      </c>
      <c r="N103" s="2899">
        <f>1.2799/N101</f>
        <v>0.36053521126760568</v>
      </c>
    </row>
    <row r="104" spans="1:14">
      <c r="A104" s="3303"/>
      <c r="B104" s="2898">
        <v>3</v>
      </c>
      <c r="C104" s="2899">
        <f>1.1594/C101</f>
        <v>0.32659154929577466</v>
      </c>
      <c r="D104" s="2899">
        <f>1.1594/D101</f>
        <v>0.32659154929577466</v>
      </c>
      <c r="E104" s="2899">
        <f>1.0788/E101</f>
        <v>0.30388732394366197</v>
      </c>
      <c r="F104" s="2899">
        <f>1.0788/F101</f>
        <v>0.30388732394366197</v>
      </c>
      <c r="G104" s="2899">
        <f>1.0788/G101</f>
        <v>0.30388732394366197</v>
      </c>
      <c r="H104" s="2899">
        <f>1.0788/H101</f>
        <v>0.30388732394366197</v>
      </c>
      <c r="I104" s="2899">
        <f>1.0788/I101</f>
        <v>0.30388732394366197</v>
      </c>
      <c r="J104" s="2899">
        <f>1.0072/J101</f>
        <v>0.28371830985915497</v>
      </c>
      <c r="K104" s="2899">
        <f>1.0072/K101</f>
        <v>0.28371830985915497</v>
      </c>
      <c r="L104" s="2899">
        <f>1.0072/L101</f>
        <v>0.28371830985915497</v>
      </c>
      <c r="M104" s="2899">
        <f>1.0072/M101</f>
        <v>0.28371830985915497</v>
      </c>
      <c r="N104" s="2899">
        <f>1.0072/N101</f>
        <v>0.28371830985915497</v>
      </c>
    </row>
    <row r="105" spans="1:14">
      <c r="A105" s="3303"/>
      <c r="B105" s="2898">
        <v>4</v>
      </c>
      <c r="C105" s="2899">
        <f>0.9622/C101</f>
        <v>0.27104225352112676</v>
      </c>
      <c r="D105" s="2899">
        <f>0.9622/D101</f>
        <v>0.27104225352112676</v>
      </c>
      <c r="E105" s="2899">
        <f>0.8656/E101</f>
        <v>0.24383098591549299</v>
      </c>
      <c r="F105" s="2899">
        <f>0.8656/F101</f>
        <v>0.24383098591549299</v>
      </c>
      <c r="G105" s="2899">
        <f>0.8656/G101</f>
        <v>0.24383098591549299</v>
      </c>
      <c r="H105" s="2899">
        <f>0.8656/H101</f>
        <v>0.24383098591549299</v>
      </c>
      <c r="I105" s="2899">
        <f>0.8656/I101</f>
        <v>0.24383098591549299</v>
      </c>
      <c r="J105" s="2899">
        <f>0.7525/J101</f>
        <v>0.21197183098591549</v>
      </c>
      <c r="K105" s="2899">
        <f>0.7525/K101</f>
        <v>0.21197183098591549</v>
      </c>
      <c r="L105" s="2899">
        <f>0.7525/L101</f>
        <v>0.21197183098591549</v>
      </c>
      <c r="M105" s="2899">
        <f>0.7525/M101</f>
        <v>0.21197183098591549</v>
      </c>
      <c r="N105" s="2899">
        <f>0.7525/N101</f>
        <v>0.21197183098591549</v>
      </c>
    </row>
    <row r="106" spans="1:14">
      <c r="A106" s="3303"/>
      <c r="B106" s="2898">
        <v>5</v>
      </c>
      <c r="C106" s="2899">
        <f>0.8417/C101</f>
        <v>0.2370985915492958</v>
      </c>
      <c r="D106" s="2899">
        <f>0.8417/D101</f>
        <v>0.2370985915492958</v>
      </c>
      <c r="E106" s="2899">
        <f>0.7371/E101</f>
        <v>0.20763380281690141</v>
      </c>
      <c r="F106" s="2899">
        <f>0.7371/F101</f>
        <v>0.20763380281690141</v>
      </c>
      <c r="G106" s="2899">
        <f>0.7371/G101</f>
        <v>0.20763380281690141</v>
      </c>
      <c r="H106" s="2899">
        <f>0.7371/H101</f>
        <v>0.20763380281690141</v>
      </c>
      <c r="I106" s="2899">
        <f>0.7371/I101</f>
        <v>0.20763380281690141</v>
      </c>
      <c r="J106" s="2899">
        <f>0.5659/J101</f>
        <v>0.15940845070422535</v>
      </c>
      <c r="K106" s="2899">
        <f>0.5659/K101</f>
        <v>0.15940845070422535</v>
      </c>
      <c r="L106" s="2899">
        <f>0.5659/L101</f>
        <v>0.15940845070422535</v>
      </c>
      <c r="M106" s="2899">
        <f>0.5659/M101</f>
        <v>0.15940845070422535</v>
      </c>
      <c r="N106" s="2899">
        <f>0.5659/N101</f>
        <v>0.15940845070422535</v>
      </c>
    </row>
    <row r="107" spans="1:14">
      <c r="A107" s="3303"/>
      <c r="B107" s="2898">
        <v>6</v>
      </c>
      <c r="C107" s="2899">
        <f>0.7608/C101</f>
        <v>0.21430985915492959</v>
      </c>
      <c r="D107" s="2899">
        <f>0.7608/D101</f>
        <v>0.21430985915492959</v>
      </c>
      <c r="E107" s="2899">
        <f>0.6482/E101</f>
        <v>0.18259154929577465</v>
      </c>
      <c r="F107" s="2899">
        <f>0.6482/F101</f>
        <v>0.18259154929577465</v>
      </c>
      <c r="G107" s="2899">
        <f>0.6482/G101</f>
        <v>0.18259154929577465</v>
      </c>
      <c r="H107" s="2899">
        <f>0.6482/H101</f>
        <v>0.18259154929577465</v>
      </c>
      <c r="I107" s="2899">
        <f>0.6482/I101</f>
        <v>0.18259154929577465</v>
      </c>
      <c r="J107" s="2899">
        <f>0.4525/J101</f>
        <v>0.12746478873239436</v>
      </c>
      <c r="K107" s="2899">
        <f>0.4525/K101</f>
        <v>0.12746478873239436</v>
      </c>
      <c r="L107" s="2899">
        <f>0.4525/L101</f>
        <v>0.12746478873239436</v>
      </c>
      <c r="M107" s="2899">
        <f>0.4525/M101</f>
        <v>0.12746478873239436</v>
      </c>
      <c r="N107" s="2899">
        <f>0.4525/N101</f>
        <v>0.12746478873239436</v>
      </c>
    </row>
    <row r="108" spans="1:14">
      <c r="A108" s="3303"/>
      <c r="B108" s="3131" t="s">
        <v>2982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304"/>
      <c r="B109" s="3132"/>
      <c r="C109" s="2901">
        <f>(-0.163*(C108^2)-0.59*C108+7617)*(10^(-4))/C101</f>
        <v>0.21456338028169017</v>
      </c>
      <c r="D109" s="2901">
        <f>(-0.163*(D108^2)-0.59*D108+7617)*(10^(-4))/D101</f>
        <v>0.21456338028169017</v>
      </c>
      <c r="E109" s="2901">
        <f>(-0.161*(E108^2)-7.509*E108+6533)*(10^(-4))/E101</f>
        <v>0.1840281690140845</v>
      </c>
      <c r="F109" s="2901">
        <f>(-0.161*(F108^2)-7.509*F108+6533)*(10^(-4))/F101</f>
        <v>0.1840281690140845</v>
      </c>
      <c r="G109" s="2901">
        <f>(-0.161*(G108^2)-7.509*G108+6533)*(10^(-4))/G101</f>
        <v>0.1840281690140845</v>
      </c>
      <c r="H109" s="2901">
        <f>(-0.161*(H108^2)-7.509*H108+6533)*(10^(-4))/H101</f>
        <v>0.1840281690140845</v>
      </c>
      <c r="I109" s="2901">
        <f>(-0.161*(I108^2)-7.509*I108+6533)*(10^(-4))/I101</f>
        <v>0.1840281690140845</v>
      </c>
      <c r="J109" s="2901">
        <f>(-0.214*(J108^2)-21.991*J108+4665)*(10^(-4))/J101</f>
        <v>0.13140845070422535</v>
      </c>
      <c r="K109" s="2901">
        <f>(-0.214*(K108^2)-21.991*K108+4665)*(10^(-4))/K101</f>
        <v>0.13140845070422535</v>
      </c>
      <c r="L109" s="2901">
        <f>(-0.214*(L108^2)-21.991*L108+4665)*(10^(-4))/L101</f>
        <v>0.13140845070422535</v>
      </c>
      <c r="M109" s="2901">
        <f>(-0.214*(M108^2)-21.991*M108+4665)*(10^(-4))/M101</f>
        <v>0.13140845070422535</v>
      </c>
      <c r="N109" s="2901">
        <f>(-0.214*(N108^2)-21.991*N108+4665)*(10^(-4))/N101</f>
        <v>0.13140845070422535</v>
      </c>
    </row>
    <row r="110" spans="1:14">
      <c r="A110" s="3300" t="s">
        <v>2983</v>
      </c>
      <c r="B110" s="3300"/>
      <c r="C110" s="3300"/>
      <c r="D110" s="3300"/>
      <c r="E110" s="3300"/>
      <c r="F110" s="3300"/>
      <c r="G110" s="3300"/>
      <c r="H110" s="3300"/>
      <c r="I110" s="3300"/>
      <c r="J110" s="3300"/>
      <c r="K110" s="2904"/>
      <c r="L110" s="2904"/>
      <c r="M110" s="2904"/>
      <c r="N110" s="2904"/>
    </row>
    <row r="112" spans="1:14" ht="13.5" thickBot="1"/>
    <row r="113" spans="1:13" ht="25.5" thickBot="1">
      <c r="A113" s="902" t="s">
        <v>2984</v>
      </c>
      <c r="B113" s="1289">
        <f>G3</f>
        <v>3.55</v>
      </c>
      <c r="C113" s="903" t="s">
        <v>2985</v>
      </c>
      <c r="D113" s="904">
        <f>SUMPRODUCT((A115:A118=F113)*(B114:M114=H113)*B115:M118)</f>
        <v>0.90010000000000001</v>
      </c>
      <c r="E113" s="2727" t="s">
        <v>2817</v>
      </c>
      <c r="F113" s="2906" t="str">
        <f>E2</f>
        <v>商业</v>
      </c>
      <c r="G113" s="2727" t="s">
        <v>2818</v>
      </c>
      <c r="H113" s="2906" t="str">
        <f>G2</f>
        <v>二级</v>
      </c>
      <c r="I113" s="2727"/>
      <c r="J113" s="2907"/>
      <c r="K113" s="2907"/>
      <c r="L113" s="2907"/>
      <c r="M113" s="2907"/>
    </row>
    <row r="114" spans="1:13">
      <c r="A114" s="907"/>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8" t="s">
        <v>2882</v>
      </c>
      <c r="B115" s="909">
        <f>ROUND(0.9335-0.0094*B113,4)</f>
        <v>0.90010000000000001</v>
      </c>
      <c r="C115" s="909">
        <f>B115</f>
        <v>0.90010000000000001</v>
      </c>
      <c r="D115" s="909">
        <f>ROUND(0.8331-0.0109*B113,4)</f>
        <v>0.7944</v>
      </c>
      <c r="E115" s="909">
        <f>D115</f>
        <v>0.7944</v>
      </c>
      <c r="F115" s="909">
        <f>E115</f>
        <v>0.7944</v>
      </c>
      <c r="G115" s="909">
        <f>F115</f>
        <v>0.7944</v>
      </c>
      <c r="H115" s="909">
        <f>G115</f>
        <v>0.7944</v>
      </c>
      <c r="I115" s="909">
        <f>ROUND(0.689-0.0155*B113,4)</f>
        <v>0.63400000000000001</v>
      </c>
      <c r="J115" s="909">
        <f t="shared" ref="J115:M118" si="34">I115</f>
        <v>0.63400000000000001</v>
      </c>
      <c r="K115" s="909">
        <f t="shared" si="34"/>
        <v>0.63400000000000001</v>
      </c>
      <c r="L115" s="909">
        <f t="shared" si="34"/>
        <v>0.63400000000000001</v>
      </c>
      <c r="M115" s="910">
        <f t="shared" si="34"/>
        <v>0.63400000000000001</v>
      </c>
    </row>
    <row r="116" spans="1:13">
      <c r="A116" s="908" t="s">
        <v>2883</v>
      </c>
      <c r="B116" s="909">
        <f>ROUND(0.949-0.012*B113,4)</f>
        <v>0.90639999999999998</v>
      </c>
      <c r="C116" s="909">
        <f>B116</f>
        <v>0.90639999999999998</v>
      </c>
      <c r="D116" s="909">
        <f>ROUND(0.8567-0.013*B113,4)</f>
        <v>0.81059999999999999</v>
      </c>
      <c r="E116" s="909">
        <f t="shared" ref="E116:H117" si="35">D116</f>
        <v>0.81059999999999999</v>
      </c>
      <c r="F116" s="909">
        <f t="shared" si="35"/>
        <v>0.81059999999999999</v>
      </c>
      <c r="G116" s="909">
        <f t="shared" si="35"/>
        <v>0.81059999999999999</v>
      </c>
      <c r="H116" s="909">
        <f t="shared" si="35"/>
        <v>0.81059999999999999</v>
      </c>
      <c r="I116" s="909">
        <f>ROUND(0.7694-0.014*B113,4)</f>
        <v>0.71970000000000001</v>
      </c>
      <c r="J116" s="909">
        <f t="shared" si="34"/>
        <v>0.71970000000000001</v>
      </c>
      <c r="K116" s="909">
        <f t="shared" si="34"/>
        <v>0.71970000000000001</v>
      </c>
      <c r="L116" s="909">
        <f t="shared" si="34"/>
        <v>0.71970000000000001</v>
      </c>
      <c r="M116" s="910">
        <f t="shared" si="34"/>
        <v>0.71970000000000001</v>
      </c>
    </row>
    <row r="117" spans="1:13">
      <c r="A117" s="908" t="s">
        <v>2884</v>
      </c>
      <c r="B117" s="909">
        <f>ROUND(0.8808-0.006*B113,4)</f>
        <v>0.85950000000000004</v>
      </c>
      <c r="C117" s="909">
        <f>B117</f>
        <v>0.85950000000000004</v>
      </c>
      <c r="D117" s="909">
        <f>ROUND(0.8748-0.008*B113,4)</f>
        <v>0.84640000000000004</v>
      </c>
      <c r="E117" s="909">
        <f t="shared" si="35"/>
        <v>0.84640000000000004</v>
      </c>
      <c r="F117" s="909">
        <f t="shared" si="35"/>
        <v>0.84640000000000004</v>
      </c>
      <c r="G117" s="909">
        <f t="shared" si="35"/>
        <v>0.84640000000000004</v>
      </c>
      <c r="H117" s="909">
        <f t="shared" si="35"/>
        <v>0.84640000000000004</v>
      </c>
      <c r="I117" s="909">
        <f>ROUND(0.7412-0.0095*B113,4)</f>
        <v>0.70750000000000002</v>
      </c>
      <c r="J117" s="909">
        <f t="shared" si="34"/>
        <v>0.70750000000000002</v>
      </c>
      <c r="K117" s="909">
        <f t="shared" si="34"/>
        <v>0.70750000000000002</v>
      </c>
      <c r="L117" s="909">
        <f t="shared" si="34"/>
        <v>0.70750000000000002</v>
      </c>
      <c r="M117" s="910">
        <f t="shared" si="34"/>
        <v>0.70750000000000002</v>
      </c>
    </row>
    <row r="118" spans="1:13" ht="13.5" thickBot="1">
      <c r="A118" s="714" t="s">
        <v>2885</v>
      </c>
      <c r="B118" s="911">
        <f>ROUND(0.7275-0.01*B113,4)</f>
        <v>0.69199999999999995</v>
      </c>
      <c r="C118" s="911">
        <f>B118</f>
        <v>0.69199999999999995</v>
      </c>
      <c r="D118" s="911">
        <f>ROUND(0.7043-0.012*B113,4)</f>
        <v>0.66169999999999995</v>
      </c>
      <c r="E118" s="911">
        <f>D118</f>
        <v>0.66169999999999995</v>
      </c>
      <c r="F118" s="911">
        <f>E118</f>
        <v>0.66169999999999995</v>
      </c>
      <c r="G118" s="911">
        <f>ROUND(0.6299-0.0122*B113,4)</f>
        <v>0.58660000000000001</v>
      </c>
      <c r="H118" s="911">
        <f>G118</f>
        <v>0.58660000000000001</v>
      </c>
      <c r="I118" s="911">
        <f>ROUND(0.5667-0.0136*B113,4)</f>
        <v>0.51839999999999997</v>
      </c>
      <c r="J118" s="911">
        <f t="shared" si="34"/>
        <v>0.51839999999999997</v>
      </c>
      <c r="K118" s="911">
        <f t="shared" si="34"/>
        <v>0.51839999999999997</v>
      </c>
      <c r="L118" s="911">
        <f t="shared" si="34"/>
        <v>0.51839999999999997</v>
      </c>
      <c r="M118" s="912">
        <f t="shared" si="34"/>
        <v>0.51839999999999997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7" t="s">
        <v>183</v>
      </c>
      <c r="B18" s="881" t="s">
        <v>560</v>
      </c>
      <c r="C18" s="882" t="s">
        <v>561</v>
      </c>
      <c r="D18" s="883"/>
      <c r="E18" s="881">
        <v>1</v>
      </c>
      <c r="F18" s="884" t="s">
        <v>562</v>
      </c>
      <c r="G18" s="885"/>
      <c r="H18" s="877"/>
      <c r="I18" s="877"/>
    </row>
    <row r="19" spans="1:9" s="886" customFormat="1" ht="19.5" customHeight="1">
      <c r="A19" s="3317"/>
      <c r="B19" s="3317" t="s">
        <v>563</v>
      </c>
      <c r="C19" s="882" t="s">
        <v>564</v>
      </c>
      <c r="D19" s="883"/>
      <c r="E19" s="881">
        <v>0.9</v>
      </c>
      <c r="F19" s="884" t="s">
        <v>565</v>
      </c>
      <c r="G19" s="885"/>
      <c r="H19" s="877"/>
      <c r="I19" s="877"/>
    </row>
    <row r="20" spans="1:9" s="886" customFormat="1" ht="19.5" customHeight="1">
      <c r="A20" s="3317"/>
      <c r="B20" s="3317"/>
      <c r="C20" s="882" t="s">
        <v>566</v>
      </c>
      <c r="D20" s="883"/>
      <c r="E20" s="881">
        <v>1.1000000000000001</v>
      </c>
      <c r="F20" s="884" t="s">
        <v>567</v>
      </c>
      <c r="G20" s="885"/>
      <c r="H20" s="877"/>
      <c r="I20" s="877"/>
    </row>
    <row r="21" spans="1:9" s="886" customFormat="1" ht="19.5" customHeight="1">
      <c r="A21" s="3317"/>
      <c r="B21" s="3317"/>
      <c r="C21" s="882" t="s">
        <v>568</v>
      </c>
      <c r="D21" s="883"/>
      <c r="E21" s="881">
        <v>0.8</v>
      </c>
      <c r="F21" s="884" t="s">
        <v>569</v>
      </c>
      <c r="G21" s="885"/>
      <c r="H21" s="877"/>
      <c r="I21" s="877"/>
    </row>
    <row r="22" spans="1:9" s="886" customFormat="1" ht="19.5" customHeight="1">
      <c r="A22" s="3317"/>
      <c r="B22" s="3317"/>
      <c r="C22" s="882" t="s">
        <v>570</v>
      </c>
      <c r="D22" s="883"/>
      <c r="E22" s="881">
        <v>0.5</v>
      </c>
      <c r="F22" s="884"/>
      <c r="G22" s="885"/>
      <c r="H22" s="877"/>
      <c r="I22" s="877"/>
    </row>
    <row r="23" spans="1:9" s="886" customFormat="1" ht="19.5" customHeight="1">
      <c r="A23" s="3317" t="s">
        <v>184</v>
      </c>
      <c r="B23" s="881" t="s">
        <v>560</v>
      </c>
      <c r="C23" s="882" t="s">
        <v>571</v>
      </c>
      <c r="D23" s="883"/>
      <c r="E23" s="881">
        <v>1</v>
      </c>
      <c r="F23" s="884" t="s">
        <v>572</v>
      </c>
      <c r="G23" s="885"/>
      <c r="H23" s="877"/>
      <c r="I23" s="877"/>
    </row>
    <row r="24" spans="1:9" s="886" customFormat="1" ht="19.5" customHeight="1">
      <c r="A24" s="3317"/>
      <c r="B24" s="3317" t="s">
        <v>563</v>
      </c>
      <c r="C24" s="882" t="s">
        <v>573</v>
      </c>
      <c r="D24" s="883"/>
      <c r="E24" s="881">
        <v>0.5</v>
      </c>
      <c r="F24" s="884"/>
      <c r="G24" s="885"/>
      <c r="H24" s="877"/>
      <c r="I24" s="877"/>
    </row>
    <row r="25" spans="1:9" s="886" customFormat="1" ht="19.5" customHeight="1">
      <c r="A25" s="3317"/>
      <c r="B25" s="3317"/>
      <c r="C25" s="882" t="s">
        <v>574</v>
      </c>
      <c r="D25" s="883"/>
      <c r="E25" s="881">
        <v>1.1000000000000001</v>
      </c>
      <c r="F25" s="884"/>
      <c r="G25" s="885"/>
      <c r="H25" s="877"/>
      <c r="I25" s="877"/>
    </row>
    <row r="26" spans="1:9" s="886" customFormat="1" ht="19.5" customHeight="1">
      <c r="A26" s="3317"/>
      <c r="B26" s="3317"/>
      <c r="C26" s="882" t="s">
        <v>575</v>
      </c>
      <c r="D26" s="883"/>
      <c r="E26" s="881">
        <v>1.1000000000000001</v>
      </c>
      <c r="F26" s="884"/>
      <c r="G26" s="885"/>
      <c r="H26" s="877"/>
      <c r="I26" s="877"/>
    </row>
    <row r="27" spans="1:9" s="886" customFormat="1" ht="19.5" customHeight="1">
      <c r="A27" s="3317"/>
      <c r="B27" s="3317"/>
      <c r="C27" s="882" t="s">
        <v>576</v>
      </c>
      <c r="D27" s="883"/>
      <c r="E27" s="881">
        <v>0.9</v>
      </c>
      <c r="F27" s="884" t="s">
        <v>577</v>
      </c>
      <c r="G27" s="885"/>
      <c r="H27" s="877"/>
      <c r="I27" s="877"/>
    </row>
    <row r="28" spans="1:9" s="886" customFormat="1" ht="19.5" customHeight="1">
      <c r="A28" s="3317"/>
      <c r="B28" s="3317"/>
      <c r="C28" s="882" t="s">
        <v>578</v>
      </c>
      <c r="D28" s="883"/>
      <c r="E28" s="881">
        <v>0.9</v>
      </c>
      <c r="F28" s="884" t="s">
        <v>579</v>
      </c>
      <c r="G28" s="885"/>
      <c r="H28" s="877"/>
      <c r="I28" s="877"/>
    </row>
    <row r="29" spans="1:9" s="886" customFormat="1" ht="19.5" customHeight="1">
      <c r="A29" s="3317"/>
      <c r="B29" s="3317"/>
      <c r="C29" s="882" t="s">
        <v>580</v>
      </c>
      <c r="D29" s="883"/>
      <c r="E29" s="881">
        <v>0.9</v>
      </c>
      <c r="F29" s="884" t="s">
        <v>581</v>
      </c>
      <c r="G29" s="885"/>
      <c r="H29" s="877"/>
      <c r="I29" s="877"/>
    </row>
    <row r="30" spans="1:9" s="886" customFormat="1" ht="19.5" customHeight="1">
      <c r="A30" s="3317"/>
      <c r="B30" s="3317"/>
      <c r="C30" s="882" t="s">
        <v>582</v>
      </c>
      <c r="D30" s="883"/>
      <c r="E30" s="881">
        <v>0.9</v>
      </c>
      <c r="F30" s="884" t="s">
        <v>583</v>
      </c>
      <c r="G30" s="885"/>
      <c r="H30" s="877"/>
      <c r="I30" s="877"/>
    </row>
    <row r="31" spans="1:9" s="886" customFormat="1" ht="19.5" customHeight="1">
      <c r="A31" s="3317"/>
      <c r="B31" s="3317"/>
      <c r="C31" s="882" t="s">
        <v>584</v>
      </c>
      <c r="D31" s="883"/>
      <c r="E31" s="881">
        <v>0.8</v>
      </c>
      <c r="F31" s="884" t="s">
        <v>585</v>
      </c>
      <c r="G31" s="885"/>
      <c r="H31" s="877"/>
      <c r="I31" s="877"/>
    </row>
    <row r="32" spans="1:9" s="886" customFormat="1" ht="19.5" customHeight="1">
      <c r="A32" s="3317"/>
      <c r="B32" s="3317"/>
      <c r="C32" s="882" t="s">
        <v>586</v>
      </c>
      <c r="D32" s="883"/>
      <c r="E32" s="881">
        <v>0.8</v>
      </c>
      <c r="F32" s="884" t="s">
        <v>587</v>
      </c>
      <c r="G32" s="885"/>
      <c r="H32" s="877"/>
      <c r="I32" s="877"/>
    </row>
    <row r="33" spans="1:9" s="886" customFormat="1" ht="19.5" customHeight="1">
      <c r="A33" s="3317" t="s">
        <v>185</v>
      </c>
      <c r="B33" s="881" t="s">
        <v>560</v>
      </c>
      <c r="C33" s="882" t="s">
        <v>588</v>
      </c>
      <c r="D33" s="883"/>
      <c r="E33" s="881">
        <v>1</v>
      </c>
      <c r="F33" s="884" t="s">
        <v>589</v>
      </c>
      <c r="G33" s="885"/>
      <c r="H33" s="877"/>
      <c r="I33" s="877"/>
    </row>
    <row r="34" spans="1:9" s="886" customFormat="1" ht="19.5" customHeight="1">
      <c r="A34" s="3317"/>
      <c r="B34" s="881" t="s">
        <v>563</v>
      </c>
      <c r="C34" s="882" t="s">
        <v>590</v>
      </c>
      <c r="D34" s="883"/>
      <c r="E34" s="881">
        <v>1.5</v>
      </c>
      <c r="F34" s="884" t="s">
        <v>591</v>
      </c>
      <c r="G34" s="885"/>
      <c r="H34" s="877"/>
      <c r="I34" s="877"/>
    </row>
    <row r="35" spans="1:9" s="886" customFormat="1" ht="19.5" customHeight="1">
      <c r="A35" s="3317" t="s">
        <v>186</v>
      </c>
      <c r="B35" s="881" t="s">
        <v>560</v>
      </c>
      <c r="C35" s="882" t="s">
        <v>592</v>
      </c>
      <c r="D35" s="883"/>
      <c r="E35" s="881">
        <v>1</v>
      </c>
      <c r="F35" s="884" t="s">
        <v>593</v>
      </c>
      <c r="G35" s="885"/>
      <c r="H35" s="877"/>
      <c r="I35" s="877"/>
    </row>
    <row r="36" spans="1:9" s="886" customFormat="1" ht="19.5" customHeight="1">
      <c r="A36" s="3317"/>
      <c r="B36" s="3317" t="s">
        <v>563</v>
      </c>
      <c r="C36" s="882" t="s">
        <v>594</v>
      </c>
      <c r="D36" s="883"/>
      <c r="E36" s="881">
        <v>1</v>
      </c>
      <c r="F36" s="884" t="s">
        <v>595</v>
      </c>
      <c r="G36" s="885"/>
      <c r="H36" s="877"/>
      <c r="I36" s="877"/>
    </row>
    <row r="37" spans="1:9" s="886" customFormat="1" ht="19.5" customHeight="1">
      <c r="A37" s="3317"/>
      <c r="B37" s="3317"/>
      <c r="C37" s="882" t="s">
        <v>596</v>
      </c>
      <c r="D37" s="883"/>
      <c r="E37" s="881">
        <v>1.5</v>
      </c>
      <c r="F37" s="884" t="s">
        <v>597</v>
      </c>
      <c r="G37" s="885"/>
      <c r="H37" s="877"/>
      <c r="I37" s="877"/>
    </row>
    <row r="38" spans="1:9" s="886" customFormat="1" ht="19.5" customHeight="1">
      <c r="A38" s="3317"/>
      <c r="B38" s="3317"/>
      <c r="C38" s="882" t="s">
        <v>598</v>
      </c>
      <c r="D38" s="883"/>
      <c r="E38" s="881">
        <v>1</v>
      </c>
      <c r="F38" s="884" t="s">
        <v>599</v>
      </c>
      <c r="G38" s="885"/>
      <c r="H38" s="877"/>
      <c r="I38" s="877"/>
    </row>
    <row r="39" spans="1:9" s="886" customFormat="1" ht="19.5" customHeight="1">
      <c r="A39" s="3317"/>
      <c r="B39" s="331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7" t="s">
        <v>614</v>
      </c>
      <c r="C61" s="817" t="s">
        <v>615</v>
      </c>
      <c r="D61" s="817" t="s">
        <v>616</v>
      </c>
      <c r="E61" s="894">
        <v>0.5</v>
      </c>
      <c r="F61" s="881">
        <v>80</v>
      </c>
    </row>
    <row r="62" spans="1:8" s="877" customFormat="1" ht="24">
      <c r="A62" s="881">
        <v>2</v>
      </c>
      <c r="B62" s="3317"/>
      <c r="C62" s="817" t="s">
        <v>617</v>
      </c>
      <c r="D62" s="817" t="s">
        <v>618</v>
      </c>
      <c r="E62" s="894">
        <v>0.5</v>
      </c>
      <c r="F62" s="881">
        <v>80</v>
      </c>
    </row>
    <row r="63" spans="1:8" s="877" customFormat="1" ht="36">
      <c r="A63" s="881">
        <v>3</v>
      </c>
      <c r="B63" s="3317"/>
      <c r="C63" s="817" t="s">
        <v>619</v>
      </c>
      <c r="D63" s="817" t="s">
        <v>620</v>
      </c>
      <c r="E63" s="894">
        <v>0.5</v>
      </c>
      <c r="F63" s="881">
        <v>80</v>
      </c>
    </row>
    <row r="64" spans="1:8" s="877" customFormat="1" ht="36">
      <c r="A64" s="881">
        <v>4</v>
      </c>
      <c r="B64" s="3317"/>
      <c r="C64" s="817" t="s">
        <v>621</v>
      </c>
      <c r="D64" s="817" t="s">
        <v>622</v>
      </c>
      <c r="E64" s="894">
        <v>0.4</v>
      </c>
      <c r="F64" s="881">
        <v>60</v>
      </c>
    </row>
    <row r="65" spans="1:6" s="877" customFormat="1" ht="36">
      <c r="A65" s="881">
        <v>5</v>
      </c>
      <c r="B65" s="3317"/>
      <c r="C65" s="817" t="s">
        <v>623</v>
      </c>
      <c r="D65" s="817" t="s">
        <v>624</v>
      </c>
      <c r="E65" s="894">
        <v>0.2</v>
      </c>
      <c r="F65" s="881">
        <v>30</v>
      </c>
    </row>
    <row r="66" spans="1:6" s="877" customFormat="1" ht="36">
      <c r="A66" s="881">
        <v>6</v>
      </c>
      <c r="B66" s="3317"/>
      <c r="C66" s="817" t="s">
        <v>625</v>
      </c>
      <c r="D66" s="817" t="s">
        <v>626</v>
      </c>
      <c r="E66" s="894">
        <v>0.3</v>
      </c>
      <c r="F66" s="881">
        <v>50</v>
      </c>
    </row>
    <row r="67" spans="1:6" s="877" customFormat="1" ht="36">
      <c r="A67" s="881">
        <v>7</v>
      </c>
      <c r="B67" s="3317"/>
      <c r="C67" s="817" t="s">
        <v>627</v>
      </c>
      <c r="D67" s="817" t="s">
        <v>628</v>
      </c>
      <c r="E67" s="894">
        <v>0.2</v>
      </c>
      <c r="F67" s="881">
        <v>30</v>
      </c>
    </row>
    <row r="68" spans="1:6" s="877" customFormat="1" ht="36">
      <c r="A68" s="881">
        <v>8</v>
      </c>
      <c r="B68" s="3317"/>
      <c r="C68" s="817" t="s">
        <v>629</v>
      </c>
      <c r="D68" s="817" t="s">
        <v>630</v>
      </c>
      <c r="E68" s="894">
        <v>0.2</v>
      </c>
      <c r="F68" s="881">
        <v>30</v>
      </c>
    </row>
    <row r="69" spans="1:6" s="877" customFormat="1" ht="36">
      <c r="A69" s="881">
        <v>9</v>
      </c>
      <c r="B69" s="3317"/>
      <c r="C69" s="817" t="s">
        <v>631</v>
      </c>
      <c r="D69" s="817" t="s">
        <v>632</v>
      </c>
      <c r="E69" s="894">
        <v>0.2</v>
      </c>
      <c r="F69" s="881">
        <v>30</v>
      </c>
    </row>
    <row r="70" spans="1:6" s="877" customFormat="1" ht="48">
      <c r="A70" s="881">
        <v>10</v>
      </c>
      <c r="B70" s="3317"/>
      <c r="C70" s="817" t="s">
        <v>633</v>
      </c>
      <c r="D70" s="817" t="s">
        <v>634</v>
      </c>
      <c r="E70" s="894">
        <v>0.2</v>
      </c>
      <c r="F70" s="881">
        <v>30</v>
      </c>
    </row>
    <row r="71" spans="1:6" s="877" customFormat="1" ht="48">
      <c r="A71" s="881">
        <v>11</v>
      </c>
      <c r="B71" s="3317"/>
      <c r="C71" s="817" t="s">
        <v>635</v>
      </c>
      <c r="D71" s="817" t="s">
        <v>636</v>
      </c>
      <c r="E71" s="894">
        <v>0.2</v>
      </c>
      <c r="F71" s="881">
        <v>30</v>
      </c>
    </row>
    <row r="72" spans="1:6" s="877" customFormat="1" ht="36">
      <c r="A72" s="881">
        <v>12</v>
      </c>
      <c r="B72" s="3317"/>
      <c r="C72" s="817" t="s">
        <v>637</v>
      </c>
      <c r="D72" s="817" t="s">
        <v>638</v>
      </c>
      <c r="E72" s="894">
        <v>0.5</v>
      </c>
      <c r="F72" s="881">
        <v>80</v>
      </c>
    </row>
    <row r="73" spans="1:6" s="877" customFormat="1" ht="24">
      <c r="A73" s="881">
        <v>13</v>
      </c>
      <c r="B73" s="3317"/>
      <c r="C73" s="817" t="s">
        <v>639</v>
      </c>
      <c r="D73" s="817" t="s">
        <v>640</v>
      </c>
      <c r="E73" s="894">
        <v>0.4</v>
      </c>
      <c r="F73" s="881">
        <v>60</v>
      </c>
    </row>
    <row r="74" spans="1:6" s="877" customFormat="1" ht="24">
      <c r="A74" s="881">
        <v>14</v>
      </c>
      <c r="B74" s="3317"/>
      <c r="C74" s="817" t="s">
        <v>641</v>
      </c>
      <c r="D74" s="817" t="s">
        <v>642</v>
      </c>
      <c r="E74" s="894">
        <v>0.2</v>
      </c>
      <c r="F74" s="881">
        <v>30</v>
      </c>
    </row>
    <row r="75" spans="1:6" s="877" customFormat="1" ht="24">
      <c r="A75" s="881">
        <v>15</v>
      </c>
      <c r="B75" s="3317"/>
      <c r="C75" s="817" t="s">
        <v>643</v>
      </c>
      <c r="D75" s="817" t="s">
        <v>644</v>
      </c>
      <c r="E75" s="894">
        <v>0.2</v>
      </c>
      <c r="F75" s="881">
        <v>30</v>
      </c>
    </row>
    <row r="76" spans="1:6" s="877" customFormat="1" ht="24">
      <c r="A76" s="881">
        <v>16</v>
      </c>
      <c r="B76" s="3317" t="s">
        <v>645</v>
      </c>
      <c r="C76" s="817" t="s">
        <v>646</v>
      </c>
      <c r="D76" s="817" t="s">
        <v>647</v>
      </c>
      <c r="E76" s="894">
        <v>0.5</v>
      </c>
      <c r="F76" s="881">
        <v>80</v>
      </c>
    </row>
    <row r="77" spans="1:6" s="877" customFormat="1" ht="24">
      <c r="A77" s="881">
        <v>17</v>
      </c>
      <c r="B77" s="3317"/>
      <c r="C77" s="817" t="s">
        <v>648</v>
      </c>
      <c r="D77" s="817" t="s">
        <v>649</v>
      </c>
      <c r="E77" s="894">
        <v>0.5</v>
      </c>
      <c r="F77" s="881">
        <v>80</v>
      </c>
    </row>
    <row r="78" spans="1:6" s="877" customFormat="1" ht="24">
      <c r="A78" s="881">
        <v>18</v>
      </c>
      <c r="B78" s="3317"/>
      <c r="C78" s="817" t="s">
        <v>650</v>
      </c>
      <c r="D78" s="817" t="s">
        <v>651</v>
      </c>
      <c r="E78" s="894">
        <v>0.2</v>
      </c>
      <c r="F78" s="881">
        <v>30</v>
      </c>
    </row>
    <row r="79" spans="1:6" s="877" customFormat="1" ht="24">
      <c r="A79" s="881">
        <v>19</v>
      </c>
      <c r="B79" s="3317"/>
      <c r="C79" s="817" t="s">
        <v>652</v>
      </c>
      <c r="D79" s="817" t="s">
        <v>653</v>
      </c>
      <c r="E79" s="894">
        <v>0.5</v>
      </c>
      <c r="F79" s="881">
        <v>80</v>
      </c>
    </row>
    <row r="80" spans="1:6" s="877" customFormat="1" ht="36">
      <c r="A80" s="881">
        <v>20</v>
      </c>
      <c r="B80" s="3317"/>
      <c r="C80" s="817" t="s">
        <v>654</v>
      </c>
      <c r="D80" s="817" t="s">
        <v>655</v>
      </c>
      <c r="E80" s="894">
        <v>0.2</v>
      </c>
      <c r="F80" s="881">
        <v>30</v>
      </c>
    </row>
    <row r="81" spans="1:6" s="877" customFormat="1" ht="36">
      <c r="A81" s="881">
        <v>21</v>
      </c>
      <c r="B81" s="3317"/>
      <c r="C81" s="817" t="s">
        <v>656</v>
      </c>
      <c r="D81" s="817" t="s">
        <v>657</v>
      </c>
      <c r="E81" s="894">
        <v>0.2</v>
      </c>
      <c r="F81" s="881">
        <v>30</v>
      </c>
    </row>
    <row r="82" spans="1:6" s="877" customFormat="1" ht="48">
      <c r="A82" s="881">
        <v>22</v>
      </c>
      <c r="B82" s="3317"/>
      <c r="C82" s="817" t="s">
        <v>658</v>
      </c>
      <c r="D82" s="817" t="s">
        <v>659</v>
      </c>
      <c r="E82" s="894">
        <v>0.2</v>
      </c>
      <c r="F82" s="881">
        <v>30</v>
      </c>
    </row>
    <row r="83" spans="1:6" s="877" customFormat="1" ht="48">
      <c r="A83" s="881">
        <v>23</v>
      </c>
      <c r="B83" s="3317"/>
      <c r="C83" s="817" t="s">
        <v>660</v>
      </c>
      <c r="D83" s="817" t="s">
        <v>661</v>
      </c>
      <c r="E83" s="894">
        <v>0.2</v>
      </c>
      <c r="F83" s="881">
        <v>30</v>
      </c>
    </row>
    <row r="84" spans="1:6" s="877" customFormat="1" ht="36">
      <c r="A84" s="881">
        <v>24</v>
      </c>
      <c r="B84" s="3317"/>
      <c r="C84" s="817" t="s">
        <v>662</v>
      </c>
      <c r="D84" s="817" t="s">
        <v>663</v>
      </c>
      <c r="E84" s="894">
        <v>0.2</v>
      </c>
      <c r="F84" s="881">
        <v>30</v>
      </c>
    </row>
    <row r="85" spans="1:6" s="877" customFormat="1" ht="36">
      <c r="A85" s="881">
        <v>25</v>
      </c>
      <c r="B85" s="3317"/>
      <c r="C85" s="817" t="s">
        <v>664</v>
      </c>
      <c r="D85" s="817" t="s">
        <v>665</v>
      </c>
      <c r="E85" s="894">
        <v>0.5</v>
      </c>
      <c r="F85" s="881">
        <v>80</v>
      </c>
    </row>
    <row r="86" spans="1:6" s="877" customFormat="1" ht="36">
      <c r="A86" s="881">
        <v>26</v>
      </c>
      <c r="B86" s="3317"/>
      <c r="C86" s="817" t="s">
        <v>666</v>
      </c>
      <c r="D86" s="817" t="s">
        <v>667</v>
      </c>
      <c r="E86" s="894">
        <v>0.2</v>
      </c>
      <c r="F86" s="881">
        <v>30</v>
      </c>
    </row>
    <row r="87" spans="1:6" s="877" customFormat="1" ht="36">
      <c r="A87" s="881">
        <v>27</v>
      </c>
      <c r="B87" s="3317"/>
      <c r="C87" s="817" t="s">
        <v>668</v>
      </c>
      <c r="D87" s="817" t="s">
        <v>669</v>
      </c>
      <c r="E87" s="894">
        <v>0.2</v>
      </c>
      <c r="F87" s="881">
        <v>30</v>
      </c>
    </row>
    <row r="88" spans="1:6" s="877" customFormat="1" ht="36">
      <c r="A88" s="881">
        <v>28</v>
      </c>
      <c r="B88" s="3317"/>
      <c r="C88" s="817" t="s">
        <v>670</v>
      </c>
      <c r="D88" s="817" t="s">
        <v>671</v>
      </c>
      <c r="E88" s="894">
        <v>0.2</v>
      </c>
      <c r="F88" s="881">
        <v>30</v>
      </c>
    </row>
    <row r="89" spans="1:6" s="877" customFormat="1" ht="24">
      <c r="A89" s="881">
        <v>29</v>
      </c>
      <c r="B89" s="3317"/>
      <c r="C89" s="817" t="s">
        <v>672</v>
      </c>
      <c r="D89" s="817" t="s">
        <v>673</v>
      </c>
      <c r="E89" s="894">
        <v>0.2</v>
      </c>
      <c r="F89" s="881">
        <v>30</v>
      </c>
    </row>
    <row r="90" spans="1:6" s="877" customFormat="1" ht="24">
      <c r="A90" s="881">
        <v>30</v>
      </c>
      <c r="B90" s="3317"/>
      <c r="C90" s="817" t="s">
        <v>674</v>
      </c>
      <c r="D90" s="817" t="s">
        <v>675</v>
      </c>
      <c r="E90" s="894">
        <v>0.2</v>
      </c>
      <c r="F90" s="881">
        <v>30</v>
      </c>
    </row>
    <row r="91" spans="1:6" s="877" customFormat="1" ht="36">
      <c r="A91" s="881">
        <v>31</v>
      </c>
      <c r="B91" s="3317"/>
      <c r="C91" s="817" t="s">
        <v>676</v>
      </c>
      <c r="D91" s="817" t="s">
        <v>677</v>
      </c>
      <c r="E91" s="894">
        <v>0.2</v>
      </c>
      <c r="F91" s="881">
        <v>30</v>
      </c>
    </row>
    <row r="92" spans="1:6" s="877" customFormat="1" ht="24">
      <c r="A92" s="881">
        <v>32</v>
      </c>
      <c r="B92" s="3317" t="s">
        <v>678</v>
      </c>
      <c r="C92" s="881" t="s">
        <v>679</v>
      </c>
      <c r="D92" s="817" t="s">
        <v>680</v>
      </c>
      <c r="E92" s="894">
        <v>0.2</v>
      </c>
      <c r="F92" s="881">
        <v>30</v>
      </c>
    </row>
    <row r="93" spans="1:6" s="877" customFormat="1" ht="36">
      <c r="A93" s="881">
        <v>33</v>
      </c>
      <c r="B93" s="3317"/>
      <c r="C93" s="881" t="s">
        <v>681</v>
      </c>
      <c r="D93" s="817" t="s">
        <v>682</v>
      </c>
      <c r="E93" s="894">
        <v>0.2</v>
      </c>
      <c r="F93" s="881">
        <v>30</v>
      </c>
    </row>
    <row r="94" spans="1:6" s="877" customFormat="1" ht="48">
      <c r="A94" s="881">
        <v>34</v>
      </c>
      <c r="B94" s="3317"/>
      <c r="C94" s="881" t="s">
        <v>683</v>
      </c>
      <c r="D94" s="817" t="s">
        <v>684</v>
      </c>
      <c r="E94" s="894">
        <v>0.2</v>
      </c>
      <c r="F94" s="881">
        <v>30</v>
      </c>
    </row>
    <row r="95" spans="1:6" s="877" customFormat="1" ht="36">
      <c r="A95" s="881">
        <v>35</v>
      </c>
      <c r="B95" s="3317"/>
      <c r="C95" s="881" t="s">
        <v>685</v>
      </c>
      <c r="D95" s="817" t="s">
        <v>686</v>
      </c>
      <c r="E95" s="894">
        <v>0.2</v>
      </c>
      <c r="F95" s="881">
        <v>30</v>
      </c>
    </row>
    <row r="96" spans="1:6" s="877" customFormat="1" ht="48">
      <c r="A96" s="881">
        <v>36</v>
      </c>
      <c r="B96" s="3317"/>
      <c r="C96" s="817" t="s">
        <v>687</v>
      </c>
      <c r="D96" s="817" t="s">
        <v>688</v>
      </c>
      <c r="E96" s="894">
        <v>0.2</v>
      </c>
      <c r="F96" s="881">
        <v>30</v>
      </c>
    </row>
    <row r="97" spans="1:6" s="877" customFormat="1" ht="36">
      <c r="A97" s="881">
        <v>37</v>
      </c>
      <c r="B97" s="3317"/>
      <c r="C97" s="881" t="s">
        <v>689</v>
      </c>
      <c r="D97" s="817" t="s">
        <v>690</v>
      </c>
      <c r="E97" s="894">
        <v>0.2</v>
      </c>
      <c r="F97" s="881">
        <v>30</v>
      </c>
    </row>
    <row r="98" spans="1:6" s="877" customFormat="1" ht="36">
      <c r="A98" s="881">
        <v>38</v>
      </c>
      <c r="B98" s="3317"/>
      <c r="C98" s="881" t="s">
        <v>691</v>
      </c>
      <c r="D98" s="817" t="s">
        <v>692</v>
      </c>
      <c r="E98" s="894">
        <v>0.2</v>
      </c>
      <c r="F98" s="881">
        <v>30</v>
      </c>
    </row>
    <row r="99" spans="1:6" s="877" customFormat="1" ht="36">
      <c r="A99" s="881">
        <v>39</v>
      </c>
      <c r="B99" s="3317" t="s">
        <v>693</v>
      </c>
      <c r="C99" s="881" t="s">
        <v>694</v>
      </c>
      <c r="D99" s="817" t="s">
        <v>695</v>
      </c>
      <c r="E99" s="894">
        <v>0.3</v>
      </c>
      <c r="F99" s="881">
        <v>50</v>
      </c>
    </row>
    <row r="100" spans="1:6" s="877" customFormat="1" ht="24">
      <c r="A100" s="881">
        <v>40</v>
      </c>
      <c r="B100" s="3317"/>
      <c r="C100" s="881" t="s">
        <v>696</v>
      </c>
      <c r="D100" s="817" t="s">
        <v>697</v>
      </c>
      <c r="E100" s="894">
        <v>0.2</v>
      </c>
      <c r="F100" s="881">
        <v>30</v>
      </c>
    </row>
    <row r="101" spans="1:6" s="877" customFormat="1" ht="36">
      <c r="A101" s="881">
        <v>41</v>
      </c>
      <c r="B101" s="331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7" t="s">
        <v>708</v>
      </c>
      <c r="C105" s="881" t="s">
        <v>709</v>
      </c>
      <c r="D105" s="817" t="s">
        <v>710</v>
      </c>
      <c r="E105" s="894">
        <v>0.2</v>
      </c>
      <c r="F105" s="881">
        <v>30</v>
      </c>
    </row>
    <row r="106" spans="1:6" s="877" customFormat="1" ht="36">
      <c r="A106" s="881">
        <v>46</v>
      </c>
      <c r="B106" s="3317"/>
      <c r="C106" s="881" t="s">
        <v>711</v>
      </c>
      <c r="D106" s="817" t="s">
        <v>712</v>
      </c>
      <c r="E106" s="894">
        <v>0.2</v>
      </c>
      <c r="F106" s="881">
        <v>30</v>
      </c>
    </row>
    <row r="107" spans="1:6" s="877" customFormat="1" ht="36">
      <c r="A107" s="881">
        <v>47</v>
      </c>
      <c r="B107" s="3317" t="s">
        <v>713</v>
      </c>
      <c r="C107" s="881" t="s">
        <v>714</v>
      </c>
      <c r="D107" s="817" t="s">
        <v>715</v>
      </c>
      <c r="E107" s="894">
        <v>0.3</v>
      </c>
      <c r="F107" s="881">
        <v>50</v>
      </c>
    </row>
    <row r="108" spans="1:6" s="877" customFormat="1" ht="36">
      <c r="A108" s="881">
        <v>48</v>
      </c>
      <c r="B108" s="331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7" t="s">
        <v>724</v>
      </c>
      <c r="C111" s="881" t="s">
        <v>725</v>
      </c>
      <c r="D111" s="817" t="s">
        <v>726</v>
      </c>
      <c r="E111" s="894">
        <v>0.2</v>
      </c>
      <c r="F111" s="881">
        <v>30</v>
      </c>
    </row>
    <row r="112" spans="1:6" s="877" customFormat="1" ht="24">
      <c r="A112" s="881">
        <v>52</v>
      </c>
      <c r="B112" s="3317"/>
      <c r="C112" s="881" t="s">
        <v>727</v>
      </c>
      <c r="D112" s="817" t="s">
        <v>728</v>
      </c>
      <c r="E112" s="894">
        <v>0.2</v>
      </c>
      <c r="F112" s="881">
        <v>30</v>
      </c>
    </row>
    <row r="113" spans="1:6" s="877" customFormat="1" ht="24">
      <c r="A113" s="881">
        <v>53</v>
      </c>
      <c r="B113" s="331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7" t="s">
        <v>737</v>
      </c>
      <c r="C116" s="881" t="s">
        <v>738</v>
      </c>
      <c r="D116" s="817" t="s">
        <v>739</v>
      </c>
      <c r="E116" s="894">
        <v>0.2</v>
      </c>
      <c r="F116" s="881">
        <v>30</v>
      </c>
    </row>
    <row r="117" spans="1:6" ht="36">
      <c r="A117" s="881">
        <v>57</v>
      </c>
      <c r="B117" s="331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4"/>
      <c r="B4" s="3015" t="s">
        <v>1632</v>
      </c>
      <c r="C4" s="3015"/>
      <c r="D4" s="3015"/>
      <c r="E4" s="1964"/>
    </row>
    <row r="5" spans="1:5" ht="16.5" thickTop="1">
      <c r="A5" s="1962"/>
      <c r="B5" s="3013" t="s">
        <v>1624</v>
      </c>
      <c r="C5" s="1965" t="s">
        <v>1625</v>
      </c>
      <c r="D5" s="1042">
        <f ca="1">结果表!H101</f>
        <v>33597</v>
      </c>
      <c r="E5" s="1962"/>
    </row>
    <row r="6" spans="1:5" ht="15.75">
      <c r="A6" s="1962"/>
      <c r="B6" s="3013"/>
      <c r="C6" s="1965" t="s">
        <v>1626</v>
      </c>
      <c r="D6" s="1042" t="str">
        <f ca="1">NUMBERSTRING(INT(D5*10000),2)&amp;"元整"</f>
        <v>叁亿叁仟伍佰玖拾柒万元整</v>
      </c>
      <c r="E6" s="1962"/>
    </row>
    <row r="7" spans="1:5" ht="15.75">
      <c r="A7" s="1962"/>
      <c r="B7" s="3018"/>
      <c r="C7" s="1966" t="s">
        <v>1627</v>
      </c>
      <c r="D7" s="1043">
        <f ca="1">结果表!H102</f>
        <v>46319</v>
      </c>
      <c r="E7" s="1962"/>
    </row>
    <row r="8" spans="1:5" ht="15.75">
      <c r="A8" s="1962"/>
      <c r="B8" s="3019" t="str">
        <f>结果表!E103</f>
        <v>2.估价师知悉的法定优先受偿款</v>
      </c>
      <c r="C8" s="1967" t="s">
        <v>1628</v>
      </c>
      <c r="D8" s="1043">
        <f>结果表!H103</f>
        <v>0</v>
      </c>
      <c r="E8" s="1962"/>
    </row>
    <row r="9" spans="1:5" ht="15.75">
      <c r="A9" s="1962"/>
      <c r="B9" s="3021"/>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3012" t="str">
        <f>结果表!E107</f>
        <v>3.房地产抵押价值</v>
      </c>
      <c r="C13" s="1970" t="s">
        <v>1625</v>
      </c>
      <c r="D13" s="1045">
        <f ca="1">结果表!H107</f>
        <v>33597</v>
      </c>
      <c r="E13" s="1962"/>
    </row>
    <row r="14" spans="1:5" ht="15.75">
      <c r="A14" s="1962"/>
      <c r="B14" s="3013"/>
      <c r="C14" s="1965" t="s">
        <v>1626</v>
      </c>
      <c r="D14" s="1042" t="str">
        <f ca="1">NUMBERSTRING(INT(D13*10000),2)&amp;"元整"</f>
        <v>叁亿叁仟伍佰玖拾柒万元整</v>
      </c>
      <c r="E14" s="1962"/>
    </row>
    <row r="15" spans="1:5" ht="15">
      <c r="A15" s="1962"/>
      <c r="B15" s="3018"/>
      <c r="C15" s="1966" t="s">
        <v>1636</v>
      </c>
      <c r="D15" s="1054">
        <f ca="1">结果表!H108</f>
        <v>46319</v>
      </c>
      <c r="E15" s="1962"/>
    </row>
    <row r="16" spans="1:5" ht="15">
      <c r="A16" s="1962"/>
      <c r="B16" s="3019" t="str">
        <f>结果表!E109</f>
        <v>——</v>
      </c>
      <c r="C16" s="1970" t="s">
        <v>1637</v>
      </c>
      <c r="D16" s="1971" t="str">
        <f>结果表!H109</f>
        <v>——</v>
      </c>
      <c r="E16" s="1962"/>
    </row>
    <row r="17" spans="1:5" ht="15.75">
      <c r="A17" s="1962"/>
      <c r="B17" s="3020"/>
      <c r="C17" s="1965" t="s">
        <v>1638</v>
      </c>
      <c r="D17" s="1042" t="e">
        <f>NUMBERSTRING(INT(D16*10000),2)&amp;"元整"</f>
        <v>#VALUE!</v>
      </c>
      <c r="E17" s="1962"/>
    </row>
    <row r="18" spans="1:5" ht="15">
      <c r="A18" s="1962"/>
      <c r="B18" s="3021"/>
      <c r="C18" s="1966" t="s">
        <v>1627</v>
      </c>
      <c r="D18" s="1054" t="str">
        <f>结果表!H110</f>
        <v>——</v>
      </c>
      <c r="E18" s="1962"/>
    </row>
    <row r="19" spans="1:5" ht="15.75">
      <c r="A19" s="1962"/>
      <c r="B19" s="3012" t="str">
        <f>结果表!E111</f>
        <v>——</v>
      </c>
      <c r="C19" s="1970" t="s">
        <v>1625</v>
      </c>
      <c r="D19" s="1043" t="str">
        <f>结果表!H111</f>
        <v>——</v>
      </c>
      <c r="E19" s="1962"/>
    </row>
    <row r="20" spans="1:5" ht="15.75">
      <c r="A20" s="1962"/>
      <c r="B20" s="3013"/>
      <c r="C20" s="1965" t="s">
        <v>1638</v>
      </c>
      <c r="D20" s="1042" t="e">
        <f>NUMBERSTRING(INT(D19*10000),2)&amp;"元整"</f>
        <v>#VALUE!</v>
      </c>
      <c r="E20" s="1962"/>
    </row>
    <row r="21" spans="1:5" ht="15.75" thickBot="1">
      <c r="A21" s="1962"/>
      <c r="B21" s="3014"/>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f ca="1">SUMIF(B6:B13,"&lt;&gt;#ref!",B6:B13)</f>
        <v>20290</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20290</v>
      </c>
      <c r="C6" s="2913" t="s">
        <v>2999</v>
      </c>
      <c r="D6" s="2915"/>
      <c r="E6" s="2578">
        <f ca="1">SUMIF(INDIRECT("'"&amp;A6&amp;"'"&amp;"!C:C"),"建筑面积",INDIRECT("'"&amp;A6&amp;"'"&amp;"!D:D"))</f>
        <v>7253.4400000000014</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L1" zoomScale="80" zoomScaleNormal="80" workbookViewId="0">
      <selection activeCell="Y37" sqref="Y3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23" t="s">
        <v>1150</v>
      </c>
      <c r="C1" s="3323"/>
      <c r="D1" s="3323"/>
      <c r="E1" s="3323"/>
      <c r="F1" s="3323"/>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3043</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f>ROUND(SUMPRODUCT(PRODUCT(1+N4:N$19)),4)</f>
        <v>1.4742</v>
      </c>
      <c r="Y4" s="1461">
        <f>ROUND(SUMPRODUCT(PRODUCT(1+O4:O$19)),4)</f>
        <v>1.2875000000000001</v>
      </c>
      <c r="Z4" s="1461">
        <f t="shared" ref="Z4" si="12">Y4</f>
        <v>1.2875000000000001</v>
      </c>
      <c r="AA4" s="1461">
        <f>ROUND(SUMPRODUCT(PRODUCT(1+P4:P$19)),4)</f>
        <v>1.5399</v>
      </c>
      <c r="AB4" s="1461">
        <f>ROUND(SUMPRODUCT(PRODUCT(1+Q4:Q$19)),4)</f>
        <v>1.2475000000000001</v>
      </c>
      <c r="AD4" s="1462">
        <f>ROUND(AVERAGE(I4:I$20)/100,4)</f>
        <v>2.4899999999999999E-2</v>
      </c>
      <c r="AE4" s="1462">
        <f>ROUND(AVERAGE(J4:J$20)/100,4)</f>
        <v>1.6400000000000001E-2</v>
      </c>
      <c r="AF4" s="1462">
        <f t="shared" ref="AF4" si="13">AE4</f>
        <v>1.6400000000000001E-2</v>
      </c>
      <c r="AG4" s="1462">
        <f>ROUND(AVERAGE(K4:K$20)/100,4)</f>
        <v>2.7799999999999998E-2</v>
      </c>
      <c r="AH4" s="1462">
        <f>ROUND(AVERAGE(L4:L$20)/100,4)</f>
        <v>1.3899999999999999E-2</v>
      </c>
    </row>
    <row r="5" spans="1:34" s="1734" customFormat="1">
      <c r="A5" s="1732" t="s">
        <v>3041</v>
      </c>
      <c r="B5" s="1794">
        <f t="shared" ref="B5" si="14">B6*(1+N5)</f>
        <v>442.55931008890832</v>
      </c>
      <c r="C5" s="1794">
        <f t="shared" ref="C5" si="15">C6*(1+O5)</f>
        <v>325.83629756950273</v>
      </c>
      <c r="D5" s="1794">
        <f t="shared" ref="D5" si="16">C5</f>
        <v>325.83629756950273</v>
      </c>
      <c r="E5" s="1794">
        <f t="shared" ref="E5" si="17">E6*(1+P5)</f>
        <v>633.08482426575677</v>
      </c>
      <c r="F5" s="1794">
        <f t="shared" ref="F5" si="18">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9">J5/100</f>
        <v>1.6399999999999998E-2</v>
      </c>
      <c r="P5" s="1469">
        <f t="shared" ref="P5" si="20">K5/100</f>
        <v>2.7799999999999998E-2</v>
      </c>
      <c r="Q5" s="1469">
        <f t="shared" ref="Q5" si="21">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3042</v>
      </c>
      <c r="B6" s="1480">
        <f t="shared" ref="B6:B7" si="22">B7*(1+N6)</f>
        <v>431.80730811680002</v>
      </c>
      <c r="C6" s="1480">
        <f t="shared" ref="C6:C7" si="23">C7*(1+O6)</f>
        <v>320.57880516480003</v>
      </c>
      <c r="D6" s="1480">
        <f t="shared" ref="D6:D7" si="24">C6</f>
        <v>320.57880516480003</v>
      </c>
      <c r="E6" s="1480">
        <f t="shared" ref="E6:E7" si="25">E7*(1+P6)</f>
        <v>615.96110553196797</v>
      </c>
      <c r="F6" s="1480">
        <f t="shared" ref="F6:F7" si="26">F7*(1+Q6)</f>
        <v>279.46777300108801</v>
      </c>
      <c r="G6" s="2926"/>
      <c r="H6" s="1466">
        <v>3</v>
      </c>
      <c r="I6" s="1466">
        <v>2.98</v>
      </c>
      <c r="J6" s="1466">
        <v>2.11</v>
      </c>
      <c r="K6" s="1466">
        <v>3.24</v>
      </c>
      <c r="L6" s="1481">
        <v>1.72</v>
      </c>
      <c r="M6" s="1474"/>
      <c r="N6" s="1475">
        <f t="shared" si="8"/>
        <v>2.98E-2</v>
      </c>
      <c r="O6" s="1476">
        <f t="shared" ref="O6" si="27">J6/100</f>
        <v>2.1099999999999997E-2</v>
      </c>
      <c r="P6" s="1476">
        <f t="shared" ref="P6" si="28">K6/100</f>
        <v>3.2400000000000005E-2</v>
      </c>
      <c r="Q6" s="1476">
        <f t="shared" ref="Q6" si="29">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2"/>
        <v>419.31181600000002</v>
      </c>
      <c r="C7" s="1480">
        <f t="shared" si="23"/>
        <v>313.95436800000004</v>
      </c>
      <c r="D7" s="1480">
        <f t="shared" si="24"/>
        <v>313.95436800000004</v>
      </c>
      <c r="E7" s="1480">
        <f t="shared" si="25"/>
        <v>596.63028431999999</v>
      </c>
      <c r="F7" s="1480">
        <f t="shared" si="26"/>
        <v>274.74220703999998</v>
      </c>
      <c r="G7" s="2925"/>
      <c r="H7" s="1467">
        <v>2</v>
      </c>
      <c r="I7" s="1467">
        <v>3.4</v>
      </c>
      <c r="J7" s="1467">
        <v>2</v>
      </c>
      <c r="K7" s="1467">
        <v>3.82</v>
      </c>
      <c r="L7" s="1482">
        <v>1.68</v>
      </c>
      <c r="M7" s="1474"/>
      <c r="N7" s="1475">
        <f t="shared" si="8"/>
        <v>3.4000000000000002E-2</v>
      </c>
      <c r="O7" s="1476">
        <f t="shared" ref="O7" si="30">J7/100</f>
        <v>0.02</v>
      </c>
      <c r="P7" s="1476">
        <f t="shared" ref="P7" si="31">K7/100</f>
        <v>3.8199999999999998E-2</v>
      </c>
      <c r="Q7" s="1476">
        <f t="shared" ref="Q7" si="32">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3">J8/100</f>
        <v>1.9199999999999998E-2</v>
      </c>
      <c r="P8" s="1476">
        <f t="shared" si="33"/>
        <v>3.9199999999999999E-2</v>
      </c>
      <c r="Q8" s="1476">
        <f t="shared" si="33"/>
        <v>1.5800000000000002E-2</v>
      </c>
      <c r="R8" s="1477"/>
      <c r="S8" s="1475">
        <f>B8/B9-1</f>
        <v>3.4499999999999975E-2</v>
      </c>
      <c r="T8" s="1476">
        <f t="shared" ref="T8:V8" si="34">C8/C9-1</f>
        <v>1.9200000000000106E-2</v>
      </c>
      <c r="U8" s="1476">
        <f t="shared" si="34"/>
        <v>1.9200000000000106E-2</v>
      </c>
      <c r="V8" s="1476">
        <f t="shared" si="34"/>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24">
        <v>2016</v>
      </c>
      <c r="H9" s="1464">
        <v>4</v>
      </c>
      <c r="I9" s="1464">
        <v>4.5599999999999996</v>
      </c>
      <c r="J9" s="1464">
        <v>2.15</v>
      </c>
      <c r="K9" s="1464">
        <v>5.32</v>
      </c>
      <c r="L9" s="1465">
        <v>1.57</v>
      </c>
      <c r="N9" s="1475">
        <f t="shared" si="8"/>
        <v>4.5599999999999995E-2</v>
      </c>
      <c r="O9" s="1476">
        <f t="shared" si="33"/>
        <v>2.1499999999999998E-2</v>
      </c>
      <c r="P9" s="1476">
        <f t="shared" si="33"/>
        <v>5.3200000000000004E-2</v>
      </c>
      <c r="Q9" s="1476">
        <f t="shared" si="33"/>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5">B9/(1+N9)</f>
        <v>374.90436113236416</v>
      </c>
      <c r="C10" s="1480">
        <f t="shared" si="35"/>
        <v>295.64366128242779</v>
      </c>
      <c r="D10" s="1480">
        <f t="shared" ref="D10:D69" si="36">C10</f>
        <v>295.64366128242779</v>
      </c>
      <c r="E10" s="1480">
        <f t="shared" ref="E10:F12" si="37">E9/(1+P9)</f>
        <v>525.06646410938095</v>
      </c>
      <c r="F10" s="1480">
        <f t="shared" si="37"/>
        <v>261.88835286009646</v>
      </c>
      <c r="G10" s="3321"/>
      <c r="H10" s="1466">
        <v>3</v>
      </c>
      <c r="I10" s="1466">
        <v>4.12</v>
      </c>
      <c r="J10" s="1466">
        <v>2</v>
      </c>
      <c r="K10" s="1466">
        <v>4.79</v>
      </c>
      <c r="L10" s="1481">
        <v>1.97</v>
      </c>
      <c r="N10" s="1475">
        <f t="shared" ref="N10:Q44" si="38">I10/100</f>
        <v>4.1200000000000001E-2</v>
      </c>
      <c r="O10" s="1476">
        <f t="shared" si="33"/>
        <v>0.02</v>
      </c>
      <c r="P10" s="1476">
        <f t="shared" si="33"/>
        <v>4.7899999999999998E-2</v>
      </c>
      <c r="Q10" s="1476">
        <f t="shared" si="33"/>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5"/>
        <v>360.06949782209392</v>
      </c>
      <c r="C11" s="1480">
        <f t="shared" si="35"/>
        <v>289.84672674747821</v>
      </c>
      <c r="D11" s="1480">
        <f t="shared" si="36"/>
        <v>289.84672674747821</v>
      </c>
      <c r="E11" s="1480">
        <f t="shared" si="37"/>
        <v>501.06543001181495</v>
      </c>
      <c r="F11" s="1480">
        <f t="shared" si="37"/>
        <v>256.82882500744967</v>
      </c>
      <c r="G11" s="3321"/>
      <c r="H11" s="1467">
        <v>2</v>
      </c>
      <c r="I11" s="1467">
        <v>3.85</v>
      </c>
      <c r="J11" s="1467">
        <v>1.95</v>
      </c>
      <c r="K11" s="1467">
        <v>4.4800000000000004</v>
      </c>
      <c r="L11" s="1482">
        <v>1.41</v>
      </c>
      <c r="N11" s="1475">
        <f t="shared" si="38"/>
        <v>3.85E-2</v>
      </c>
      <c r="O11" s="1476">
        <f t="shared" si="33"/>
        <v>1.95E-2</v>
      </c>
      <c r="P11" s="1476">
        <f t="shared" si="33"/>
        <v>4.4800000000000006E-2</v>
      </c>
      <c r="Q11" s="1476">
        <f t="shared" si="33"/>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5"/>
        <v>346.720748986128</v>
      </c>
      <c r="C12" s="1480">
        <f t="shared" si="35"/>
        <v>284.30282172386285</v>
      </c>
      <c r="D12" s="1480">
        <f t="shared" si="36"/>
        <v>284.30282172386285</v>
      </c>
      <c r="E12" s="1480">
        <f t="shared" si="37"/>
        <v>479.58023546306947</v>
      </c>
      <c r="F12" s="1480">
        <f t="shared" si="37"/>
        <v>253.25788877571213</v>
      </c>
      <c r="G12" s="3322"/>
      <c r="H12" s="1466">
        <v>1</v>
      </c>
      <c r="I12" s="1466">
        <v>4.09</v>
      </c>
      <c r="J12" s="1466">
        <v>2.93</v>
      </c>
      <c r="K12" s="1466">
        <v>4.54</v>
      </c>
      <c r="L12" s="1481">
        <v>1.48</v>
      </c>
      <c r="N12" s="1475">
        <f t="shared" si="38"/>
        <v>4.0899999999999999E-2</v>
      </c>
      <c r="O12" s="1476">
        <f t="shared" si="33"/>
        <v>2.9300000000000003E-2</v>
      </c>
      <c r="P12" s="1476">
        <f t="shared" si="33"/>
        <v>4.5400000000000003E-2</v>
      </c>
      <c r="Q12" s="1476">
        <f t="shared" si="33"/>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6"/>
        <v>277</v>
      </c>
      <c r="E13" s="1472">
        <v>459</v>
      </c>
      <c r="F13" s="1473">
        <v>249</v>
      </c>
      <c r="G13" s="3320">
        <v>2015</v>
      </c>
      <c r="H13" s="1485">
        <v>4</v>
      </c>
      <c r="I13" s="1485">
        <v>1.63</v>
      </c>
      <c r="J13" s="1485">
        <v>1.1100000000000001</v>
      </c>
      <c r="K13" s="1485">
        <v>1.77</v>
      </c>
      <c r="L13" s="1486">
        <v>1.89</v>
      </c>
      <c r="N13" s="1487">
        <f t="shared" si="38"/>
        <v>1.6299999999999999E-2</v>
      </c>
      <c r="O13" s="1488">
        <f t="shared" si="33"/>
        <v>1.11E-2</v>
      </c>
      <c r="P13" s="1488">
        <f t="shared" si="33"/>
        <v>1.77E-2</v>
      </c>
      <c r="Q13" s="1488">
        <f t="shared" si="33"/>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9">B13/(1+N13)</f>
        <v>327.65915576109415</v>
      </c>
      <c r="C14" s="1480">
        <f t="shared" si="39"/>
        <v>273.95905449510434</v>
      </c>
      <c r="D14" s="1480">
        <f t="shared" si="36"/>
        <v>273.95905449510434</v>
      </c>
      <c r="E14" s="1480">
        <f t="shared" ref="E14:F16" si="40">E13/(1+P13)</f>
        <v>451.01699911565294</v>
      </c>
      <c r="F14" s="1480">
        <f t="shared" si="40"/>
        <v>244.38119540681129</v>
      </c>
      <c r="G14" s="3321"/>
      <c r="H14" s="1490">
        <v>3</v>
      </c>
      <c r="I14" s="1490">
        <v>1.65</v>
      </c>
      <c r="J14" s="1490">
        <v>0.92</v>
      </c>
      <c r="K14" s="1490">
        <v>1.88</v>
      </c>
      <c r="L14" s="1491">
        <v>1.26</v>
      </c>
      <c r="N14" s="1475">
        <f t="shared" si="38"/>
        <v>1.6500000000000001E-2</v>
      </c>
      <c r="O14" s="1492">
        <f t="shared" si="33"/>
        <v>9.1999999999999998E-3</v>
      </c>
      <c r="P14" s="1492">
        <f t="shared" si="33"/>
        <v>1.8799999999999997E-2</v>
      </c>
      <c r="Q14" s="1492">
        <f t="shared" si="33"/>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9"/>
        <v>322.34053690220776</v>
      </c>
      <c r="C15" s="1480">
        <f t="shared" si="39"/>
        <v>271.46160770422546</v>
      </c>
      <c r="D15" s="1480">
        <f t="shared" si="36"/>
        <v>271.46160770422546</v>
      </c>
      <c r="E15" s="1480">
        <f t="shared" si="40"/>
        <v>442.69434542172456</v>
      </c>
      <c r="F15" s="1480">
        <f t="shared" si="40"/>
        <v>241.34030753190925</v>
      </c>
      <c r="G15" s="3321"/>
      <c r="H15" s="1467">
        <v>2</v>
      </c>
      <c r="I15" s="1467">
        <v>0.77</v>
      </c>
      <c r="J15" s="1467">
        <v>0.69</v>
      </c>
      <c r="K15" s="1467">
        <v>0.8</v>
      </c>
      <c r="L15" s="1482">
        <v>0.88</v>
      </c>
      <c r="N15" s="1475">
        <f t="shared" si="38"/>
        <v>7.7000000000000002E-3</v>
      </c>
      <c r="O15" s="1492">
        <f t="shared" si="33"/>
        <v>6.8999999999999999E-3</v>
      </c>
      <c r="P15" s="1492">
        <f t="shared" si="33"/>
        <v>8.0000000000000002E-3</v>
      </c>
      <c r="Q15" s="1492">
        <f t="shared" si="33"/>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9"/>
        <v>319.87748030386797</v>
      </c>
      <c r="C16" s="1480">
        <f t="shared" si="39"/>
        <v>269.60135833173649</v>
      </c>
      <c r="D16" s="1480">
        <f t="shared" si="36"/>
        <v>269.60135833173649</v>
      </c>
      <c r="E16" s="1480">
        <f t="shared" si="40"/>
        <v>439.18089823583784</v>
      </c>
      <c r="F16" s="1480">
        <f t="shared" si="40"/>
        <v>239.23503918706311</v>
      </c>
      <c r="G16" s="3322"/>
      <c r="H16" s="1466">
        <v>1</v>
      </c>
      <c r="I16" s="1466">
        <v>0.51</v>
      </c>
      <c r="J16" s="1466">
        <v>0.54</v>
      </c>
      <c r="K16" s="1466">
        <v>0.48</v>
      </c>
      <c r="L16" s="1481">
        <v>0.93</v>
      </c>
      <c r="N16" s="1483">
        <f t="shared" si="38"/>
        <v>5.1000000000000004E-3</v>
      </c>
      <c r="O16" s="1484">
        <f t="shared" si="33"/>
        <v>5.4000000000000003E-3</v>
      </c>
      <c r="P16" s="1484">
        <f t="shared" si="33"/>
        <v>4.7999999999999996E-3</v>
      </c>
      <c r="Q16" s="1484">
        <f t="shared" si="33"/>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6"/>
        <v>268</v>
      </c>
      <c r="E17" s="1493">
        <v>437</v>
      </c>
      <c r="F17" s="1494">
        <v>237</v>
      </c>
      <c r="G17" s="3320">
        <v>2014</v>
      </c>
      <c r="H17" s="1485">
        <v>4</v>
      </c>
      <c r="I17" s="1485">
        <v>0.21</v>
      </c>
      <c r="J17" s="1485">
        <v>0.41</v>
      </c>
      <c r="K17" s="1485">
        <v>0.12</v>
      </c>
      <c r="L17" s="1486">
        <v>0.89</v>
      </c>
      <c r="N17" s="1475">
        <f t="shared" si="38"/>
        <v>2.0999999999999999E-3</v>
      </c>
      <c r="O17" s="1476">
        <f t="shared" si="33"/>
        <v>4.0999999999999995E-3</v>
      </c>
      <c r="P17" s="1476">
        <f t="shared" si="33"/>
        <v>1.1999999999999999E-3</v>
      </c>
      <c r="Q17" s="1476">
        <f t="shared" si="33"/>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41">B17/(1+N17)</f>
        <v>317.33359944117353</v>
      </c>
      <c r="C18" s="1480">
        <f t="shared" si="41"/>
        <v>266.90568668459315</v>
      </c>
      <c r="D18" s="1480">
        <f t="shared" si="36"/>
        <v>266.90568668459315</v>
      </c>
      <c r="E18" s="1480">
        <f t="shared" ref="E18:F20" si="42">E17/(1+P17)</f>
        <v>436.47622852576905</v>
      </c>
      <c r="F18" s="1480">
        <f t="shared" si="42"/>
        <v>234.90930716622066</v>
      </c>
      <c r="G18" s="3321"/>
      <c r="H18" s="1495">
        <v>3</v>
      </c>
      <c r="I18" s="1495">
        <v>0.83</v>
      </c>
      <c r="J18" s="1495">
        <v>1.47</v>
      </c>
      <c r="K18" s="1495">
        <v>0.65</v>
      </c>
      <c r="L18" s="1496">
        <v>0.72</v>
      </c>
      <c r="N18" s="1475">
        <f t="shared" si="38"/>
        <v>8.3000000000000001E-3</v>
      </c>
      <c r="O18" s="1476">
        <f t="shared" si="33"/>
        <v>1.47E-2</v>
      </c>
      <c r="P18" s="1476">
        <f t="shared" si="33"/>
        <v>6.5000000000000006E-3</v>
      </c>
      <c r="Q18" s="1476">
        <f t="shared" si="33"/>
        <v>7.1999999999999998E-3</v>
      </c>
      <c r="R18" s="1477"/>
      <c r="S18" s="1475"/>
      <c r="T18" s="1476"/>
      <c r="U18" s="1476"/>
      <c r="V18" s="1476"/>
      <c r="X18" s="1461">
        <f>ROUND(SUMPRODUCT(PRODUCT(1+N18:N$19)),4)</f>
        <v>1.0325</v>
      </c>
      <c r="Y18" s="1461">
        <f>ROUND(SUMPRODUCT(PRODUCT(1+O18:O$19)),4)</f>
        <v>1.0353000000000001</v>
      </c>
      <c r="Z18" s="1461">
        <f t="shared" ref="Z18:Z19" si="43">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41"/>
        <v>314.72141172386546</v>
      </c>
      <c r="C19" s="1480">
        <f t="shared" si="41"/>
        <v>263.03901319069001</v>
      </c>
      <c r="D19" s="1480">
        <f t="shared" si="36"/>
        <v>263.03901319069001</v>
      </c>
      <c r="E19" s="1480">
        <f t="shared" si="42"/>
        <v>433.65745506782821</v>
      </c>
      <c r="F19" s="1480">
        <f t="shared" si="42"/>
        <v>233.23005080045735</v>
      </c>
      <c r="G19" s="3321"/>
      <c r="H19" s="1485">
        <v>2</v>
      </c>
      <c r="I19" s="1485">
        <v>2.4</v>
      </c>
      <c r="J19" s="1485">
        <v>2.0299999999999998</v>
      </c>
      <c r="K19" s="1485">
        <v>2.59</v>
      </c>
      <c r="L19" s="1486">
        <v>1.52</v>
      </c>
      <c r="N19" s="1475">
        <f t="shared" si="38"/>
        <v>2.4E-2</v>
      </c>
      <c r="O19" s="1476">
        <f t="shared" si="33"/>
        <v>2.0299999999999999E-2</v>
      </c>
      <c r="P19" s="1476">
        <f t="shared" si="33"/>
        <v>2.5899999999999999E-2</v>
      </c>
      <c r="Q19" s="1476">
        <f t="shared" si="33"/>
        <v>1.52E-2</v>
      </c>
      <c r="R19" s="1477"/>
      <c r="S19" s="1475"/>
      <c r="T19" s="1476"/>
      <c r="U19" s="1476"/>
      <c r="V19" s="1476"/>
      <c r="X19" s="1461">
        <f>1+N19</f>
        <v>1.024</v>
      </c>
      <c r="Y19" s="1461">
        <f>1+O19</f>
        <v>1.0203</v>
      </c>
      <c r="Z19" s="1461">
        <f t="shared" si="43"/>
        <v>1.0203</v>
      </c>
      <c r="AA19" s="1461">
        <f>1+P19</f>
        <v>1.0259</v>
      </c>
      <c r="AB19" s="1461">
        <f>1+Q19</f>
        <v>1.0152000000000001</v>
      </c>
      <c r="AD19" s="1462">
        <f>ROUND(AVERAGE(I19:I$20)/100,4)</f>
        <v>2.69E-2</v>
      </c>
      <c r="AE19" s="1462">
        <f>ROUND(AVERAGE(J19:J$20)/100,4)</f>
        <v>2.1899999999999999E-2</v>
      </c>
      <c r="AF19" s="1462">
        <f t="shared" ref="AF19" si="44">AE19</f>
        <v>2.1899999999999999E-2</v>
      </c>
      <c r="AG19" s="1462">
        <f>ROUND(AVERAGE(K19:K$20)/100,4)</f>
        <v>2.9399999999999999E-2</v>
      </c>
      <c r="AH19" s="1462">
        <f>ROUND(AVERAGE(L19:L$20)/100,4)</f>
        <v>1.44E-2</v>
      </c>
    </row>
    <row r="20" spans="1:34" s="1501" customFormat="1" ht="13.5" thickBot="1">
      <c r="A20" s="1497" t="s">
        <v>144</v>
      </c>
      <c r="B20" s="1498">
        <f t="shared" si="41"/>
        <v>307.34512863658733</v>
      </c>
      <c r="C20" s="1498">
        <f t="shared" si="41"/>
        <v>257.80556031626975</v>
      </c>
      <c r="D20" s="1498">
        <f t="shared" si="36"/>
        <v>257.80556031626975</v>
      </c>
      <c r="E20" s="1498">
        <f t="shared" si="42"/>
        <v>422.70928459677179</v>
      </c>
      <c r="F20" s="1498">
        <f t="shared" si="42"/>
        <v>229.73803270336617</v>
      </c>
      <c r="G20" s="3322"/>
      <c r="H20" s="1499">
        <v>1</v>
      </c>
      <c r="I20" s="1499">
        <v>2.97</v>
      </c>
      <c r="J20" s="1499">
        <v>2.34</v>
      </c>
      <c r="K20" s="1499">
        <v>3.28</v>
      </c>
      <c r="L20" s="1500">
        <v>1.36</v>
      </c>
      <c r="N20" s="1502">
        <f t="shared" si="38"/>
        <v>2.9700000000000001E-2</v>
      </c>
      <c r="O20" s="1503">
        <f t="shared" si="33"/>
        <v>2.3399999999999997E-2</v>
      </c>
      <c r="P20" s="1503">
        <f t="shared" si="33"/>
        <v>3.2799999999999996E-2</v>
      </c>
      <c r="Q20" s="1503">
        <f t="shared" si="33"/>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6"/>
        <v>252</v>
      </c>
      <c r="E21" s="1472">
        <v>409</v>
      </c>
      <c r="F21" s="1473">
        <v>227</v>
      </c>
      <c r="G21" s="3325">
        <v>2013</v>
      </c>
      <c r="H21" s="1509">
        <v>4</v>
      </c>
      <c r="I21" s="1509">
        <v>1.83</v>
      </c>
      <c r="J21" s="1509">
        <v>1.68</v>
      </c>
      <c r="K21" s="1509">
        <v>1.97</v>
      </c>
      <c r="L21" s="1510">
        <v>0.87</v>
      </c>
      <c r="N21" s="1487">
        <f t="shared" si="38"/>
        <v>1.83E-2</v>
      </c>
      <c r="O21" s="1488">
        <f t="shared" si="33"/>
        <v>1.6799999999999999E-2</v>
      </c>
      <c r="P21" s="1488">
        <f t="shared" si="33"/>
        <v>1.9699999999999999E-2</v>
      </c>
      <c r="Q21" s="1488">
        <f t="shared" si="33"/>
        <v>8.6999999999999994E-3</v>
      </c>
      <c r="R21" s="1477"/>
      <c r="S21" s="1478"/>
      <c r="T21" s="1479"/>
      <c r="U21" s="1479"/>
      <c r="V21" s="1479"/>
      <c r="X21" s="1479"/>
      <c r="Y21" s="1479"/>
      <c r="Z21" s="1479"/>
    </row>
    <row r="22" spans="1:34">
      <c r="A22" s="1463" t="s">
        <v>1165</v>
      </c>
      <c r="B22" s="1480">
        <f t="shared" ref="B22:C24" si="45">B21/(1+N21)</f>
        <v>293.62663262299913</v>
      </c>
      <c r="C22" s="1480">
        <f t="shared" si="45"/>
        <v>247.83634933123525</v>
      </c>
      <c r="D22" s="1480">
        <f t="shared" si="36"/>
        <v>247.83634933123525</v>
      </c>
      <c r="E22" s="1480">
        <f t="shared" ref="E22:F24" si="46">E21/(1+P21)</f>
        <v>401.09836226341076</v>
      </c>
      <c r="F22" s="1480">
        <f t="shared" si="46"/>
        <v>225.04213343908003</v>
      </c>
      <c r="G22" s="3326"/>
      <c r="H22" s="1490">
        <v>3</v>
      </c>
      <c r="I22" s="1490">
        <v>1.86</v>
      </c>
      <c r="J22" s="1490">
        <v>1.72</v>
      </c>
      <c r="K22" s="1490">
        <v>1.98</v>
      </c>
      <c r="L22" s="1491">
        <v>0.88</v>
      </c>
      <c r="N22" s="1475">
        <f t="shared" si="38"/>
        <v>1.8600000000000002E-2</v>
      </c>
      <c r="O22" s="1492">
        <f t="shared" si="33"/>
        <v>1.72E-2</v>
      </c>
      <c r="P22" s="1492">
        <f t="shared" si="33"/>
        <v>1.9799999999999998E-2</v>
      </c>
      <c r="Q22" s="1492">
        <f t="shared" si="33"/>
        <v>8.8000000000000005E-3</v>
      </c>
      <c r="R22" s="1477"/>
      <c r="S22" s="1475"/>
      <c r="T22" s="1476"/>
      <c r="U22" s="1476"/>
      <c r="V22" s="1476"/>
    </row>
    <row r="23" spans="1:34">
      <c r="A23" s="1463" t="s">
        <v>1166</v>
      </c>
      <c r="B23" s="1480">
        <f t="shared" si="45"/>
        <v>288.2649053828776</v>
      </c>
      <c r="C23" s="1480">
        <f t="shared" si="45"/>
        <v>243.64564425013293</v>
      </c>
      <c r="D23" s="1480">
        <f t="shared" si="36"/>
        <v>243.64564425013293</v>
      </c>
      <c r="E23" s="1480">
        <f t="shared" si="46"/>
        <v>393.31080825986544</v>
      </c>
      <c r="F23" s="1480">
        <f t="shared" si="46"/>
        <v>223.07903790551154</v>
      </c>
      <c r="G23" s="3326"/>
      <c r="H23" s="1467">
        <v>2</v>
      </c>
      <c r="I23" s="1467">
        <v>2.04</v>
      </c>
      <c r="J23" s="1467">
        <v>2.33</v>
      </c>
      <c r="K23" s="1467">
        <v>2.0699999999999998</v>
      </c>
      <c r="L23" s="1482">
        <v>0.69</v>
      </c>
      <c r="N23" s="1475">
        <f t="shared" si="38"/>
        <v>2.0400000000000001E-2</v>
      </c>
      <c r="O23" s="1492">
        <f t="shared" si="33"/>
        <v>2.3300000000000001E-2</v>
      </c>
      <c r="P23" s="1492">
        <f t="shared" si="33"/>
        <v>2.07E-2</v>
      </c>
      <c r="Q23" s="1492">
        <f t="shared" si="33"/>
        <v>6.8999999999999999E-3</v>
      </c>
      <c r="R23" s="1477"/>
      <c r="S23" s="1475"/>
      <c r="T23" s="1476"/>
      <c r="U23" s="1476"/>
      <c r="V23" s="1476"/>
      <c r="X23" s="1511"/>
      <c r="Y23" s="1512"/>
    </row>
    <row r="24" spans="1:34">
      <c r="A24" s="1463" t="s">
        <v>1167</v>
      </c>
      <c r="B24" s="1480">
        <f t="shared" si="45"/>
        <v>282.50186729015837</v>
      </c>
      <c r="C24" s="1480">
        <f t="shared" si="45"/>
        <v>238.09796174155468</v>
      </c>
      <c r="D24" s="1480">
        <f t="shared" si="36"/>
        <v>238.09796174155468</v>
      </c>
      <c r="E24" s="1480">
        <f t="shared" si="46"/>
        <v>385.33438646014054</v>
      </c>
      <c r="F24" s="1480">
        <f t="shared" si="46"/>
        <v>221.55034055567739</v>
      </c>
      <c r="G24" s="3327"/>
      <c r="H24" s="1466">
        <v>1</v>
      </c>
      <c r="I24" s="1466">
        <v>1.67</v>
      </c>
      <c r="J24" s="1466">
        <v>1.31</v>
      </c>
      <c r="K24" s="1466">
        <v>1.85</v>
      </c>
      <c r="L24" s="1481">
        <v>0.96</v>
      </c>
      <c r="N24" s="1483">
        <f t="shared" si="38"/>
        <v>1.67E-2</v>
      </c>
      <c r="O24" s="1484">
        <f t="shared" si="38"/>
        <v>1.3100000000000001E-2</v>
      </c>
      <c r="P24" s="1484">
        <f t="shared" si="38"/>
        <v>1.8500000000000003E-2</v>
      </c>
      <c r="Q24" s="1484">
        <f t="shared" si="38"/>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6"/>
        <v>234</v>
      </c>
      <c r="E25" s="1514">
        <v>379</v>
      </c>
      <c r="F25" s="1515">
        <v>220</v>
      </c>
      <c r="G25" s="3320">
        <v>2012</v>
      </c>
      <c r="H25" s="1485">
        <v>4</v>
      </c>
      <c r="I25" s="1485">
        <v>0.91</v>
      </c>
      <c r="J25" s="1485">
        <v>0.68</v>
      </c>
      <c r="K25" s="1485">
        <v>0.98</v>
      </c>
      <c r="L25" s="1486">
        <v>0.9</v>
      </c>
      <c r="N25" s="1475">
        <f t="shared" si="38"/>
        <v>9.1000000000000004E-3</v>
      </c>
      <c r="O25" s="1476">
        <f t="shared" si="38"/>
        <v>6.8000000000000005E-3</v>
      </c>
      <c r="P25" s="1476">
        <f t="shared" si="38"/>
        <v>9.7999999999999997E-3</v>
      </c>
      <c r="Q25" s="1476">
        <f t="shared" si="38"/>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6"/>
        <v>232.41954707985698</v>
      </c>
      <c r="E26" s="1480">
        <f t="shared" ref="E26:F28" si="47">E25/(1+P25)</f>
        <v>375.32184591008121</v>
      </c>
      <c r="F26" s="1480">
        <f t="shared" si="47"/>
        <v>218.03766105054513</v>
      </c>
      <c r="G26" s="3321"/>
      <c r="H26" s="1490">
        <v>3</v>
      </c>
      <c r="I26" s="1490">
        <v>0.09</v>
      </c>
      <c r="J26" s="1490">
        <v>0.28999999999999998</v>
      </c>
      <c r="K26" s="1490">
        <v>-0.01</v>
      </c>
      <c r="L26" s="1491">
        <v>0.57999999999999996</v>
      </c>
      <c r="N26" s="1475">
        <f t="shared" si="38"/>
        <v>8.9999999999999998E-4</v>
      </c>
      <c r="O26" s="1476">
        <f t="shared" si="38"/>
        <v>2.8999999999999998E-3</v>
      </c>
      <c r="P26" s="1476">
        <f t="shared" si="38"/>
        <v>-1E-4</v>
      </c>
      <c r="Q26" s="1476">
        <f t="shared" si="38"/>
        <v>5.7999999999999996E-3</v>
      </c>
      <c r="R26" s="1477"/>
      <c r="S26" s="1475"/>
      <c r="T26" s="1476"/>
      <c r="U26" s="1476"/>
      <c r="V26" s="1476"/>
    </row>
    <row r="27" spans="1:34">
      <c r="A27" s="1463" t="s">
        <v>1170</v>
      </c>
      <c r="B27" s="1480">
        <f>B26/(1+N26)</f>
        <v>275.24529281292263</v>
      </c>
      <c r="C27" s="1480">
        <f>C26/(1+O26)</f>
        <v>231.74747938962707</v>
      </c>
      <c r="D27" s="1480">
        <f t="shared" si="36"/>
        <v>231.74747938962707</v>
      </c>
      <c r="E27" s="1480">
        <f t="shared" si="47"/>
        <v>375.35938184826603</v>
      </c>
      <c r="F27" s="1480">
        <f t="shared" si="47"/>
        <v>216.78033510692495</v>
      </c>
      <c r="G27" s="3321"/>
      <c r="H27" s="1467">
        <v>2</v>
      </c>
      <c r="I27" s="1467">
        <v>0.02</v>
      </c>
      <c r="J27" s="1467">
        <v>0.12</v>
      </c>
      <c r="K27" s="1467">
        <v>-0.08</v>
      </c>
      <c r="L27" s="1482">
        <v>1.24</v>
      </c>
      <c r="N27" s="1475">
        <f t="shared" si="38"/>
        <v>2.0000000000000001E-4</v>
      </c>
      <c r="O27" s="1476">
        <f t="shared" si="38"/>
        <v>1.1999999999999999E-3</v>
      </c>
      <c r="P27" s="1476">
        <f t="shared" si="38"/>
        <v>-8.0000000000000004E-4</v>
      </c>
      <c r="Q27" s="1476">
        <f t="shared" si="38"/>
        <v>1.24E-2</v>
      </c>
      <c r="R27" s="1477"/>
      <c r="S27" s="1475"/>
      <c r="T27" s="1476"/>
      <c r="U27" s="1476"/>
      <c r="V27" s="1476"/>
    </row>
    <row r="28" spans="1:34" ht="13.5" thickBot="1">
      <c r="A28" s="1463" t="s">
        <v>1171</v>
      </c>
      <c r="B28" s="1480">
        <f>B27/(1+N27)</f>
        <v>275.19025476197027</v>
      </c>
      <c r="C28" s="1516">
        <v>232</v>
      </c>
      <c r="D28" s="1516">
        <f t="shared" si="36"/>
        <v>232</v>
      </c>
      <c r="E28" s="1480">
        <f t="shared" si="47"/>
        <v>375.65990977608692</v>
      </c>
      <c r="F28" s="1480">
        <f t="shared" si="47"/>
        <v>214.12518283971252</v>
      </c>
      <c r="G28" s="3322"/>
      <c r="H28" s="1466">
        <v>1</v>
      </c>
      <c r="I28" s="1466">
        <v>0.02</v>
      </c>
      <c r="J28" s="1466">
        <v>0.13</v>
      </c>
      <c r="K28" s="1466">
        <v>-0.04</v>
      </c>
      <c r="L28" s="1481">
        <v>0.46</v>
      </c>
      <c r="N28" s="1475">
        <f t="shared" si="38"/>
        <v>2.0000000000000001E-4</v>
      </c>
      <c r="O28" s="1476">
        <f t="shared" si="38"/>
        <v>1.2999999999999999E-3</v>
      </c>
      <c r="P28" s="1476">
        <f t="shared" si="38"/>
        <v>-4.0000000000000002E-4</v>
      </c>
      <c r="Q28" s="1476">
        <f t="shared" si="38"/>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6"/>
        <v>232</v>
      </c>
      <c r="E29" s="1472">
        <v>376</v>
      </c>
      <c r="F29" s="1473">
        <v>213</v>
      </c>
      <c r="G29" s="3320">
        <v>2011</v>
      </c>
      <c r="H29" s="1485">
        <v>4</v>
      </c>
      <c r="I29" s="1485">
        <v>-0.2</v>
      </c>
      <c r="J29" s="1485">
        <v>0.04</v>
      </c>
      <c r="K29" s="1485">
        <v>-0.34</v>
      </c>
      <c r="L29" s="1486">
        <v>0.46</v>
      </c>
      <c r="N29" s="1487">
        <f t="shared" si="38"/>
        <v>-2E-3</v>
      </c>
      <c r="O29" s="1488">
        <f t="shared" si="38"/>
        <v>4.0000000000000002E-4</v>
      </c>
      <c r="P29" s="1488">
        <f t="shared" si="38"/>
        <v>-3.4000000000000002E-3</v>
      </c>
      <c r="Q29" s="1488">
        <f t="shared" si="38"/>
        <v>4.5999999999999999E-3</v>
      </c>
      <c r="R29" s="1477"/>
      <c r="S29" s="1478"/>
      <c r="T29" s="1479"/>
      <c r="U29" s="1479"/>
      <c r="V29" s="1479"/>
      <c r="X29" s="1479"/>
      <c r="Y29" s="1479"/>
      <c r="Z29" s="1479"/>
    </row>
    <row r="30" spans="1:34">
      <c r="A30" s="1463" t="s">
        <v>1173</v>
      </c>
      <c r="B30" s="1480">
        <f t="shared" ref="B30:C32" si="48">B29/(1+N29)</f>
        <v>275.55110220440883</v>
      </c>
      <c r="C30" s="1480">
        <f t="shared" si="48"/>
        <v>231.90723710515795</v>
      </c>
      <c r="D30" s="1480">
        <f t="shared" si="36"/>
        <v>231.90723710515795</v>
      </c>
      <c r="E30" s="1480">
        <f t="shared" ref="E30:F32" si="49">E29/(1+P29)</f>
        <v>377.28276138872161</v>
      </c>
      <c r="F30" s="1480">
        <f t="shared" si="49"/>
        <v>212.02468644236512</v>
      </c>
      <c r="G30" s="3321">
        <v>2011</v>
      </c>
      <c r="H30" s="1490">
        <v>3</v>
      </c>
      <c r="I30" s="1490">
        <v>0.13</v>
      </c>
      <c r="J30" s="1490">
        <v>0.75</v>
      </c>
      <c r="K30" s="1490">
        <v>-0.08</v>
      </c>
      <c r="L30" s="1491">
        <v>0.53</v>
      </c>
      <c r="N30" s="1475">
        <f t="shared" si="38"/>
        <v>1.2999999999999999E-3</v>
      </c>
      <c r="O30" s="1492">
        <f t="shared" si="38"/>
        <v>7.4999999999999997E-3</v>
      </c>
      <c r="P30" s="1492">
        <f t="shared" si="38"/>
        <v>-8.0000000000000004E-4</v>
      </c>
      <c r="Q30" s="1492">
        <f t="shared" si="38"/>
        <v>5.3E-3</v>
      </c>
      <c r="R30" s="1477"/>
      <c r="S30" s="1475"/>
      <c r="T30" s="1476"/>
      <c r="U30" s="1476"/>
      <c r="V30" s="1476"/>
    </row>
    <row r="31" spans="1:34">
      <c r="A31" s="1463" t="s">
        <v>1174</v>
      </c>
      <c r="B31" s="1480">
        <f t="shared" si="48"/>
        <v>275.19335084830601</v>
      </c>
      <c r="C31" s="1480">
        <f t="shared" si="48"/>
        <v>230.18088050139744</v>
      </c>
      <c r="D31" s="1480">
        <f t="shared" si="36"/>
        <v>230.18088050139744</v>
      </c>
      <c r="E31" s="1480">
        <f t="shared" si="49"/>
        <v>377.58482925212331</v>
      </c>
      <c r="F31" s="1480">
        <f t="shared" si="49"/>
        <v>210.90687997847917</v>
      </c>
      <c r="G31" s="3321">
        <v>2011</v>
      </c>
      <c r="H31" s="1467">
        <v>2</v>
      </c>
      <c r="I31" s="1467">
        <v>-0.4</v>
      </c>
      <c r="J31" s="1467">
        <v>0.17</v>
      </c>
      <c r="K31" s="1467">
        <v>-0.57999999999999996</v>
      </c>
      <c r="L31" s="1482">
        <v>-0.2</v>
      </c>
      <c r="N31" s="1475">
        <f t="shared" si="38"/>
        <v>-4.0000000000000001E-3</v>
      </c>
      <c r="O31" s="1492">
        <f t="shared" si="38"/>
        <v>1.7000000000000001E-3</v>
      </c>
      <c r="P31" s="1492">
        <f t="shared" si="38"/>
        <v>-5.7999999999999996E-3</v>
      </c>
      <c r="Q31" s="1492">
        <f t="shared" si="38"/>
        <v>-2E-3</v>
      </c>
      <c r="R31" s="1477"/>
      <c r="S31" s="1475"/>
      <c r="T31" s="1476"/>
      <c r="U31" s="1476"/>
      <c r="V31" s="1476"/>
    </row>
    <row r="32" spans="1:34" ht="13.5" thickBot="1">
      <c r="A32" s="1463" t="s">
        <v>1175</v>
      </c>
      <c r="B32" s="1480">
        <f t="shared" si="48"/>
        <v>276.29854502841971</v>
      </c>
      <c r="C32" s="1480">
        <f t="shared" si="48"/>
        <v>229.79023709833027</v>
      </c>
      <c r="D32" s="1480">
        <f t="shared" si="36"/>
        <v>229.79023709833027</v>
      </c>
      <c r="E32" s="1480">
        <f t="shared" si="49"/>
        <v>379.78759731655936</v>
      </c>
      <c r="F32" s="1480">
        <f t="shared" si="49"/>
        <v>211.32953905659235</v>
      </c>
      <c r="G32" s="3322">
        <v>2011</v>
      </c>
      <c r="H32" s="1466">
        <v>1</v>
      </c>
      <c r="I32" s="1466">
        <v>2.65</v>
      </c>
      <c r="J32" s="1466">
        <v>3.76</v>
      </c>
      <c r="K32" s="1466">
        <v>1.89</v>
      </c>
      <c r="L32" s="1481">
        <v>7.95</v>
      </c>
      <c r="N32" s="1483">
        <f t="shared" si="38"/>
        <v>2.6499999999999999E-2</v>
      </c>
      <c r="O32" s="1484">
        <f t="shared" si="38"/>
        <v>3.7599999999999995E-2</v>
      </c>
      <c r="P32" s="1484">
        <f t="shared" si="38"/>
        <v>1.89E-2</v>
      </c>
      <c r="Q32" s="1484">
        <f t="shared" si="38"/>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6"/>
        <v>221</v>
      </c>
      <c r="E33" s="1472">
        <v>373</v>
      </c>
      <c r="F33" s="1473">
        <v>196</v>
      </c>
      <c r="G33" s="3320">
        <v>2010</v>
      </c>
      <c r="H33" s="1485">
        <v>4</v>
      </c>
      <c r="I33" s="1485">
        <v>5.72</v>
      </c>
      <c r="J33" s="1485">
        <v>6.57</v>
      </c>
      <c r="K33" s="1485">
        <v>5.72</v>
      </c>
      <c r="L33" s="1486">
        <v>2.72</v>
      </c>
      <c r="N33" s="1475">
        <f t="shared" si="38"/>
        <v>5.7200000000000001E-2</v>
      </c>
      <c r="O33" s="1476">
        <f t="shared" si="38"/>
        <v>6.5700000000000008E-2</v>
      </c>
      <c r="P33" s="1476">
        <f t="shared" si="38"/>
        <v>5.7200000000000001E-2</v>
      </c>
      <c r="Q33" s="1476">
        <f t="shared" si="38"/>
        <v>2.7200000000000002E-2</v>
      </c>
      <c r="R33" s="1477"/>
      <c r="S33" s="1478"/>
      <c r="T33" s="1479"/>
      <c r="U33" s="1479"/>
      <c r="V33" s="1479"/>
      <c r="X33" s="1479"/>
      <c r="Y33" s="1479"/>
      <c r="Z33" s="1479"/>
    </row>
    <row r="34" spans="1:26">
      <c r="A34" s="1463" t="s">
        <v>1177</v>
      </c>
      <c r="B34" s="1480">
        <f t="shared" ref="B34:C36" si="50">B33/(1+N33)</f>
        <v>254.44570563753314</v>
      </c>
      <c r="C34" s="1480">
        <f t="shared" si="50"/>
        <v>207.37543398705074</v>
      </c>
      <c r="D34" s="1480">
        <f t="shared" si="36"/>
        <v>207.37543398705074</v>
      </c>
      <c r="E34" s="1480">
        <f t="shared" ref="E34:F36" si="51">E33/(1+P33)</f>
        <v>352.81876655315932</v>
      </c>
      <c r="F34" s="1480">
        <f t="shared" si="51"/>
        <v>190.809968847352</v>
      </c>
      <c r="G34" s="3321">
        <v>2010</v>
      </c>
      <c r="H34" s="1490">
        <v>3</v>
      </c>
      <c r="I34" s="1490">
        <v>4.7300000000000004</v>
      </c>
      <c r="J34" s="1490">
        <v>3.9</v>
      </c>
      <c r="K34" s="1490">
        <v>5.03</v>
      </c>
      <c r="L34" s="1491">
        <v>4.21</v>
      </c>
      <c r="N34" s="1475">
        <f t="shared" si="38"/>
        <v>4.7300000000000002E-2</v>
      </c>
      <c r="O34" s="1476">
        <f t="shared" si="38"/>
        <v>3.9E-2</v>
      </c>
      <c r="P34" s="1476">
        <f t="shared" si="38"/>
        <v>5.0300000000000004E-2</v>
      </c>
      <c r="Q34" s="1476">
        <f t="shared" si="38"/>
        <v>4.2099999999999999E-2</v>
      </c>
      <c r="R34" s="1477"/>
      <c r="S34" s="1475"/>
      <c r="T34" s="1476"/>
      <c r="U34" s="1476"/>
      <c r="V34" s="1476"/>
    </row>
    <row r="35" spans="1:26">
      <c r="A35" s="1463" t="s">
        <v>1178</v>
      </c>
      <c r="B35" s="1480">
        <f t="shared" si="50"/>
        <v>242.95398227588385</v>
      </c>
      <c r="C35" s="1480">
        <f t="shared" si="50"/>
        <v>199.59137053614126</v>
      </c>
      <c r="D35" s="1480">
        <f t="shared" si="36"/>
        <v>199.59137053614126</v>
      </c>
      <c r="E35" s="1480">
        <f t="shared" si="51"/>
        <v>335.92189522342125</v>
      </c>
      <c r="F35" s="1480">
        <f t="shared" si="51"/>
        <v>183.10139991109489</v>
      </c>
      <c r="G35" s="3321">
        <v>2010</v>
      </c>
      <c r="H35" s="1467">
        <v>2</v>
      </c>
      <c r="I35" s="1467">
        <v>4.6900000000000004</v>
      </c>
      <c r="J35" s="1467">
        <v>3.55</v>
      </c>
      <c r="K35" s="1467">
        <v>5.07</v>
      </c>
      <c r="L35" s="1482">
        <v>4.2300000000000004</v>
      </c>
      <c r="N35" s="1475">
        <f t="shared" si="38"/>
        <v>4.6900000000000004E-2</v>
      </c>
      <c r="O35" s="1476">
        <f t="shared" si="38"/>
        <v>3.5499999999999997E-2</v>
      </c>
      <c r="P35" s="1476">
        <f t="shared" si="38"/>
        <v>5.0700000000000002E-2</v>
      </c>
      <c r="Q35" s="1476">
        <f t="shared" si="38"/>
        <v>4.2300000000000004E-2</v>
      </c>
      <c r="R35" s="1477"/>
      <c r="S35" s="1475"/>
      <c r="T35" s="1476"/>
      <c r="U35" s="1476"/>
      <c r="V35" s="1476"/>
    </row>
    <row r="36" spans="1:26" ht="13.5" thickBot="1">
      <c r="A36" s="1463" t="s">
        <v>1179</v>
      </c>
      <c r="B36" s="1480">
        <f t="shared" si="50"/>
        <v>232.06990378821649</v>
      </c>
      <c r="C36" s="1480">
        <f t="shared" si="50"/>
        <v>192.74878854286936</v>
      </c>
      <c r="D36" s="1480">
        <f t="shared" si="36"/>
        <v>192.74878854286936</v>
      </c>
      <c r="E36" s="1480">
        <f t="shared" si="51"/>
        <v>319.71247284992984</v>
      </c>
      <c r="F36" s="1480">
        <f t="shared" si="51"/>
        <v>175.67053622862409</v>
      </c>
      <c r="G36" s="3322">
        <v>2010</v>
      </c>
      <c r="H36" s="1466">
        <v>1</v>
      </c>
      <c r="I36" s="1466">
        <v>5.4</v>
      </c>
      <c r="J36" s="1466">
        <v>3.2</v>
      </c>
      <c r="K36" s="1466">
        <v>6.16</v>
      </c>
      <c r="L36" s="1481">
        <v>4.51</v>
      </c>
      <c r="N36" s="1475">
        <f t="shared" si="38"/>
        <v>5.4000000000000006E-2</v>
      </c>
      <c r="O36" s="1476">
        <f t="shared" si="38"/>
        <v>3.2000000000000001E-2</v>
      </c>
      <c r="P36" s="1476">
        <f t="shared" si="38"/>
        <v>6.1600000000000002E-2</v>
      </c>
      <c r="Q36" s="1476">
        <f t="shared" si="38"/>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6"/>
        <v>187</v>
      </c>
      <c r="E37" s="1472">
        <v>301</v>
      </c>
      <c r="F37" s="1473">
        <v>168</v>
      </c>
      <c r="G37" s="3320">
        <v>2009</v>
      </c>
      <c r="H37" s="1485">
        <v>4</v>
      </c>
      <c r="I37" s="1485">
        <v>2.2999999999999998</v>
      </c>
      <c r="J37" s="1485">
        <v>1.04</v>
      </c>
      <c r="K37" s="1485">
        <v>2.84</v>
      </c>
      <c r="L37" s="1486">
        <v>0.67</v>
      </c>
      <c r="N37" s="1487">
        <f t="shared" si="38"/>
        <v>2.3E-2</v>
      </c>
      <c r="O37" s="1488">
        <f t="shared" si="38"/>
        <v>1.04E-2</v>
      </c>
      <c r="P37" s="1488">
        <f t="shared" si="38"/>
        <v>2.8399999999999998E-2</v>
      </c>
      <c r="Q37" s="1488">
        <f t="shared" si="38"/>
        <v>6.7000000000000002E-3</v>
      </c>
      <c r="R37" s="1477"/>
      <c r="S37" s="1478"/>
      <c r="T37" s="1479"/>
      <c r="U37" s="1479"/>
      <c r="V37" s="1479"/>
      <c r="X37" s="1479"/>
      <c r="Y37" s="1479"/>
      <c r="Z37" s="1479"/>
    </row>
    <row r="38" spans="1:26">
      <c r="A38" s="1463" t="s">
        <v>1181</v>
      </c>
      <c r="B38" s="1480">
        <f t="shared" ref="B38:C40" si="52">B37/(1+N37)</f>
        <v>215.05376344086022</v>
      </c>
      <c r="C38" s="1480">
        <f t="shared" si="52"/>
        <v>185.0752177355503</v>
      </c>
      <c r="D38" s="1480">
        <f t="shared" si="36"/>
        <v>185.0752177355503</v>
      </c>
      <c r="E38" s="1480">
        <f t="shared" ref="E38:F40" si="53">E37/(1+P37)</f>
        <v>292.68767016725008</v>
      </c>
      <c r="F38" s="1480">
        <f t="shared" si="53"/>
        <v>166.88189132810174</v>
      </c>
      <c r="G38" s="3321">
        <v>2009</v>
      </c>
      <c r="H38" s="1490">
        <v>3</v>
      </c>
      <c r="I38" s="1490">
        <v>2.1</v>
      </c>
      <c r="J38" s="1490">
        <v>1.86</v>
      </c>
      <c r="K38" s="1490">
        <v>2.29</v>
      </c>
      <c r="L38" s="1491">
        <v>0.85</v>
      </c>
      <c r="N38" s="1475">
        <f t="shared" si="38"/>
        <v>2.1000000000000001E-2</v>
      </c>
      <c r="O38" s="1492">
        <f t="shared" si="38"/>
        <v>1.8600000000000002E-2</v>
      </c>
      <c r="P38" s="1492">
        <f t="shared" si="38"/>
        <v>2.29E-2</v>
      </c>
      <c r="Q38" s="1492">
        <f t="shared" si="38"/>
        <v>8.5000000000000006E-3</v>
      </c>
      <c r="R38" s="1477"/>
      <c r="S38" s="1475"/>
      <c r="T38" s="1476"/>
      <c r="U38" s="1476"/>
      <c r="V38" s="1476"/>
    </row>
    <row r="39" spans="1:26">
      <c r="A39" s="1463" t="s">
        <v>1182</v>
      </c>
      <c r="B39" s="1480">
        <f t="shared" si="52"/>
        <v>210.630522469011</v>
      </c>
      <c r="C39" s="1480">
        <f t="shared" si="52"/>
        <v>181.69567812247232</v>
      </c>
      <c r="D39" s="1480">
        <f t="shared" si="36"/>
        <v>181.69567812247232</v>
      </c>
      <c r="E39" s="1480">
        <f t="shared" si="53"/>
        <v>286.13517466736738</v>
      </c>
      <c r="F39" s="1480">
        <f t="shared" si="53"/>
        <v>165.47535084591149</v>
      </c>
      <c r="G39" s="3321">
        <v>2009</v>
      </c>
      <c r="H39" s="1467">
        <v>2</v>
      </c>
      <c r="I39" s="1467">
        <v>0.86</v>
      </c>
      <c r="J39" s="1467">
        <v>-1.1299999999999999</v>
      </c>
      <c r="K39" s="1467">
        <v>1.79</v>
      </c>
      <c r="L39" s="1482">
        <v>-2.0699999999999998</v>
      </c>
      <c r="N39" s="1475">
        <f t="shared" si="38"/>
        <v>8.6E-3</v>
      </c>
      <c r="O39" s="1492">
        <f t="shared" si="38"/>
        <v>-1.1299999999999999E-2</v>
      </c>
      <c r="P39" s="1492">
        <f t="shared" si="38"/>
        <v>1.7899999999999999E-2</v>
      </c>
      <c r="Q39" s="1492">
        <f t="shared" si="38"/>
        <v>-2.07E-2</v>
      </c>
      <c r="R39" s="1477"/>
      <c r="S39" s="1475"/>
      <c r="T39" s="1476"/>
      <c r="U39" s="1476"/>
      <c r="V39" s="1476"/>
    </row>
    <row r="40" spans="1:26">
      <c r="A40" s="1463" t="s">
        <v>1183</v>
      </c>
      <c r="B40" s="1480">
        <f t="shared" si="52"/>
        <v>208.83454537875372</v>
      </c>
      <c r="C40" s="1480">
        <f t="shared" si="52"/>
        <v>183.77230517090351</v>
      </c>
      <c r="D40" s="1480">
        <f t="shared" si="36"/>
        <v>183.77230517090351</v>
      </c>
      <c r="E40" s="1480">
        <f t="shared" si="53"/>
        <v>281.10342338870947</v>
      </c>
      <c r="F40" s="1480">
        <f t="shared" si="53"/>
        <v>168.97309388942256</v>
      </c>
      <c r="G40" s="3322">
        <v>2009</v>
      </c>
      <c r="H40" s="1466">
        <v>1</v>
      </c>
      <c r="I40" s="1466">
        <v>-2.64</v>
      </c>
      <c r="J40" s="1466">
        <v>-2.5299999999999998</v>
      </c>
      <c r="K40" s="1466">
        <v>-3.02</v>
      </c>
      <c r="L40" s="1481">
        <v>1.52</v>
      </c>
      <c r="N40" s="1483">
        <f t="shared" si="38"/>
        <v>-2.64E-2</v>
      </c>
      <c r="O40" s="1484">
        <f t="shared" si="38"/>
        <v>-2.53E-2</v>
      </c>
      <c r="P40" s="1484">
        <f t="shared" si="38"/>
        <v>-3.0200000000000001E-2</v>
      </c>
      <c r="Q40" s="1484">
        <f t="shared" si="38"/>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6"/>
        <v>188</v>
      </c>
      <c r="E41" s="1514">
        <v>289</v>
      </c>
      <c r="F41" s="1515">
        <v>166</v>
      </c>
      <c r="G41" s="3320">
        <v>2008</v>
      </c>
      <c r="H41" s="1485">
        <v>4</v>
      </c>
      <c r="I41" s="1485">
        <v>1.73</v>
      </c>
      <c r="J41" s="1485">
        <v>0.03</v>
      </c>
      <c r="K41" s="1485">
        <v>2.59</v>
      </c>
      <c r="L41" s="1486">
        <v>-1.66</v>
      </c>
      <c r="N41" s="1475">
        <f t="shared" si="38"/>
        <v>1.7299999999999999E-2</v>
      </c>
      <c r="O41" s="1476">
        <f t="shared" si="38"/>
        <v>2.9999999999999997E-4</v>
      </c>
      <c r="P41" s="1476">
        <f t="shared" si="38"/>
        <v>2.5899999999999999E-2</v>
      </c>
      <c r="Q41" s="1476">
        <f t="shared" si="38"/>
        <v>-1.66E-2</v>
      </c>
      <c r="R41" s="1477"/>
      <c r="S41" s="1478"/>
      <c r="T41" s="1479"/>
      <c r="U41" s="1479"/>
      <c r="V41" s="1479"/>
      <c r="X41" s="1479"/>
      <c r="Y41" s="1479"/>
      <c r="Z41" s="1479"/>
    </row>
    <row r="42" spans="1:26">
      <c r="A42" s="1463" t="s">
        <v>1185</v>
      </c>
      <c r="B42" s="1480">
        <f t="shared" ref="B42:C44" si="54">B41/(1+N41)</f>
        <v>210.36075887152265</v>
      </c>
      <c r="C42" s="1480">
        <f t="shared" si="54"/>
        <v>187.94361691492554</v>
      </c>
      <c r="D42" s="1480">
        <f t="shared" si="36"/>
        <v>187.94361691492554</v>
      </c>
      <c r="E42" s="1480">
        <f t="shared" ref="E42:F44" si="55">E41/(1+P41)</f>
        <v>281.70386977288234</v>
      </c>
      <c r="F42" s="1480">
        <f t="shared" si="55"/>
        <v>168.80211511083994</v>
      </c>
      <c r="G42" s="3321">
        <v>2008</v>
      </c>
      <c r="H42" s="1490">
        <v>3</v>
      </c>
      <c r="I42" s="1490">
        <v>1.96</v>
      </c>
      <c r="J42" s="1490">
        <v>2.36</v>
      </c>
      <c r="K42" s="1490">
        <v>1.82</v>
      </c>
      <c r="L42" s="1491">
        <v>2.2200000000000002</v>
      </c>
      <c r="N42" s="1475">
        <f t="shared" si="38"/>
        <v>1.9599999999999999E-2</v>
      </c>
      <c r="O42" s="1476">
        <f t="shared" si="38"/>
        <v>2.3599999999999999E-2</v>
      </c>
      <c r="P42" s="1476">
        <f t="shared" si="38"/>
        <v>1.8200000000000001E-2</v>
      </c>
      <c r="Q42" s="1476">
        <f t="shared" si="38"/>
        <v>2.2200000000000001E-2</v>
      </c>
      <c r="R42" s="1477"/>
      <c r="S42" s="1475"/>
      <c r="T42" s="1476"/>
      <c r="U42" s="1476"/>
      <c r="V42" s="1476"/>
    </row>
    <row r="43" spans="1:26">
      <c r="A43" s="1463" t="s">
        <v>1186</v>
      </c>
      <c r="B43" s="1480">
        <f t="shared" si="54"/>
        <v>206.31694671589116</v>
      </c>
      <c r="C43" s="1480">
        <f t="shared" si="54"/>
        <v>183.61041121036101</v>
      </c>
      <c r="D43" s="1480">
        <f t="shared" si="36"/>
        <v>183.61041121036101</v>
      </c>
      <c r="E43" s="1480">
        <f t="shared" si="55"/>
        <v>276.66850301795557</v>
      </c>
      <c r="F43" s="1480">
        <f t="shared" si="55"/>
        <v>165.1360938278614</v>
      </c>
      <c r="G43" s="3321">
        <v>2008</v>
      </c>
      <c r="H43" s="1467">
        <v>2</v>
      </c>
      <c r="I43" s="1467">
        <v>4.93</v>
      </c>
      <c r="J43" s="1467">
        <v>7.38</v>
      </c>
      <c r="K43" s="1467">
        <v>3.98</v>
      </c>
      <c r="L43" s="1482">
        <v>6.86</v>
      </c>
      <c r="N43" s="1475">
        <f t="shared" si="38"/>
        <v>4.9299999999999997E-2</v>
      </c>
      <c r="O43" s="1476">
        <f t="shared" si="38"/>
        <v>7.3800000000000004E-2</v>
      </c>
      <c r="P43" s="1476">
        <f t="shared" si="38"/>
        <v>3.9800000000000002E-2</v>
      </c>
      <c r="Q43" s="1476">
        <f t="shared" si="38"/>
        <v>6.8600000000000008E-2</v>
      </c>
      <c r="R43" s="1477"/>
      <c r="S43" s="1475"/>
      <c r="T43" s="1476"/>
      <c r="U43" s="1476"/>
      <c r="V43" s="1476"/>
    </row>
    <row r="44" spans="1:26" s="1520" customFormat="1" ht="13.5" thickBot="1">
      <c r="A44" s="1463" t="s">
        <v>1187</v>
      </c>
      <c r="B44" s="1517">
        <f t="shared" si="54"/>
        <v>196.62341248059772</v>
      </c>
      <c r="C44" s="1517">
        <f t="shared" si="54"/>
        <v>170.99125648199012</v>
      </c>
      <c r="D44" s="1517">
        <f t="shared" si="36"/>
        <v>170.99125648199012</v>
      </c>
      <c r="E44" s="1517">
        <f t="shared" si="55"/>
        <v>266.07857570490052</v>
      </c>
      <c r="F44" s="1517">
        <f t="shared" si="55"/>
        <v>154.53499328828505</v>
      </c>
      <c r="G44" s="3322">
        <v>2008</v>
      </c>
      <c r="H44" s="1518">
        <v>1</v>
      </c>
      <c r="I44" s="1518">
        <v>4.1399999999999997</v>
      </c>
      <c r="J44" s="1518">
        <v>3.45</v>
      </c>
      <c r="K44" s="1518">
        <v>4.95</v>
      </c>
      <c r="L44" s="1519">
        <v>4.82</v>
      </c>
      <c r="N44" s="1521">
        <f t="shared" si="38"/>
        <v>4.1399999999999999E-2</v>
      </c>
      <c r="O44" s="1522">
        <f t="shared" si="38"/>
        <v>3.4500000000000003E-2</v>
      </c>
      <c r="P44" s="1522">
        <f t="shared" si="38"/>
        <v>4.9500000000000002E-2</v>
      </c>
      <c r="Q44" s="1522">
        <f t="shared" si="38"/>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6"/>
        <v>165</v>
      </c>
      <c r="E45" s="1472">
        <v>254</v>
      </c>
      <c r="F45" s="1473">
        <v>148</v>
      </c>
      <c r="G45" s="3320">
        <v>2007</v>
      </c>
      <c r="H45" s="1525">
        <v>4</v>
      </c>
      <c r="I45" s="1525">
        <v>5.51</v>
      </c>
      <c r="J45" s="1525">
        <v>4.8899999999999997</v>
      </c>
      <c r="K45" s="1525">
        <v>6.43</v>
      </c>
      <c r="L45" s="1526">
        <v>5.36</v>
      </c>
      <c r="N45" s="1527">
        <f t="shared" ref="N45:O48" si="56">B45/B46-1</f>
        <v>4.1339718365245526E-2</v>
      </c>
      <c r="O45" s="1528">
        <f t="shared" si="56"/>
        <v>4.0324492593776018E-2</v>
      </c>
      <c r="P45" s="1528">
        <f t="shared" ref="P45:Q48" si="57">E45/E46-1</f>
        <v>6.1625555347990968E-2</v>
      </c>
      <c r="Q45" s="1528">
        <f t="shared" si="57"/>
        <v>4.6757569250590603E-2</v>
      </c>
      <c r="R45" s="1477"/>
      <c r="S45" s="1478"/>
      <c r="T45" s="1479"/>
      <c r="U45" s="1479"/>
      <c r="V45" s="1479"/>
      <c r="X45" s="1479"/>
      <c r="Y45" s="1479"/>
      <c r="Z45" s="1479"/>
    </row>
    <row r="46" spans="1:26">
      <c r="A46" s="1463" t="s">
        <v>1189</v>
      </c>
      <c r="B46" s="1480">
        <f t="shared" ref="B46:C48" si="58">B47+(B$45-B$49)*I46/SUM(I$45:I$48)</f>
        <v>180.5366651097618</v>
      </c>
      <c r="C46" s="1480">
        <f t="shared" si="58"/>
        <v>158.60435967302453</v>
      </c>
      <c r="D46" s="1480">
        <f t="shared" si="36"/>
        <v>158.60435967302453</v>
      </c>
      <c r="E46" s="1480">
        <f t="shared" ref="E46:F48" si="59">E47+(E$45-E$49)*K46/SUM(K$45:K$48)</f>
        <v>239.25573260785075</v>
      </c>
      <c r="F46" s="1480">
        <f t="shared" si="59"/>
        <v>141.38899430740037</v>
      </c>
      <c r="G46" s="3321">
        <v>2007</v>
      </c>
      <c r="H46" s="1490">
        <v>3</v>
      </c>
      <c r="I46" s="1490">
        <v>8.65</v>
      </c>
      <c r="J46" s="1490">
        <v>8.06</v>
      </c>
      <c r="K46" s="1490">
        <v>9.94</v>
      </c>
      <c r="L46" s="1491">
        <v>5.8</v>
      </c>
      <c r="N46" s="1527">
        <f t="shared" si="56"/>
        <v>6.940217571740015E-2</v>
      </c>
      <c r="O46" s="1528">
        <f t="shared" si="56"/>
        <v>7.1197482471153428E-2</v>
      </c>
      <c r="P46" s="1528">
        <f t="shared" si="57"/>
        <v>0.10529679922579582</v>
      </c>
      <c r="Q46" s="1528">
        <f t="shared" si="57"/>
        <v>5.3292245059512133E-2</v>
      </c>
      <c r="R46" s="1477"/>
      <c r="S46" s="1475"/>
      <c r="T46" s="1476"/>
      <c r="U46" s="1476"/>
      <c r="V46" s="1476"/>
      <c r="X46" s="1529"/>
      <c r="Y46" s="1529"/>
      <c r="Z46" s="1529"/>
    </row>
    <row r="47" spans="1:26">
      <c r="A47" s="1463" t="s">
        <v>1190</v>
      </c>
      <c r="B47" s="1480">
        <f t="shared" si="58"/>
        <v>168.82017748715555</v>
      </c>
      <c r="C47" s="1480">
        <f t="shared" si="58"/>
        <v>148.06267029972753</v>
      </c>
      <c r="D47" s="1480">
        <f t="shared" si="36"/>
        <v>148.06267029972753</v>
      </c>
      <c r="E47" s="1480">
        <f t="shared" si="59"/>
        <v>216.46288379323747</v>
      </c>
      <c r="F47" s="1480">
        <f t="shared" si="59"/>
        <v>134.23529411764704</v>
      </c>
      <c r="G47" s="3321">
        <v>2007</v>
      </c>
      <c r="H47" s="1467">
        <v>2</v>
      </c>
      <c r="I47" s="1467">
        <v>3.67</v>
      </c>
      <c r="J47" s="1467">
        <v>2.3199999999999998</v>
      </c>
      <c r="K47" s="1467">
        <v>5.0199999999999996</v>
      </c>
      <c r="L47" s="1482">
        <v>6.71</v>
      </c>
      <c r="N47" s="1527">
        <f t="shared" si="56"/>
        <v>3.0339138143848032E-2</v>
      </c>
      <c r="O47" s="1528">
        <f t="shared" si="56"/>
        <v>2.0922341588790472E-2</v>
      </c>
      <c r="P47" s="1528">
        <f t="shared" si="57"/>
        <v>5.6164796592717003E-2</v>
      </c>
      <c r="Q47" s="1528">
        <f t="shared" si="57"/>
        <v>6.5704536723887319E-2</v>
      </c>
      <c r="R47" s="1477"/>
      <c r="S47" s="1475"/>
      <c r="T47" s="1476"/>
      <c r="U47" s="1476"/>
      <c r="V47" s="1476"/>
      <c r="X47" s="1529"/>
      <c r="Y47" s="1529"/>
      <c r="Z47" s="1529"/>
    </row>
    <row r="48" spans="1:26">
      <c r="A48" s="1463" t="s">
        <v>1191</v>
      </c>
      <c r="B48" s="1480">
        <f t="shared" si="58"/>
        <v>163.84913591779542</v>
      </c>
      <c r="C48" s="1480">
        <f t="shared" si="58"/>
        <v>145.0283378746594</v>
      </c>
      <c r="D48" s="1480">
        <f t="shared" si="36"/>
        <v>145.0283378746594</v>
      </c>
      <c r="E48" s="1480">
        <f t="shared" si="59"/>
        <v>204.95180722891567</v>
      </c>
      <c r="F48" s="1480">
        <f t="shared" si="59"/>
        <v>125.95920303605313</v>
      </c>
      <c r="G48" s="3322">
        <v>2007</v>
      </c>
      <c r="H48" s="1466">
        <v>1</v>
      </c>
      <c r="I48" s="1466">
        <v>3.58</v>
      </c>
      <c r="J48" s="1466">
        <v>3.08</v>
      </c>
      <c r="K48" s="1466">
        <v>4.34</v>
      </c>
      <c r="L48" s="1481">
        <v>3.21</v>
      </c>
      <c r="N48" s="1530">
        <f t="shared" si="56"/>
        <v>3.0497710174814063E-2</v>
      </c>
      <c r="O48" s="1531">
        <f t="shared" si="56"/>
        <v>2.8569772160704998E-2</v>
      </c>
      <c r="P48" s="1531">
        <f t="shared" si="57"/>
        <v>5.1034908866234296E-2</v>
      </c>
      <c r="Q48" s="1531">
        <f t="shared" si="57"/>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6"/>
        <v>141</v>
      </c>
      <c r="E49" s="1493">
        <v>195</v>
      </c>
      <c r="F49" s="1494">
        <v>122</v>
      </c>
      <c r="G49" s="3320">
        <v>2006</v>
      </c>
      <c r="H49" s="1485">
        <v>4</v>
      </c>
      <c r="I49" s="1485">
        <v>3.79</v>
      </c>
      <c r="J49" s="1485">
        <v>2.21</v>
      </c>
      <c r="K49" s="1485">
        <v>5.65</v>
      </c>
      <c r="L49" s="1486">
        <v>5.41</v>
      </c>
      <c r="N49" s="1527">
        <f t="shared" ref="N49:O52" si="60">I49/SUM(I$49:I$52)*(B$49/B$53-1)</f>
        <v>7.245466462748526E-2</v>
      </c>
      <c r="O49" s="1528">
        <f t="shared" si="60"/>
        <v>2.3237230038062766E-2</v>
      </c>
      <c r="P49" s="1528">
        <f t="shared" ref="P49:Q52" si="61">K49/SUM(K$49:K$52)*(E$49/E$53-1)</f>
        <v>0.16146893866323722</v>
      </c>
      <c r="Q49" s="1528">
        <f t="shared" si="61"/>
        <v>5.0755230321793784E-2</v>
      </c>
      <c r="R49" s="1477"/>
      <c r="S49" s="1478"/>
      <c r="T49" s="1479"/>
      <c r="U49" s="1479"/>
      <c r="V49" s="1479"/>
      <c r="X49" s="1529"/>
      <c r="Y49" s="1529"/>
      <c r="Z49" s="1529"/>
    </row>
    <row r="50" spans="1:26">
      <c r="A50" s="1463" t="s">
        <v>1193</v>
      </c>
      <c r="B50" s="1480">
        <f t="shared" ref="B50:C52" si="62">B51+(B$49-B$53)*I50/SUM(I$49:I$52)</f>
        <v>149.00125628140702</v>
      </c>
      <c r="C50" s="1480">
        <f t="shared" si="62"/>
        <v>137.95592286501378</v>
      </c>
      <c r="D50" s="1480">
        <f t="shared" si="36"/>
        <v>137.95592286501378</v>
      </c>
      <c r="E50" s="1480">
        <f t="shared" ref="E50:F52" si="63">E51+(E$49-E$53)*K50/SUM(K$49:K$52)</f>
        <v>169.97231450719823</v>
      </c>
      <c r="F50" s="1480">
        <f t="shared" si="63"/>
        <v>116.21390374331551</v>
      </c>
      <c r="G50" s="3321">
        <v>2006</v>
      </c>
      <c r="H50" s="1490">
        <v>3</v>
      </c>
      <c r="I50" s="1490">
        <v>0.92</v>
      </c>
      <c r="J50" s="1490">
        <v>1.08</v>
      </c>
      <c r="K50" s="1490">
        <v>0.73</v>
      </c>
      <c r="L50" s="1491">
        <v>1.08</v>
      </c>
      <c r="N50" s="1527">
        <f t="shared" si="60"/>
        <v>1.7587939698492462E-2</v>
      </c>
      <c r="O50" s="1528">
        <f t="shared" si="60"/>
        <v>1.1355750425840628E-2</v>
      </c>
      <c r="P50" s="1528">
        <f t="shared" si="61"/>
        <v>2.0862358446754544E-2</v>
      </c>
      <c r="Q50" s="1528">
        <f t="shared" si="61"/>
        <v>1.0132282578103011E-2</v>
      </c>
      <c r="R50" s="1477"/>
      <c r="S50" s="1475"/>
      <c r="T50" s="1476"/>
      <c r="U50" s="1476"/>
      <c r="V50" s="1476"/>
      <c r="X50" s="1529"/>
      <c r="Y50" s="1529"/>
      <c r="Z50" s="1529"/>
    </row>
    <row r="51" spans="1:26">
      <c r="A51" s="1463" t="s">
        <v>1194</v>
      </c>
      <c r="B51" s="1480">
        <f t="shared" si="62"/>
        <v>146.57412060301507</v>
      </c>
      <c r="C51" s="1480">
        <f t="shared" si="62"/>
        <v>136.46831955922866</v>
      </c>
      <c r="D51" s="1480">
        <f t="shared" si="36"/>
        <v>136.46831955922866</v>
      </c>
      <c r="E51" s="1480">
        <f t="shared" si="63"/>
        <v>166.73864894795128</v>
      </c>
      <c r="F51" s="1480">
        <f t="shared" si="63"/>
        <v>115.05882352941177</v>
      </c>
      <c r="G51" s="3321">
        <v>2006</v>
      </c>
      <c r="H51" s="1467">
        <v>2</v>
      </c>
      <c r="I51" s="1467">
        <v>0.96</v>
      </c>
      <c r="J51" s="1467">
        <v>0.25</v>
      </c>
      <c r="K51" s="1467">
        <v>1.9</v>
      </c>
      <c r="L51" s="1482">
        <v>0.95</v>
      </c>
      <c r="N51" s="1527">
        <f t="shared" si="60"/>
        <v>1.8352632728861701E-2</v>
      </c>
      <c r="O51" s="1528">
        <f t="shared" si="60"/>
        <v>2.6286459319075526E-3</v>
      </c>
      <c r="P51" s="1528">
        <f t="shared" si="61"/>
        <v>5.4299289107991269E-2</v>
      </c>
      <c r="Q51" s="1528">
        <f t="shared" si="61"/>
        <v>8.9126559714794995E-3</v>
      </c>
      <c r="R51" s="1477"/>
      <c r="S51" s="1475"/>
      <c r="T51" s="1476"/>
      <c r="U51" s="1476"/>
      <c r="V51" s="1476"/>
      <c r="X51" s="1529"/>
      <c r="Y51" s="1529"/>
      <c r="Z51" s="1529"/>
    </row>
    <row r="52" spans="1:26">
      <c r="A52" s="1463" t="s">
        <v>1195</v>
      </c>
      <c r="B52" s="1480">
        <f t="shared" si="62"/>
        <v>144.04145728643215</v>
      </c>
      <c r="C52" s="1480">
        <f t="shared" si="62"/>
        <v>136.12396694214877</v>
      </c>
      <c r="D52" s="1480">
        <f t="shared" si="36"/>
        <v>136.12396694214877</v>
      </c>
      <c r="E52" s="1480">
        <f t="shared" si="63"/>
        <v>158.32225913621264</v>
      </c>
      <c r="F52" s="1480">
        <f t="shared" si="63"/>
        <v>114.04278074866311</v>
      </c>
      <c r="G52" s="3322">
        <v>2006</v>
      </c>
      <c r="H52" s="1466">
        <v>1</v>
      </c>
      <c r="I52" s="1466">
        <v>2.29</v>
      </c>
      <c r="J52" s="1466">
        <v>3.72</v>
      </c>
      <c r="K52" s="1466">
        <v>0.75</v>
      </c>
      <c r="L52" s="1481">
        <v>0.04</v>
      </c>
      <c r="N52" s="1530">
        <f t="shared" si="60"/>
        <v>4.3778675988638847E-2</v>
      </c>
      <c r="O52" s="1531">
        <f t="shared" si="60"/>
        <v>3.9114251466784385E-2</v>
      </c>
      <c r="P52" s="1531">
        <f t="shared" si="61"/>
        <v>2.1433929911049188E-2</v>
      </c>
      <c r="Q52" s="1531">
        <f t="shared" si="61"/>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6"/>
        <v>131</v>
      </c>
      <c r="E53" s="1493">
        <v>155</v>
      </c>
      <c r="F53" s="1494">
        <v>114</v>
      </c>
      <c r="G53" s="3320">
        <v>2005</v>
      </c>
      <c r="H53" s="1485">
        <v>4</v>
      </c>
      <c r="I53" s="1485">
        <v>3.29</v>
      </c>
      <c r="J53" s="1485">
        <v>1.44</v>
      </c>
      <c r="K53" s="1485">
        <v>0.66</v>
      </c>
      <c r="L53" s="1486">
        <v>7.78</v>
      </c>
      <c r="N53" s="1527">
        <f t="shared" ref="N53:O56" si="64">I53/SUM(I$53:I$56)*(B$53/B$57-1)</f>
        <v>9.9404603216919935E-2</v>
      </c>
      <c r="O53" s="1528">
        <f t="shared" si="64"/>
        <v>4.7636550760861554E-2</v>
      </c>
      <c r="P53" s="1528">
        <f t="shared" ref="P53:Q56" si="65">K53/SUM(K$53:K$56)*(E$53/E$57-1)</f>
        <v>8.3756345177664976E-2</v>
      </c>
      <c r="Q53" s="1528">
        <f t="shared" si="65"/>
        <v>5.2148766661559584E-2</v>
      </c>
      <c r="R53" s="1477"/>
      <c r="S53" s="1478"/>
      <c r="T53" s="1479"/>
      <c r="U53" s="1479"/>
      <c r="V53" s="1479"/>
      <c r="X53" s="1529"/>
      <c r="Y53" s="1529"/>
      <c r="Z53" s="1529"/>
    </row>
    <row r="54" spans="1:26">
      <c r="A54" s="1463" t="s">
        <v>1197</v>
      </c>
      <c r="B54" s="1480">
        <f t="shared" ref="B54:C56" si="66">B55+(B$53-B$57)*I54/SUM(I$53:I$56)</f>
        <v>125.9720430107527</v>
      </c>
      <c r="C54" s="1480">
        <f t="shared" si="66"/>
        <v>125.1883408071749</v>
      </c>
      <c r="D54" s="1480">
        <f t="shared" si="36"/>
        <v>125.1883408071749</v>
      </c>
      <c r="E54" s="1480">
        <f t="shared" ref="E54:F56" si="67">E55+(E$53-E$57)*K54/SUM(K$53:K$56)</f>
        <v>144.61421319796952</v>
      </c>
      <c r="F54" s="1480">
        <f t="shared" si="67"/>
        <v>108.42008196721311</v>
      </c>
      <c r="G54" s="3321">
        <v>2005</v>
      </c>
      <c r="H54" s="1490">
        <v>3</v>
      </c>
      <c r="I54" s="1490">
        <v>0.46</v>
      </c>
      <c r="J54" s="1490">
        <v>0.32</v>
      </c>
      <c r="K54" s="1490">
        <v>0.42</v>
      </c>
      <c r="L54" s="1491">
        <v>0.64</v>
      </c>
      <c r="N54" s="1527">
        <f t="shared" si="64"/>
        <v>1.3898515951301874E-2</v>
      </c>
      <c r="O54" s="1528">
        <f t="shared" si="64"/>
        <v>1.0585900169080346E-2</v>
      </c>
      <c r="P54" s="1528">
        <f t="shared" si="65"/>
        <v>5.3299492385786795E-2</v>
      </c>
      <c r="Q54" s="1528">
        <f t="shared" si="65"/>
        <v>4.2898728359123568E-3</v>
      </c>
      <c r="R54" s="1477"/>
      <c r="S54" s="1475"/>
      <c r="T54" s="1476"/>
      <c r="U54" s="1476"/>
      <c r="V54" s="1476"/>
      <c r="X54" s="1529"/>
      <c r="Y54" s="1529"/>
      <c r="Z54" s="1529"/>
    </row>
    <row r="55" spans="1:26">
      <c r="A55" s="1463" t="s">
        <v>1198</v>
      </c>
      <c r="B55" s="1480">
        <f t="shared" si="66"/>
        <v>124.29032258064517</v>
      </c>
      <c r="C55" s="1480">
        <f t="shared" si="66"/>
        <v>123.8968609865471</v>
      </c>
      <c r="D55" s="1480">
        <f t="shared" si="36"/>
        <v>123.8968609865471</v>
      </c>
      <c r="E55" s="1480">
        <f t="shared" si="67"/>
        <v>138.00507614213197</v>
      </c>
      <c r="F55" s="1480">
        <f t="shared" si="67"/>
        <v>107.96106557377048</v>
      </c>
      <c r="G55" s="3321">
        <v>2005</v>
      </c>
      <c r="H55" s="1467">
        <v>2</v>
      </c>
      <c r="I55" s="1467">
        <v>0.47</v>
      </c>
      <c r="J55" s="1467">
        <v>0.1</v>
      </c>
      <c r="K55" s="1467">
        <v>0.52</v>
      </c>
      <c r="L55" s="1482">
        <v>0.79</v>
      </c>
      <c r="N55" s="1527">
        <f t="shared" si="64"/>
        <v>1.420065760241713E-2</v>
      </c>
      <c r="O55" s="1528">
        <f t="shared" si="64"/>
        <v>3.3080938028376083E-3</v>
      </c>
      <c r="P55" s="1528">
        <f t="shared" si="65"/>
        <v>6.598984771573603E-2</v>
      </c>
      <c r="Q55" s="1528">
        <f t="shared" si="65"/>
        <v>5.2953117818293153E-3</v>
      </c>
      <c r="R55" s="1477"/>
      <c r="S55" s="1475"/>
      <c r="T55" s="1476"/>
      <c r="U55" s="1476"/>
      <c r="V55" s="1476"/>
      <c r="X55" s="1529"/>
      <c r="Y55" s="1529"/>
      <c r="Z55" s="1529"/>
    </row>
    <row r="56" spans="1:26">
      <c r="A56" s="1463" t="s">
        <v>1199</v>
      </c>
      <c r="B56" s="1480">
        <f t="shared" si="66"/>
        <v>122.57204301075269</v>
      </c>
      <c r="C56" s="1480">
        <f t="shared" si="66"/>
        <v>123.4932735426009</v>
      </c>
      <c r="D56" s="1480">
        <f t="shared" si="36"/>
        <v>123.4932735426009</v>
      </c>
      <c r="E56" s="1480">
        <f t="shared" si="67"/>
        <v>129.82233502538071</v>
      </c>
      <c r="F56" s="1480">
        <f t="shared" si="67"/>
        <v>107.39446721311475</v>
      </c>
      <c r="G56" s="3322">
        <v>2005</v>
      </c>
      <c r="H56" s="1466">
        <v>1</v>
      </c>
      <c r="I56" s="1466">
        <v>0.43</v>
      </c>
      <c r="J56" s="1466">
        <v>0.37</v>
      </c>
      <c r="K56" s="1466">
        <v>0.37</v>
      </c>
      <c r="L56" s="1481">
        <v>0.55000000000000004</v>
      </c>
      <c r="N56" s="1530">
        <f t="shared" si="64"/>
        <v>1.2992090997956099E-2</v>
      </c>
      <c r="O56" s="1531">
        <f t="shared" si="64"/>
        <v>1.2239947070499151E-2</v>
      </c>
      <c r="P56" s="1531">
        <f t="shared" si="65"/>
        <v>4.6954314720812178E-2</v>
      </c>
      <c r="Q56" s="1531">
        <f t="shared" si="65"/>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6"/>
        <v>122</v>
      </c>
      <c r="E57" s="1514">
        <v>124</v>
      </c>
      <c r="F57" s="1515">
        <v>107</v>
      </c>
      <c r="G57" s="3320">
        <v>2004</v>
      </c>
      <c r="H57" s="1485">
        <v>4</v>
      </c>
      <c r="I57" s="1485">
        <v>0.33</v>
      </c>
      <c r="J57" s="1485">
        <v>0.5</v>
      </c>
      <c r="K57" s="1485">
        <v>0.5</v>
      </c>
      <c r="L57" s="1486">
        <v>0</v>
      </c>
      <c r="N57" s="1527">
        <f t="shared" ref="N57:O60" si="68">I57/SUM(I$57:I$60)*(B$57/B$61-1)</f>
        <v>1.3391770148526898E-2</v>
      </c>
      <c r="O57" s="1528">
        <f t="shared" si="68"/>
        <v>1.063264221158958E-2</v>
      </c>
      <c r="P57" s="1528">
        <f t="shared" ref="P57:Q60" si="69">K57/SUM(K$57:K$60)*(E$57/E$61-1)</f>
        <v>2.2244466688911134E-2</v>
      </c>
      <c r="Q57" s="1528">
        <f t="shared" si="69"/>
        <v>0</v>
      </c>
      <c r="R57" s="1477"/>
      <c r="S57" s="1478"/>
      <c r="T57" s="1479"/>
      <c r="U57" s="1479"/>
      <c r="V57" s="1479"/>
      <c r="X57" s="1529"/>
      <c r="Y57" s="1529"/>
      <c r="Z57" s="1529"/>
    </row>
    <row r="58" spans="1:26">
      <c r="A58" s="1463" t="s">
        <v>1201</v>
      </c>
      <c r="B58" s="1480">
        <f t="shared" ref="B58:C60" si="70">B59+(B$57-B$61)*I58/SUM(I$57:I$60)</f>
        <v>119.51351351351352</v>
      </c>
      <c r="C58" s="1480">
        <f t="shared" si="70"/>
        <v>120.7878787878788</v>
      </c>
      <c r="D58" s="1480">
        <f t="shared" si="36"/>
        <v>120.7878787878788</v>
      </c>
      <c r="E58" s="1480">
        <f t="shared" ref="E58:F60" si="71">E59+(E$57-E$61)*K58/SUM(K$57:K$60)</f>
        <v>121.5975975975976</v>
      </c>
      <c r="F58" s="1480">
        <f t="shared" si="71"/>
        <v>107</v>
      </c>
      <c r="G58" s="3321">
        <v>2004</v>
      </c>
      <c r="H58" s="1490">
        <v>3</v>
      </c>
      <c r="I58" s="1490">
        <v>0.56000000000000005</v>
      </c>
      <c r="J58" s="1490">
        <v>0.8</v>
      </c>
      <c r="K58" s="1490">
        <v>0.83</v>
      </c>
      <c r="L58" s="1491">
        <v>0.06</v>
      </c>
      <c r="N58" s="1527">
        <f t="shared" si="68"/>
        <v>2.2725428130833527E-2</v>
      </c>
      <c r="O58" s="1528">
        <f t="shared" si="68"/>
        <v>1.7012227538543329E-2</v>
      </c>
      <c r="P58" s="1528">
        <f t="shared" si="69"/>
        <v>3.6925814703592477E-2</v>
      </c>
      <c r="Q58" s="1528">
        <f t="shared" si="69"/>
        <v>2.8846153846153744E-2</v>
      </c>
      <c r="R58" s="1477"/>
      <c r="S58" s="1475"/>
      <c r="T58" s="1476"/>
      <c r="U58" s="1476"/>
      <c r="V58" s="1476"/>
      <c r="X58" s="1529"/>
      <c r="Y58" s="1529"/>
      <c r="Z58" s="1529"/>
    </row>
    <row r="59" spans="1:26">
      <c r="A59" s="1463" t="s">
        <v>1202</v>
      </c>
      <c r="B59" s="1480">
        <f t="shared" si="70"/>
        <v>116.99099099099099</v>
      </c>
      <c r="C59" s="1480">
        <f t="shared" si="70"/>
        <v>118.84848484848486</v>
      </c>
      <c r="D59" s="1480">
        <f t="shared" si="36"/>
        <v>118.84848484848486</v>
      </c>
      <c r="E59" s="1480">
        <f t="shared" si="71"/>
        <v>117.60960960960961</v>
      </c>
      <c r="F59" s="1480">
        <f t="shared" si="71"/>
        <v>104</v>
      </c>
      <c r="G59" s="3321">
        <v>2004</v>
      </c>
      <c r="H59" s="1467">
        <v>2</v>
      </c>
      <c r="I59" s="1467">
        <v>1</v>
      </c>
      <c r="J59" s="1467">
        <v>1.5</v>
      </c>
      <c r="K59" s="1467">
        <v>1.5</v>
      </c>
      <c r="L59" s="1482">
        <v>0</v>
      </c>
      <c r="N59" s="1527">
        <f t="shared" si="68"/>
        <v>4.0581121662202721E-2</v>
      </c>
      <c r="O59" s="1528">
        <f t="shared" si="68"/>
        <v>3.1897926634768738E-2</v>
      </c>
      <c r="P59" s="1528">
        <f t="shared" si="69"/>
        <v>6.6733400066733395E-2</v>
      </c>
      <c r="Q59" s="1528">
        <f t="shared" si="69"/>
        <v>0</v>
      </c>
      <c r="R59" s="1477"/>
      <c r="S59" s="1475"/>
      <c r="T59" s="1476"/>
      <c r="U59" s="1476"/>
      <c r="V59" s="1476"/>
      <c r="X59" s="1529"/>
      <c r="Y59" s="1529"/>
      <c r="Z59" s="1529"/>
    </row>
    <row r="60" spans="1:26" s="1520" customFormat="1" ht="13.5" thickBot="1">
      <c r="A60" s="1463" t="s">
        <v>1203</v>
      </c>
      <c r="B60" s="1517">
        <f t="shared" si="70"/>
        <v>112.48648648648648</v>
      </c>
      <c r="C60" s="1517">
        <f t="shared" si="70"/>
        <v>115.21212121212122</v>
      </c>
      <c r="D60" s="1517">
        <f t="shared" si="36"/>
        <v>115.21212121212122</v>
      </c>
      <c r="E60" s="1517">
        <f t="shared" si="71"/>
        <v>110.4024024024024</v>
      </c>
      <c r="F60" s="1517">
        <f t="shared" si="71"/>
        <v>104</v>
      </c>
      <c r="G60" s="3322">
        <v>2004</v>
      </c>
      <c r="H60" s="1518">
        <v>1</v>
      </c>
      <c r="I60" s="1518">
        <v>0.33</v>
      </c>
      <c r="J60" s="1518">
        <v>0.5</v>
      </c>
      <c r="K60" s="1518">
        <v>0.5</v>
      </c>
      <c r="L60" s="1519">
        <v>0</v>
      </c>
      <c r="N60" s="1532">
        <f t="shared" si="68"/>
        <v>1.3391770148526898E-2</v>
      </c>
      <c r="O60" s="1533">
        <f t="shared" si="68"/>
        <v>1.063264221158958E-2</v>
      </c>
      <c r="P60" s="1533">
        <f t="shared" si="69"/>
        <v>2.2244466688911134E-2</v>
      </c>
      <c r="Q60" s="1533">
        <f t="shared" si="69"/>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6"/>
        <v>114</v>
      </c>
      <c r="E61" s="1535">
        <v>108</v>
      </c>
      <c r="F61" s="1536">
        <v>104</v>
      </c>
      <c r="G61" s="332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2">B63+(B$61-B$65)/4</f>
        <v>109.75</v>
      </c>
      <c r="C62" s="1539">
        <f t="shared" si="72"/>
        <v>112.25</v>
      </c>
      <c r="D62" s="1539">
        <f t="shared" si="36"/>
        <v>112.25</v>
      </c>
      <c r="E62" s="1539">
        <f t="shared" ref="E62:F64" si="73">E63+(E$61-E$65)/4</f>
        <v>107.25</v>
      </c>
      <c r="F62" s="1539">
        <f t="shared" si="73"/>
        <v>103.5</v>
      </c>
      <c r="G62" s="3321">
        <v>2003</v>
      </c>
      <c r="H62" s="1490">
        <v>3</v>
      </c>
      <c r="I62" s="1537"/>
      <c r="J62" s="1537"/>
      <c r="K62" s="1537"/>
      <c r="L62" s="1537"/>
      <c r="X62" s="1529"/>
      <c r="Y62" s="1529"/>
      <c r="Z62" s="1529"/>
    </row>
    <row r="63" spans="1:26">
      <c r="A63" s="1463" t="s">
        <v>1206</v>
      </c>
      <c r="B63" s="1539">
        <f t="shared" si="72"/>
        <v>108.5</v>
      </c>
      <c r="C63" s="1539">
        <f t="shared" si="72"/>
        <v>110.5</v>
      </c>
      <c r="D63" s="1539">
        <f t="shared" si="36"/>
        <v>110.5</v>
      </c>
      <c r="E63" s="1539">
        <f t="shared" si="73"/>
        <v>106.5</v>
      </c>
      <c r="F63" s="1539">
        <f t="shared" si="73"/>
        <v>103</v>
      </c>
      <c r="G63" s="3321">
        <v>2003</v>
      </c>
      <c r="H63" s="1467">
        <v>2</v>
      </c>
      <c r="I63" s="1537"/>
      <c r="J63" s="1537"/>
      <c r="K63" s="1537"/>
      <c r="L63" s="1537"/>
      <c r="X63" s="1529"/>
      <c r="Y63" s="1529"/>
      <c r="Z63" s="1529"/>
    </row>
    <row r="64" spans="1:26" ht="13.5" thickBot="1">
      <c r="A64" s="1463" t="s">
        <v>1207</v>
      </c>
      <c r="B64" s="1539">
        <f t="shared" si="72"/>
        <v>107.25</v>
      </c>
      <c r="C64" s="1539">
        <f t="shared" si="72"/>
        <v>108.75</v>
      </c>
      <c r="D64" s="1539">
        <f t="shared" si="36"/>
        <v>108.75</v>
      </c>
      <c r="E64" s="1539">
        <f t="shared" si="73"/>
        <v>105.75</v>
      </c>
      <c r="F64" s="1539">
        <f t="shared" si="73"/>
        <v>102.5</v>
      </c>
      <c r="G64" s="332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6"/>
        <v>107</v>
      </c>
      <c r="E65" s="1541">
        <v>105</v>
      </c>
      <c r="F65" s="1542">
        <v>102</v>
      </c>
      <c r="G65" s="332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4">B67+(B$65-B$69)/4</f>
        <v>105</v>
      </c>
      <c r="C66" s="1539">
        <f t="shared" si="74"/>
        <v>106</v>
      </c>
      <c r="D66" s="1539">
        <f t="shared" si="36"/>
        <v>106</v>
      </c>
      <c r="E66" s="1539">
        <f t="shared" ref="E66:F68" si="75">E67+(E$65-E$69)/4</f>
        <v>104.5</v>
      </c>
      <c r="F66" s="1539">
        <f t="shared" si="75"/>
        <v>101.5</v>
      </c>
      <c r="G66" s="3321">
        <v>2002</v>
      </c>
      <c r="H66" s="1490">
        <v>3</v>
      </c>
      <c r="I66" s="1537"/>
      <c r="J66" s="1537"/>
      <c r="K66" s="1537"/>
      <c r="L66" s="1537"/>
      <c r="X66" s="1529"/>
      <c r="Y66" s="1529"/>
      <c r="Z66" s="1529"/>
    </row>
    <row r="67" spans="1:26">
      <c r="A67" s="1463" t="s">
        <v>1210</v>
      </c>
      <c r="B67" s="1539">
        <f t="shared" si="74"/>
        <v>104</v>
      </c>
      <c r="C67" s="1539">
        <f t="shared" si="74"/>
        <v>105</v>
      </c>
      <c r="D67" s="1539">
        <f t="shared" si="36"/>
        <v>105</v>
      </c>
      <c r="E67" s="1539">
        <f t="shared" si="75"/>
        <v>104</v>
      </c>
      <c r="F67" s="1539">
        <f t="shared" si="75"/>
        <v>101</v>
      </c>
      <c r="G67" s="3321">
        <v>2002</v>
      </c>
      <c r="H67" s="1467">
        <v>2</v>
      </c>
      <c r="I67" s="1537"/>
      <c r="J67" s="1537"/>
      <c r="K67" s="1537"/>
      <c r="L67" s="1537"/>
      <c r="X67" s="1529"/>
      <c r="Y67" s="1529"/>
      <c r="Z67" s="1529"/>
    </row>
    <row r="68" spans="1:26" s="1501" customFormat="1" ht="13.5" thickBot="1">
      <c r="A68" s="1497" t="s">
        <v>1211</v>
      </c>
      <c r="B68" s="1543">
        <f t="shared" si="74"/>
        <v>103</v>
      </c>
      <c r="C68" s="1543">
        <f t="shared" si="74"/>
        <v>104</v>
      </c>
      <c r="D68" s="1543">
        <f t="shared" si="36"/>
        <v>104</v>
      </c>
      <c r="E68" s="1543">
        <f t="shared" si="75"/>
        <v>103.5</v>
      </c>
      <c r="F68" s="1543">
        <f t="shared" si="75"/>
        <v>100.5</v>
      </c>
      <c r="G68" s="3322">
        <v>2002</v>
      </c>
      <c r="H68" s="1544">
        <v>1</v>
      </c>
      <c r="I68" s="1545"/>
      <c r="J68" s="1545"/>
      <c r="K68" s="1545"/>
      <c r="L68" s="1545"/>
      <c r="N68" s="1546"/>
      <c r="S68" s="1546"/>
      <c r="X68" s="1547"/>
      <c r="Y68" s="1547"/>
      <c r="Z68" s="1547"/>
    </row>
    <row r="69" spans="1:26" ht="13.5" thickBot="1">
      <c r="B69" s="1548">
        <v>102</v>
      </c>
      <c r="C69" s="1549">
        <v>103</v>
      </c>
      <c r="D69" s="1549">
        <f t="shared" si="36"/>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3008</v>
      </c>
      <c r="C1" s="3329" t="s">
        <v>3009</v>
      </c>
      <c r="D1" s="3330"/>
      <c r="E1" s="3330"/>
      <c r="F1" s="3330"/>
      <c r="G1" s="3330"/>
      <c r="H1" s="3330"/>
      <c r="I1" s="3330"/>
      <c r="J1" s="3330"/>
      <c r="K1" s="3330"/>
      <c r="L1" s="3330"/>
      <c r="M1" s="3330"/>
      <c r="N1" s="3330"/>
      <c r="O1" s="3330"/>
      <c r="P1" s="3330"/>
      <c r="Q1" s="3330"/>
      <c r="R1" s="3330"/>
      <c r="S1" s="3331"/>
      <c r="T1" s="1206" t="s">
        <v>3010</v>
      </c>
    </row>
    <row r="2" spans="1:45" s="707" customFormat="1">
      <c r="A2" s="1207"/>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3012</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3013</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3014</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3020</v>
      </c>
      <c r="E19" s="1795"/>
      <c r="F19" s="1795"/>
      <c r="G19" s="1795"/>
      <c r="H19" s="1282"/>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6" t="e">
        <f ca="1">SUMIF(INDIRECT("'"&amp;H20&amp;"'"&amp;"!A:A"),"承租人权益价值",INDIRECT("'"&amp;H20&amp;"'"&amp;"!c:c"))</f>
        <v>#REF!</v>
      </c>
      <c r="G20" s="1206"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12" t="s">
        <v>33</v>
      </c>
      <c r="D22" s="3113"/>
      <c r="E22" s="3113"/>
      <c r="F22" s="3113"/>
      <c r="G22" s="3113"/>
      <c r="H22" s="3113"/>
      <c r="I22" s="3113"/>
      <c r="J22" s="3113"/>
      <c r="K22" s="3113"/>
      <c r="L22" s="3113"/>
      <c r="M22" s="3113"/>
      <c r="N22" s="3113"/>
      <c r="O22" s="3113"/>
      <c r="P22" s="3113"/>
      <c r="Q22" s="3328"/>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37528</v>
      </c>
      <c r="C2" s="2" t="s">
        <v>133</v>
      </c>
      <c r="D2" s="243"/>
      <c r="E2" s="243"/>
      <c r="F2" s="243"/>
      <c r="G2" s="243"/>
    </row>
    <row r="3" spans="1:7" s="244" customFormat="1" ht="18" customHeight="1" thickBot="1">
      <c r="A3" s="247" t="s">
        <v>85</v>
      </c>
      <c r="B3" s="248">
        <f ca="1">ROUND(B2*10000/'数据-汇总表'!E3,0)</f>
        <v>51738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145</v>
      </c>
      <c r="D10" s="1034">
        <f>'数据-汇总表'!E6</f>
        <v>7253.4400000000014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145</v>
      </c>
      <c r="D19" s="1038">
        <f>'数据-汇总表'!E3</f>
        <v>7253.4400000000014</v>
      </c>
      <c r="E19" s="255">
        <f>'数据-取费表'!B31</f>
        <v>200</v>
      </c>
      <c r="F19" s="275"/>
      <c r="G19" s="1" t="s">
        <v>1074</v>
      </c>
    </row>
    <row r="20" spans="1:7" s="258" customFormat="1" ht="13.5" customHeight="1">
      <c r="A20" s="950" t="s">
        <v>1057</v>
      </c>
      <c r="B20" s="254" t="s">
        <v>104</v>
      </c>
      <c r="C20" s="276">
        <f>ROUND((C5+C19)*F20,0)</f>
        <v>623</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2048</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14</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6413</v>
      </c>
      <c r="D27" s="279">
        <f>C29</f>
        <v>8.9999999999999993E-3</v>
      </c>
      <c r="E27" s="280" t="s">
        <v>126</v>
      </c>
      <c r="F27" s="290">
        <f>'数据-取费表'!Q16</f>
        <v>0.3</v>
      </c>
      <c r="G27" s="291" t="s">
        <v>1069</v>
      </c>
    </row>
    <row r="28" spans="1:7" s="258" customFormat="1" ht="13.5" customHeight="1">
      <c r="A28" s="953" t="s">
        <v>794</v>
      </c>
      <c r="B28" s="292" t="s">
        <v>1062</v>
      </c>
      <c r="C28" s="293">
        <f>ROUND((C5+C19+C20)*F27*'数据-取费表'!B21/'数据-取费表'!B20,0)</f>
        <v>6413</v>
      </c>
      <c r="D28" s="279"/>
      <c r="E28" s="280"/>
      <c r="F28" s="290"/>
      <c r="G28" s="291"/>
    </row>
    <row r="29" spans="1:7" s="258" customFormat="1" ht="13.5" customHeight="1">
      <c r="A29" s="953" t="s">
        <v>792</v>
      </c>
      <c r="B29" s="292" t="s">
        <v>1063</v>
      </c>
      <c r="C29" s="282">
        <f>ROUND(C21*F27*'数据-取费表'!B21/'数据-取费表'!B20,4)</f>
        <v>8.9999999999999993E-3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3621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3264</v>
      </c>
      <c r="D34" s="261"/>
      <c r="E34" s="264"/>
      <c r="F34" s="301">
        <f>IF('数据-取费表'!B24=0,1,'数据-取费表'!N16)</f>
        <v>1</v>
      </c>
      <c r="G34" s="263" t="s">
        <v>116</v>
      </c>
    </row>
    <row r="35" spans="1:7" ht="13.5" customHeight="1">
      <c r="A35" s="953" t="s">
        <v>796</v>
      </c>
      <c r="B35" s="259" t="s">
        <v>60</v>
      </c>
      <c r="C35" s="264">
        <f>ROUND(C34*F35,0)</f>
        <v>163</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145</v>
      </c>
      <c r="D37" s="261">
        <f>'数据-汇总表'!E3</f>
        <v>7253.4400000000014</v>
      </c>
      <c r="E37" s="293">
        <f>'数据-取费表'!B35</f>
        <v>200</v>
      </c>
      <c r="F37" s="303"/>
      <c r="G37" s="305" t="s">
        <v>119</v>
      </c>
    </row>
    <row r="38" spans="1:7" ht="13.5" customHeight="1">
      <c r="A38" s="953" t="s">
        <v>799</v>
      </c>
      <c r="B38" s="259" t="s">
        <v>63</v>
      </c>
      <c r="C38" s="264">
        <f>ROUND(C34*F38,0)</f>
        <v>49</v>
      </c>
      <c r="D38" s="264"/>
      <c r="E38" s="264"/>
      <c r="F38" s="303">
        <f>'数据-取费表'!B36</f>
        <v>1.4999999999999999E-2</v>
      </c>
      <c r="G38" s="263" t="s">
        <v>117</v>
      </c>
    </row>
    <row r="39" spans="1:7" s="258" customFormat="1" ht="13.5" customHeight="1">
      <c r="A39" s="950" t="s">
        <v>783</v>
      </c>
      <c r="B39" s="254" t="s">
        <v>104</v>
      </c>
      <c r="C39" s="276">
        <f>ROUND(C33*F20,0)</f>
        <v>109</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177</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172</v>
      </c>
      <c r="D42" s="282"/>
      <c r="E42" s="282"/>
      <c r="F42" s="283"/>
      <c r="G42" s="3197" t="s">
        <v>121</v>
      </c>
    </row>
    <row r="43" spans="1:7" ht="13.5" customHeight="1">
      <c r="A43" s="953" t="s">
        <v>792</v>
      </c>
      <c r="B43" s="259" t="s">
        <v>1064</v>
      </c>
      <c r="C43" s="282">
        <f ca="1">ROUND(IF('数据-取费表'!B22&lt;=1,C39*F22*'数据-取费表'!B21/2,C39*(POWER((1+F22),'数据-取费表'!B21/2)-1)),0)</f>
        <v>5</v>
      </c>
      <c r="D43" s="282"/>
      <c r="E43" s="282"/>
      <c r="F43" s="283"/>
      <c r="G43" s="3198"/>
    </row>
    <row r="44" spans="1:7" ht="13.5" customHeight="1">
      <c r="A44" s="953" t="s">
        <v>793</v>
      </c>
      <c r="B44" s="259" t="s">
        <v>1066</v>
      </c>
      <c r="C44" s="282">
        <f ca="1">ROUND(IF('数据-取费表'!B22&lt;=1,C40*F22*'数据-取费表'!B21/2,C40*(POWER((1+F22),'数据-取费表'!B21/2)-1)),4)</f>
        <v>1.4E-3</v>
      </c>
      <c r="D44" s="282"/>
      <c r="E44" s="282"/>
      <c r="F44" s="283"/>
      <c r="G44" s="3199"/>
    </row>
    <row r="45" spans="1:7" s="258" customFormat="1" ht="13.5" customHeight="1">
      <c r="A45" s="950" t="s">
        <v>786</v>
      </c>
      <c r="B45" s="288" t="s">
        <v>112</v>
      </c>
      <c r="C45" s="289">
        <f>C46</f>
        <v>1119</v>
      </c>
      <c r="D45" s="279">
        <f>C47</f>
        <v>8.9999999999999993E-3</v>
      </c>
      <c r="E45" s="280" t="s">
        <v>129</v>
      </c>
      <c r="F45" s="290"/>
      <c r="G45" s="291" t="s">
        <v>1072</v>
      </c>
    </row>
    <row r="46" spans="1:7" s="258" customFormat="1" ht="13.5" customHeight="1">
      <c r="A46" s="953" t="s">
        <v>794</v>
      </c>
      <c r="B46" s="292" t="s">
        <v>1065</v>
      </c>
      <c r="C46" s="293">
        <f>ROUND((C33+C39)*F27,0)</f>
        <v>1119</v>
      </c>
      <c r="D46" s="307"/>
      <c r="E46" s="280"/>
      <c r="F46" s="290"/>
      <c r="G46" s="291"/>
    </row>
    <row r="47" spans="1:7" s="258" customFormat="1" ht="13.5" customHeight="1">
      <c r="A47" s="953" t="s">
        <v>792</v>
      </c>
      <c r="B47" s="292" t="s">
        <v>1067</v>
      </c>
      <c r="C47" s="282">
        <f>ROUND(C40*F27,4)</f>
        <v>8.9999999999999993E-3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5546</v>
      </c>
      <c r="D49" s="276"/>
      <c r="E49" s="276"/>
      <c r="F49" s="308"/>
      <c r="G49" s="278" t="s">
        <v>1073</v>
      </c>
    </row>
    <row r="50" spans="1:7" s="302" customFormat="1" ht="24">
      <c r="A50" s="950" t="s">
        <v>789</v>
      </c>
      <c r="B50" s="254" t="s">
        <v>124</v>
      </c>
      <c r="C50" s="276"/>
      <c r="D50" s="276"/>
      <c r="E50" s="276"/>
      <c r="F50" s="308">
        <f>IF('数据-取费表'!B24=0,'数据-取费表'!N16,1)</f>
        <v>0.83</v>
      </c>
      <c r="G50" s="291" t="s">
        <v>125</v>
      </c>
    </row>
    <row r="51" spans="1:7" ht="16.5" customHeight="1">
      <c r="A51" s="950" t="s">
        <v>790</v>
      </c>
      <c r="B51" s="254" t="s">
        <v>132</v>
      </c>
      <c r="C51" s="276">
        <f ca="1">ROUND(C49*F50,0)</f>
        <v>4603</v>
      </c>
      <c r="D51" s="276"/>
      <c r="E51" s="276"/>
      <c r="F51" s="308"/>
      <c r="G51" s="278" t="s">
        <v>64</v>
      </c>
    </row>
    <row r="52" spans="1:7" s="252" customFormat="1" ht="16.5" thickBot="1">
      <c r="A52" s="309" t="s">
        <v>65</v>
      </c>
      <c r="B52" s="310"/>
      <c r="C52" s="311">
        <f ca="1">C31+C51</f>
        <v>37528</v>
      </c>
      <c r="D52" s="310"/>
      <c r="E52" s="310"/>
      <c r="F52" s="310"/>
      <c r="G52" s="312"/>
    </row>
    <row r="55" spans="1:7" ht="15">
      <c r="B55" s="314" t="s">
        <v>66</v>
      </c>
      <c r="C55" s="315"/>
    </row>
    <row r="56" spans="1:7">
      <c r="B56" s="317" t="s">
        <v>67</v>
      </c>
      <c r="C56" s="318">
        <f ca="1">ROUND(C51/C52,3)</f>
        <v>0.123</v>
      </c>
    </row>
    <row r="57" spans="1:7">
      <c r="B57" s="317" t="s">
        <v>68</v>
      </c>
      <c r="C57" s="319">
        <f ca="1">1-C56</f>
        <v>0.877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2" t="s">
        <v>156</v>
      </c>
      <c r="B1" s="3332"/>
      <c r="C1" s="3332"/>
      <c r="D1" s="3332"/>
      <c r="E1" s="3332"/>
      <c r="F1" s="333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3" t="s">
        <v>169</v>
      </c>
      <c r="B2" s="3333"/>
      <c r="C2" s="3333"/>
      <c r="D2" s="3333"/>
      <c r="E2" s="3333"/>
      <c r="F2" s="333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2" t="s">
        <v>871</v>
      </c>
      <c r="B1" s="333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43109</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
  <sheetViews>
    <sheetView workbookViewId="0">
      <selection activeCell="D31" sqref="D31"/>
    </sheetView>
  </sheetViews>
  <sheetFormatPr defaultColWidth="14.125" defaultRowHeight="14.25"/>
  <cols>
    <col min="1" max="1" width="13.625" style="2961" customWidth="1"/>
    <col min="2" max="2" width="19.875" style="2961" customWidth="1"/>
    <col min="3" max="3" width="19.75" style="2975" customWidth="1"/>
    <col min="4" max="4" width="21.375" style="2976" customWidth="1"/>
    <col min="5" max="5" width="16" style="2977" customWidth="1"/>
    <col min="6" max="6" width="17.375" style="2977" customWidth="1"/>
    <col min="7" max="7" width="18.25" style="2961" customWidth="1"/>
    <col min="8" max="251" width="9" style="2961" customWidth="1"/>
    <col min="252" max="252" width="13.375" style="2961" customWidth="1"/>
    <col min="253" max="253" width="13.125" style="2961" customWidth="1"/>
    <col min="254" max="254" width="10.25" style="2961" customWidth="1"/>
    <col min="255" max="255" width="9.5" style="2961" customWidth="1"/>
    <col min="256" max="256" width="14.125" style="2961"/>
    <col min="257" max="257" width="13.625" style="2961" customWidth="1"/>
    <col min="258" max="258" width="19.875" style="2961" customWidth="1"/>
    <col min="259" max="259" width="19.75" style="2961" customWidth="1"/>
    <col min="260" max="260" width="21.375" style="2961" customWidth="1"/>
    <col min="261" max="261" width="16" style="2961" customWidth="1"/>
    <col min="262" max="262" width="17.375" style="2961" customWidth="1"/>
    <col min="263" max="263" width="18.25" style="2961" customWidth="1"/>
    <col min="264" max="507" width="9" style="2961" customWidth="1"/>
    <col min="508" max="508" width="13.375" style="2961" customWidth="1"/>
    <col min="509" max="509" width="13.125" style="2961" customWidth="1"/>
    <col min="510" max="510" width="10.25" style="2961" customWidth="1"/>
    <col min="511" max="511" width="9.5" style="2961" customWidth="1"/>
    <col min="512" max="512" width="14.125" style="2961"/>
    <col min="513" max="513" width="13.625" style="2961" customWidth="1"/>
    <col min="514" max="514" width="19.875" style="2961" customWidth="1"/>
    <col min="515" max="515" width="19.75" style="2961" customWidth="1"/>
    <col min="516" max="516" width="21.375" style="2961" customWidth="1"/>
    <col min="517" max="517" width="16" style="2961" customWidth="1"/>
    <col min="518" max="518" width="17.375" style="2961" customWidth="1"/>
    <col min="519" max="519" width="18.25" style="2961" customWidth="1"/>
    <col min="520" max="763" width="9" style="2961" customWidth="1"/>
    <col min="764" max="764" width="13.375" style="2961" customWidth="1"/>
    <col min="765" max="765" width="13.125" style="2961" customWidth="1"/>
    <col min="766" max="766" width="10.25" style="2961" customWidth="1"/>
    <col min="767" max="767" width="9.5" style="2961" customWidth="1"/>
    <col min="768" max="768" width="14.125" style="2961"/>
    <col min="769" max="769" width="13.625" style="2961" customWidth="1"/>
    <col min="770" max="770" width="19.875" style="2961" customWidth="1"/>
    <col min="771" max="771" width="19.75" style="2961" customWidth="1"/>
    <col min="772" max="772" width="21.375" style="2961" customWidth="1"/>
    <col min="773" max="773" width="16" style="2961" customWidth="1"/>
    <col min="774" max="774" width="17.375" style="2961" customWidth="1"/>
    <col min="775" max="775" width="18.25" style="2961" customWidth="1"/>
    <col min="776" max="1019" width="9" style="2961" customWidth="1"/>
    <col min="1020" max="1020" width="13.375" style="2961" customWidth="1"/>
    <col min="1021" max="1021" width="13.125" style="2961" customWidth="1"/>
    <col min="1022" max="1022" width="10.25" style="2961" customWidth="1"/>
    <col min="1023" max="1023" width="9.5" style="2961" customWidth="1"/>
    <col min="1024" max="1024" width="14.125" style="2961"/>
    <col min="1025" max="1025" width="13.625" style="2961" customWidth="1"/>
    <col min="1026" max="1026" width="19.875" style="2961" customWidth="1"/>
    <col min="1027" max="1027" width="19.75" style="2961" customWidth="1"/>
    <col min="1028" max="1028" width="21.375" style="2961" customWidth="1"/>
    <col min="1029" max="1029" width="16" style="2961" customWidth="1"/>
    <col min="1030" max="1030" width="17.375" style="2961" customWidth="1"/>
    <col min="1031" max="1031" width="18.25" style="2961" customWidth="1"/>
    <col min="1032" max="1275" width="9" style="2961" customWidth="1"/>
    <col min="1276" max="1276" width="13.375" style="2961" customWidth="1"/>
    <col min="1277" max="1277" width="13.125" style="2961" customWidth="1"/>
    <col min="1278" max="1278" width="10.25" style="2961" customWidth="1"/>
    <col min="1279" max="1279" width="9.5" style="2961" customWidth="1"/>
    <col min="1280" max="1280" width="14.125" style="2961"/>
    <col min="1281" max="1281" width="13.625" style="2961" customWidth="1"/>
    <col min="1282" max="1282" width="19.875" style="2961" customWidth="1"/>
    <col min="1283" max="1283" width="19.75" style="2961" customWidth="1"/>
    <col min="1284" max="1284" width="21.375" style="2961" customWidth="1"/>
    <col min="1285" max="1285" width="16" style="2961" customWidth="1"/>
    <col min="1286" max="1286" width="17.375" style="2961" customWidth="1"/>
    <col min="1287" max="1287" width="18.25" style="2961" customWidth="1"/>
    <col min="1288" max="1531" width="9" style="2961" customWidth="1"/>
    <col min="1532" max="1532" width="13.375" style="2961" customWidth="1"/>
    <col min="1533" max="1533" width="13.125" style="2961" customWidth="1"/>
    <col min="1534" max="1534" width="10.25" style="2961" customWidth="1"/>
    <col min="1535" max="1535" width="9.5" style="2961" customWidth="1"/>
    <col min="1536" max="1536" width="14.125" style="2961"/>
    <col min="1537" max="1537" width="13.625" style="2961" customWidth="1"/>
    <col min="1538" max="1538" width="19.875" style="2961" customWidth="1"/>
    <col min="1539" max="1539" width="19.75" style="2961" customWidth="1"/>
    <col min="1540" max="1540" width="21.375" style="2961" customWidth="1"/>
    <col min="1541" max="1541" width="16" style="2961" customWidth="1"/>
    <col min="1542" max="1542" width="17.375" style="2961" customWidth="1"/>
    <col min="1543" max="1543" width="18.25" style="2961" customWidth="1"/>
    <col min="1544" max="1787" width="9" style="2961" customWidth="1"/>
    <col min="1788" max="1788" width="13.375" style="2961" customWidth="1"/>
    <col min="1789" max="1789" width="13.125" style="2961" customWidth="1"/>
    <col min="1790" max="1790" width="10.25" style="2961" customWidth="1"/>
    <col min="1791" max="1791" width="9.5" style="2961" customWidth="1"/>
    <col min="1792" max="1792" width="14.125" style="2961"/>
    <col min="1793" max="1793" width="13.625" style="2961" customWidth="1"/>
    <col min="1794" max="1794" width="19.875" style="2961" customWidth="1"/>
    <col min="1795" max="1795" width="19.75" style="2961" customWidth="1"/>
    <col min="1796" max="1796" width="21.375" style="2961" customWidth="1"/>
    <col min="1797" max="1797" width="16" style="2961" customWidth="1"/>
    <col min="1798" max="1798" width="17.375" style="2961" customWidth="1"/>
    <col min="1799" max="1799" width="18.25" style="2961" customWidth="1"/>
    <col min="1800" max="2043" width="9" style="2961" customWidth="1"/>
    <col min="2044" max="2044" width="13.375" style="2961" customWidth="1"/>
    <col min="2045" max="2045" width="13.125" style="2961" customWidth="1"/>
    <col min="2046" max="2046" width="10.25" style="2961" customWidth="1"/>
    <col min="2047" max="2047" width="9.5" style="2961" customWidth="1"/>
    <col min="2048" max="2048" width="14.125" style="2961"/>
    <col min="2049" max="2049" width="13.625" style="2961" customWidth="1"/>
    <col min="2050" max="2050" width="19.875" style="2961" customWidth="1"/>
    <col min="2051" max="2051" width="19.75" style="2961" customWidth="1"/>
    <col min="2052" max="2052" width="21.375" style="2961" customWidth="1"/>
    <col min="2053" max="2053" width="16" style="2961" customWidth="1"/>
    <col min="2054" max="2054" width="17.375" style="2961" customWidth="1"/>
    <col min="2055" max="2055" width="18.25" style="2961" customWidth="1"/>
    <col min="2056" max="2299" width="9" style="2961" customWidth="1"/>
    <col min="2300" max="2300" width="13.375" style="2961" customWidth="1"/>
    <col min="2301" max="2301" width="13.125" style="2961" customWidth="1"/>
    <col min="2302" max="2302" width="10.25" style="2961" customWidth="1"/>
    <col min="2303" max="2303" width="9.5" style="2961" customWidth="1"/>
    <col min="2304" max="2304" width="14.125" style="2961"/>
    <col min="2305" max="2305" width="13.625" style="2961" customWidth="1"/>
    <col min="2306" max="2306" width="19.875" style="2961" customWidth="1"/>
    <col min="2307" max="2307" width="19.75" style="2961" customWidth="1"/>
    <col min="2308" max="2308" width="21.375" style="2961" customWidth="1"/>
    <col min="2309" max="2309" width="16" style="2961" customWidth="1"/>
    <col min="2310" max="2310" width="17.375" style="2961" customWidth="1"/>
    <col min="2311" max="2311" width="18.25" style="2961" customWidth="1"/>
    <col min="2312" max="2555" width="9" style="2961" customWidth="1"/>
    <col min="2556" max="2556" width="13.375" style="2961" customWidth="1"/>
    <col min="2557" max="2557" width="13.125" style="2961" customWidth="1"/>
    <col min="2558" max="2558" width="10.25" style="2961" customWidth="1"/>
    <col min="2559" max="2559" width="9.5" style="2961" customWidth="1"/>
    <col min="2560" max="2560" width="14.125" style="2961"/>
    <col min="2561" max="2561" width="13.625" style="2961" customWidth="1"/>
    <col min="2562" max="2562" width="19.875" style="2961" customWidth="1"/>
    <col min="2563" max="2563" width="19.75" style="2961" customWidth="1"/>
    <col min="2564" max="2564" width="21.375" style="2961" customWidth="1"/>
    <col min="2565" max="2565" width="16" style="2961" customWidth="1"/>
    <col min="2566" max="2566" width="17.375" style="2961" customWidth="1"/>
    <col min="2567" max="2567" width="18.25" style="2961" customWidth="1"/>
    <col min="2568" max="2811" width="9" style="2961" customWidth="1"/>
    <col min="2812" max="2812" width="13.375" style="2961" customWidth="1"/>
    <col min="2813" max="2813" width="13.125" style="2961" customWidth="1"/>
    <col min="2814" max="2814" width="10.25" style="2961" customWidth="1"/>
    <col min="2815" max="2815" width="9.5" style="2961" customWidth="1"/>
    <col min="2816" max="2816" width="14.125" style="2961"/>
    <col min="2817" max="2817" width="13.625" style="2961" customWidth="1"/>
    <col min="2818" max="2818" width="19.875" style="2961" customWidth="1"/>
    <col min="2819" max="2819" width="19.75" style="2961" customWidth="1"/>
    <col min="2820" max="2820" width="21.375" style="2961" customWidth="1"/>
    <col min="2821" max="2821" width="16" style="2961" customWidth="1"/>
    <col min="2822" max="2822" width="17.375" style="2961" customWidth="1"/>
    <col min="2823" max="2823" width="18.25" style="2961" customWidth="1"/>
    <col min="2824" max="3067" width="9" style="2961" customWidth="1"/>
    <col min="3068" max="3068" width="13.375" style="2961" customWidth="1"/>
    <col min="3069" max="3069" width="13.125" style="2961" customWidth="1"/>
    <col min="3070" max="3070" width="10.25" style="2961" customWidth="1"/>
    <col min="3071" max="3071" width="9.5" style="2961" customWidth="1"/>
    <col min="3072" max="3072" width="14.125" style="2961"/>
    <col min="3073" max="3073" width="13.625" style="2961" customWidth="1"/>
    <col min="3074" max="3074" width="19.875" style="2961" customWidth="1"/>
    <col min="3075" max="3075" width="19.75" style="2961" customWidth="1"/>
    <col min="3076" max="3076" width="21.375" style="2961" customWidth="1"/>
    <col min="3077" max="3077" width="16" style="2961" customWidth="1"/>
    <col min="3078" max="3078" width="17.375" style="2961" customWidth="1"/>
    <col min="3079" max="3079" width="18.25" style="2961" customWidth="1"/>
    <col min="3080" max="3323" width="9" style="2961" customWidth="1"/>
    <col min="3324" max="3324" width="13.375" style="2961" customWidth="1"/>
    <col min="3325" max="3325" width="13.125" style="2961" customWidth="1"/>
    <col min="3326" max="3326" width="10.25" style="2961" customWidth="1"/>
    <col min="3327" max="3327" width="9.5" style="2961" customWidth="1"/>
    <col min="3328" max="3328" width="14.125" style="2961"/>
    <col min="3329" max="3329" width="13.625" style="2961" customWidth="1"/>
    <col min="3330" max="3330" width="19.875" style="2961" customWidth="1"/>
    <col min="3331" max="3331" width="19.75" style="2961" customWidth="1"/>
    <col min="3332" max="3332" width="21.375" style="2961" customWidth="1"/>
    <col min="3333" max="3333" width="16" style="2961" customWidth="1"/>
    <col min="3334" max="3334" width="17.375" style="2961" customWidth="1"/>
    <col min="3335" max="3335" width="18.25" style="2961" customWidth="1"/>
    <col min="3336" max="3579" width="9" style="2961" customWidth="1"/>
    <col min="3580" max="3580" width="13.375" style="2961" customWidth="1"/>
    <col min="3581" max="3581" width="13.125" style="2961" customWidth="1"/>
    <col min="3582" max="3582" width="10.25" style="2961" customWidth="1"/>
    <col min="3583" max="3583" width="9.5" style="2961" customWidth="1"/>
    <col min="3584" max="3584" width="14.125" style="2961"/>
    <col min="3585" max="3585" width="13.625" style="2961" customWidth="1"/>
    <col min="3586" max="3586" width="19.875" style="2961" customWidth="1"/>
    <col min="3587" max="3587" width="19.75" style="2961" customWidth="1"/>
    <col min="3588" max="3588" width="21.375" style="2961" customWidth="1"/>
    <col min="3589" max="3589" width="16" style="2961" customWidth="1"/>
    <col min="3590" max="3590" width="17.375" style="2961" customWidth="1"/>
    <col min="3591" max="3591" width="18.25" style="2961" customWidth="1"/>
    <col min="3592" max="3835" width="9" style="2961" customWidth="1"/>
    <col min="3836" max="3836" width="13.375" style="2961" customWidth="1"/>
    <col min="3837" max="3837" width="13.125" style="2961" customWidth="1"/>
    <col min="3838" max="3838" width="10.25" style="2961" customWidth="1"/>
    <col min="3839" max="3839" width="9.5" style="2961" customWidth="1"/>
    <col min="3840" max="3840" width="14.125" style="2961"/>
    <col min="3841" max="3841" width="13.625" style="2961" customWidth="1"/>
    <col min="3842" max="3842" width="19.875" style="2961" customWidth="1"/>
    <col min="3843" max="3843" width="19.75" style="2961" customWidth="1"/>
    <col min="3844" max="3844" width="21.375" style="2961" customWidth="1"/>
    <col min="3845" max="3845" width="16" style="2961" customWidth="1"/>
    <col min="3846" max="3846" width="17.375" style="2961" customWidth="1"/>
    <col min="3847" max="3847" width="18.25" style="2961" customWidth="1"/>
    <col min="3848" max="4091" width="9" style="2961" customWidth="1"/>
    <col min="4092" max="4092" width="13.375" style="2961" customWidth="1"/>
    <col min="4093" max="4093" width="13.125" style="2961" customWidth="1"/>
    <col min="4094" max="4094" width="10.25" style="2961" customWidth="1"/>
    <col min="4095" max="4095" width="9.5" style="2961" customWidth="1"/>
    <col min="4096" max="4096" width="14.125" style="2961"/>
    <col min="4097" max="4097" width="13.625" style="2961" customWidth="1"/>
    <col min="4098" max="4098" width="19.875" style="2961" customWidth="1"/>
    <col min="4099" max="4099" width="19.75" style="2961" customWidth="1"/>
    <col min="4100" max="4100" width="21.375" style="2961" customWidth="1"/>
    <col min="4101" max="4101" width="16" style="2961" customWidth="1"/>
    <col min="4102" max="4102" width="17.375" style="2961" customWidth="1"/>
    <col min="4103" max="4103" width="18.25" style="2961" customWidth="1"/>
    <col min="4104" max="4347" width="9" style="2961" customWidth="1"/>
    <col min="4348" max="4348" width="13.375" style="2961" customWidth="1"/>
    <col min="4349" max="4349" width="13.125" style="2961" customWidth="1"/>
    <col min="4350" max="4350" width="10.25" style="2961" customWidth="1"/>
    <col min="4351" max="4351" width="9.5" style="2961" customWidth="1"/>
    <col min="4352" max="4352" width="14.125" style="2961"/>
    <col min="4353" max="4353" width="13.625" style="2961" customWidth="1"/>
    <col min="4354" max="4354" width="19.875" style="2961" customWidth="1"/>
    <col min="4355" max="4355" width="19.75" style="2961" customWidth="1"/>
    <col min="4356" max="4356" width="21.375" style="2961" customWidth="1"/>
    <col min="4357" max="4357" width="16" style="2961" customWidth="1"/>
    <col min="4358" max="4358" width="17.375" style="2961" customWidth="1"/>
    <col min="4359" max="4359" width="18.25" style="2961" customWidth="1"/>
    <col min="4360" max="4603" width="9" style="2961" customWidth="1"/>
    <col min="4604" max="4604" width="13.375" style="2961" customWidth="1"/>
    <col min="4605" max="4605" width="13.125" style="2961" customWidth="1"/>
    <col min="4606" max="4606" width="10.25" style="2961" customWidth="1"/>
    <col min="4607" max="4607" width="9.5" style="2961" customWidth="1"/>
    <col min="4608" max="4608" width="14.125" style="2961"/>
    <col min="4609" max="4609" width="13.625" style="2961" customWidth="1"/>
    <col min="4610" max="4610" width="19.875" style="2961" customWidth="1"/>
    <col min="4611" max="4611" width="19.75" style="2961" customWidth="1"/>
    <col min="4612" max="4612" width="21.375" style="2961" customWidth="1"/>
    <col min="4613" max="4613" width="16" style="2961" customWidth="1"/>
    <col min="4614" max="4614" width="17.375" style="2961" customWidth="1"/>
    <col min="4615" max="4615" width="18.25" style="2961" customWidth="1"/>
    <col min="4616" max="4859" width="9" style="2961" customWidth="1"/>
    <col min="4860" max="4860" width="13.375" style="2961" customWidth="1"/>
    <col min="4861" max="4861" width="13.125" style="2961" customWidth="1"/>
    <col min="4862" max="4862" width="10.25" style="2961" customWidth="1"/>
    <col min="4863" max="4863" width="9.5" style="2961" customWidth="1"/>
    <col min="4864" max="4864" width="14.125" style="2961"/>
    <col min="4865" max="4865" width="13.625" style="2961" customWidth="1"/>
    <col min="4866" max="4866" width="19.875" style="2961" customWidth="1"/>
    <col min="4867" max="4867" width="19.75" style="2961" customWidth="1"/>
    <col min="4868" max="4868" width="21.375" style="2961" customWidth="1"/>
    <col min="4869" max="4869" width="16" style="2961" customWidth="1"/>
    <col min="4870" max="4870" width="17.375" style="2961" customWidth="1"/>
    <col min="4871" max="4871" width="18.25" style="2961" customWidth="1"/>
    <col min="4872" max="5115" width="9" style="2961" customWidth="1"/>
    <col min="5116" max="5116" width="13.375" style="2961" customWidth="1"/>
    <col min="5117" max="5117" width="13.125" style="2961" customWidth="1"/>
    <col min="5118" max="5118" width="10.25" style="2961" customWidth="1"/>
    <col min="5119" max="5119" width="9.5" style="2961" customWidth="1"/>
    <col min="5120" max="5120" width="14.125" style="2961"/>
    <col min="5121" max="5121" width="13.625" style="2961" customWidth="1"/>
    <col min="5122" max="5122" width="19.875" style="2961" customWidth="1"/>
    <col min="5123" max="5123" width="19.75" style="2961" customWidth="1"/>
    <col min="5124" max="5124" width="21.375" style="2961" customWidth="1"/>
    <col min="5125" max="5125" width="16" style="2961" customWidth="1"/>
    <col min="5126" max="5126" width="17.375" style="2961" customWidth="1"/>
    <col min="5127" max="5127" width="18.25" style="2961" customWidth="1"/>
    <col min="5128" max="5371" width="9" style="2961" customWidth="1"/>
    <col min="5372" max="5372" width="13.375" style="2961" customWidth="1"/>
    <col min="5373" max="5373" width="13.125" style="2961" customWidth="1"/>
    <col min="5374" max="5374" width="10.25" style="2961" customWidth="1"/>
    <col min="5375" max="5375" width="9.5" style="2961" customWidth="1"/>
    <col min="5376" max="5376" width="14.125" style="2961"/>
    <col min="5377" max="5377" width="13.625" style="2961" customWidth="1"/>
    <col min="5378" max="5378" width="19.875" style="2961" customWidth="1"/>
    <col min="5379" max="5379" width="19.75" style="2961" customWidth="1"/>
    <col min="5380" max="5380" width="21.375" style="2961" customWidth="1"/>
    <col min="5381" max="5381" width="16" style="2961" customWidth="1"/>
    <col min="5382" max="5382" width="17.375" style="2961" customWidth="1"/>
    <col min="5383" max="5383" width="18.25" style="2961" customWidth="1"/>
    <col min="5384" max="5627" width="9" style="2961" customWidth="1"/>
    <col min="5628" max="5628" width="13.375" style="2961" customWidth="1"/>
    <col min="5629" max="5629" width="13.125" style="2961" customWidth="1"/>
    <col min="5630" max="5630" width="10.25" style="2961" customWidth="1"/>
    <col min="5631" max="5631" width="9.5" style="2961" customWidth="1"/>
    <col min="5632" max="5632" width="14.125" style="2961"/>
    <col min="5633" max="5633" width="13.625" style="2961" customWidth="1"/>
    <col min="5634" max="5634" width="19.875" style="2961" customWidth="1"/>
    <col min="5635" max="5635" width="19.75" style="2961" customWidth="1"/>
    <col min="5636" max="5636" width="21.375" style="2961" customWidth="1"/>
    <col min="5637" max="5637" width="16" style="2961" customWidth="1"/>
    <col min="5638" max="5638" width="17.375" style="2961" customWidth="1"/>
    <col min="5639" max="5639" width="18.25" style="2961" customWidth="1"/>
    <col min="5640" max="5883" width="9" style="2961" customWidth="1"/>
    <col min="5884" max="5884" width="13.375" style="2961" customWidth="1"/>
    <col min="5885" max="5885" width="13.125" style="2961" customWidth="1"/>
    <col min="5886" max="5886" width="10.25" style="2961" customWidth="1"/>
    <col min="5887" max="5887" width="9.5" style="2961" customWidth="1"/>
    <col min="5888" max="5888" width="14.125" style="2961"/>
    <col min="5889" max="5889" width="13.625" style="2961" customWidth="1"/>
    <col min="5890" max="5890" width="19.875" style="2961" customWidth="1"/>
    <col min="5891" max="5891" width="19.75" style="2961" customWidth="1"/>
    <col min="5892" max="5892" width="21.375" style="2961" customWidth="1"/>
    <col min="5893" max="5893" width="16" style="2961" customWidth="1"/>
    <col min="5894" max="5894" width="17.375" style="2961" customWidth="1"/>
    <col min="5895" max="5895" width="18.25" style="2961" customWidth="1"/>
    <col min="5896" max="6139" width="9" style="2961" customWidth="1"/>
    <col min="6140" max="6140" width="13.375" style="2961" customWidth="1"/>
    <col min="6141" max="6141" width="13.125" style="2961" customWidth="1"/>
    <col min="6142" max="6142" width="10.25" style="2961" customWidth="1"/>
    <col min="6143" max="6143" width="9.5" style="2961" customWidth="1"/>
    <col min="6144" max="6144" width="14.125" style="2961"/>
    <col min="6145" max="6145" width="13.625" style="2961" customWidth="1"/>
    <col min="6146" max="6146" width="19.875" style="2961" customWidth="1"/>
    <col min="6147" max="6147" width="19.75" style="2961" customWidth="1"/>
    <col min="6148" max="6148" width="21.375" style="2961" customWidth="1"/>
    <col min="6149" max="6149" width="16" style="2961" customWidth="1"/>
    <col min="6150" max="6150" width="17.375" style="2961" customWidth="1"/>
    <col min="6151" max="6151" width="18.25" style="2961" customWidth="1"/>
    <col min="6152" max="6395" width="9" style="2961" customWidth="1"/>
    <col min="6396" max="6396" width="13.375" style="2961" customWidth="1"/>
    <col min="6397" max="6397" width="13.125" style="2961" customWidth="1"/>
    <col min="6398" max="6398" width="10.25" style="2961" customWidth="1"/>
    <col min="6399" max="6399" width="9.5" style="2961" customWidth="1"/>
    <col min="6400" max="6400" width="14.125" style="2961"/>
    <col min="6401" max="6401" width="13.625" style="2961" customWidth="1"/>
    <col min="6402" max="6402" width="19.875" style="2961" customWidth="1"/>
    <col min="6403" max="6403" width="19.75" style="2961" customWidth="1"/>
    <col min="6404" max="6404" width="21.375" style="2961" customWidth="1"/>
    <col min="6405" max="6405" width="16" style="2961" customWidth="1"/>
    <col min="6406" max="6406" width="17.375" style="2961" customWidth="1"/>
    <col min="6407" max="6407" width="18.25" style="2961" customWidth="1"/>
    <col min="6408" max="6651" width="9" style="2961" customWidth="1"/>
    <col min="6652" max="6652" width="13.375" style="2961" customWidth="1"/>
    <col min="6653" max="6653" width="13.125" style="2961" customWidth="1"/>
    <col min="6654" max="6654" width="10.25" style="2961" customWidth="1"/>
    <col min="6655" max="6655" width="9.5" style="2961" customWidth="1"/>
    <col min="6656" max="6656" width="14.125" style="2961"/>
    <col min="6657" max="6657" width="13.625" style="2961" customWidth="1"/>
    <col min="6658" max="6658" width="19.875" style="2961" customWidth="1"/>
    <col min="6659" max="6659" width="19.75" style="2961" customWidth="1"/>
    <col min="6660" max="6660" width="21.375" style="2961" customWidth="1"/>
    <col min="6661" max="6661" width="16" style="2961" customWidth="1"/>
    <col min="6662" max="6662" width="17.375" style="2961" customWidth="1"/>
    <col min="6663" max="6663" width="18.25" style="2961" customWidth="1"/>
    <col min="6664" max="6907" width="9" style="2961" customWidth="1"/>
    <col min="6908" max="6908" width="13.375" style="2961" customWidth="1"/>
    <col min="6909" max="6909" width="13.125" style="2961" customWidth="1"/>
    <col min="6910" max="6910" width="10.25" style="2961" customWidth="1"/>
    <col min="6911" max="6911" width="9.5" style="2961" customWidth="1"/>
    <col min="6912" max="6912" width="14.125" style="2961"/>
    <col min="6913" max="6913" width="13.625" style="2961" customWidth="1"/>
    <col min="6914" max="6914" width="19.875" style="2961" customWidth="1"/>
    <col min="6915" max="6915" width="19.75" style="2961" customWidth="1"/>
    <col min="6916" max="6916" width="21.375" style="2961" customWidth="1"/>
    <col min="6917" max="6917" width="16" style="2961" customWidth="1"/>
    <col min="6918" max="6918" width="17.375" style="2961" customWidth="1"/>
    <col min="6919" max="6919" width="18.25" style="2961" customWidth="1"/>
    <col min="6920" max="7163" width="9" style="2961" customWidth="1"/>
    <col min="7164" max="7164" width="13.375" style="2961" customWidth="1"/>
    <col min="7165" max="7165" width="13.125" style="2961" customWidth="1"/>
    <col min="7166" max="7166" width="10.25" style="2961" customWidth="1"/>
    <col min="7167" max="7167" width="9.5" style="2961" customWidth="1"/>
    <col min="7168" max="7168" width="14.125" style="2961"/>
    <col min="7169" max="7169" width="13.625" style="2961" customWidth="1"/>
    <col min="7170" max="7170" width="19.875" style="2961" customWidth="1"/>
    <col min="7171" max="7171" width="19.75" style="2961" customWidth="1"/>
    <col min="7172" max="7172" width="21.375" style="2961" customWidth="1"/>
    <col min="7173" max="7173" width="16" style="2961" customWidth="1"/>
    <col min="7174" max="7174" width="17.375" style="2961" customWidth="1"/>
    <col min="7175" max="7175" width="18.25" style="2961" customWidth="1"/>
    <col min="7176" max="7419" width="9" style="2961" customWidth="1"/>
    <col min="7420" max="7420" width="13.375" style="2961" customWidth="1"/>
    <col min="7421" max="7421" width="13.125" style="2961" customWidth="1"/>
    <col min="7422" max="7422" width="10.25" style="2961" customWidth="1"/>
    <col min="7423" max="7423" width="9.5" style="2961" customWidth="1"/>
    <col min="7424" max="7424" width="14.125" style="2961"/>
    <col min="7425" max="7425" width="13.625" style="2961" customWidth="1"/>
    <col min="7426" max="7426" width="19.875" style="2961" customWidth="1"/>
    <col min="7427" max="7427" width="19.75" style="2961" customWidth="1"/>
    <col min="7428" max="7428" width="21.375" style="2961" customWidth="1"/>
    <col min="7429" max="7429" width="16" style="2961" customWidth="1"/>
    <col min="7430" max="7430" width="17.375" style="2961" customWidth="1"/>
    <col min="7431" max="7431" width="18.25" style="2961" customWidth="1"/>
    <col min="7432" max="7675" width="9" style="2961" customWidth="1"/>
    <col min="7676" max="7676" width="13.375" style="2961" customWidth="1"/>
    <col min="7677" max="7677" width="13.125" style="2961" customWidth="1"/>
    <col min="7678" max="7678" width="10.25" style="2961" customWidth="1"/>
    <col min="7679" max="7679" width="9.5" style="2961" customWidth="1"/>
    <col min="7680" max="7680" width="14.125" style="2961"/>
    <col min="7681" max="7681" width="13.625" style="2961" customWidth="1"/>
    <col min="7682" max="7682" width="19.875" style="2961" customWidth="1"/>
    <col min="7683" max="7683" width="19.75" style="2961" customWidth="1"/>
    <col min="7684" max="7684" width="21.375" style="2961" customWidth="1"/>
    <col min="7685" max="7685" width="16" style="2961" customWidth="1"/>
    <col min="7686" max="7686" width="17.375" style="2961" customWidth="1"/>
    <col min="7687" max="7687" width="18.25" style="2961" customWidth="1"/>
    <col min="7688" max="7931" width="9" style="2961" customWidth="1"/>
    <col min="7932" max="7932" width="13.375" style="2961" customWidth="1"/>
    <col min="7933" max="7933" width="13.125" style="2961" customWidth="1"/>
    <col min="7934" max="7934" width="10.25" style="2961" customWidth="1"/>
    <col min="7935" max="7935" width="9.5" style="2961" customWidth="1"/>
    <col min="7936" max="7936" width="14.125" style="2961"/>
    <col min="7937" max="7937" width="13.625" style="2961" customWidth="1"/>
    <col min="7938" max="7938" width="19.875" style="2961" customWidth="1"/>
    <col min="7939" max="7939" width="19.75" style="2961" customWidth="1"/>
    <col min="7940" max="7940" width="21.375" style="2961" customWidth="1"/>
    <col min="7941" max="7941" width="16" style="2961" customWidth="1"/>
    <col min="7942" max="7942" width="17.375" style="2961" customWidth="1"/>
    <col min="7943" max="7943" width="18.25" style="2961" customWidth="1"/>
    <col min="7944" max="8187" width="9" style="2961" customWidth="1"/>
    <col min="8188" max="8188" width="13.375" style="2961" customWidth="1"/>
    <col min="8189" max="8189" width="13.125" style="2961" customWidth="1"/>
    <col min="8190" max="8190" width="10.25" style="2961" customWidth="1"/>
    <col min="8191" max="8191" width="9.5" style="2961" customWidth="1"/>
    <col min="8192" max="8192" width="14.125" style="2961"/>
    <col min="8193" max="8193" width="13.625" style="2961" customWidth="1"/>
    <col min="8194" max="8194" width="19.875" style="2961" customWidth="1"/>
    <col min="8195" max="8195" width="19.75" style="2961" customWidth="1"/>
    <col min="8196" max="8196" width="21.375" style="2961" customWidth="1"/>
    <col min="8197" max="8197" width="16" style="2961" customWidth="1"/>
    <col min="8198" max="8198" width="17.375" style="2961" customWidth="1"/>
    <col min="8199" max="8199" width="18.25" style="2961" customWidth="1"/>
    <col min="8200" max="8443" width="9" style="2961" customWidth="1"/>
    <col min="8444" max="8444" width="13.375" style="2961" customWidth="1"/>
    <col min="8445" max="8445" width="13.125" style="2961" customWidth="1"/>
    <col min="8446" max="8446" width="10.25" style="2961" customWidth="1"/>
    <col min="8447" max="8447" width="9.5" style="2961" customWidth="1"/>
    <col min="8448" max="8448" width="14.125" style="2961"/>
    <col min="8449" max="8449" width="13.625" style="2961" customWidth="1"/>
    <col min="8450" max="8450" width="19.875" style="2961" customWidth="1"/>
    <col min="8451" max="8451" width="19.75" style="2961" customWidth="1"/>
    <col min="8452" max="8452" width="21.375" style="2961" customWidth="1"/>
    <col min="8453" max="8453" width="16" style="2961" customWidth="1"/>
    <col min="8454" max="8454" width="17.375" style="2961" customWidth="1"/>
    <col min="8455" max="8455" width="18.25" style="2961" customWidth="1"/>
    <col min="8456" max="8699" width="9" style="2961" customWidth="1"/>
    <col min="8700" max="8700" width="13.375" style="2961" customWidth="1"/>
    <col min="8701" max="8701" width="13.125" style="2961" customWidth="1"/>
    <col min="8702" max="8702" width="10.25" style="2961" customWidth="1"/>
    <col min="8703" max="8703" width="9.5" style="2961" customWidth="1"/>
    <col min="8704" max="8704" width="14.125" style="2961"/>
    <col min="8705" max="8705" width="13.625" style="2961" customWidth="1"/>
    <col min="8706" max="8706" width="19.875" style="2961" customWidth="1"/>
    <col min="8707" max="8707" width="19.75" style="2961" customWidth="1"/>
    <col min="8708" max="8708" width="21.375" style="2961" customWidth="1"/>
    <col min="8709" max="8709" width="16" style="2961" customWidth="1"/>
    <col min="8710" max="8710" width="17.375" style="2961" customWidth="1"/>
    <col min="8711" max="8711" width="18.25" style="2961" customWidth="1"/>
    <col min="8712" max="8955" width="9" style="2961" customWidth="1"/>
    <col min="8956" max="8956" width="13.375" style="2961" customWidth="1"/>
    <col min="8957" max="8957" width="13.125" style="2961" customWidth="1"/>
    <col min="8958" max="8958" width="10.25" style="2961" customWidth="1"/>
    <col min="8959" max="8959" width="9.5" style="2961" customWidth="1"/>
    <col min="8960" max="8960" width="14.125" style="2961"/>
    <col min="8961" max="8961" width="13.625" style="2961" customWidth="1"/>
    <col min="8962" max="8962" width="19.875" style="2961" customWidth="1"/>
    <col min="8963" max="8963" width="19.75" style="2961" customWidth="1"/>
    <col min="8964" max="8964" width="21.375" style="2961" customWidth="1"/>
    <col min="8965" max="8965" width="16" style="2961" customWidth="1"/>
    <col min="8966" max="8966" width="17.375" style="2961" customWidth="1"/>
    <col min="8967" max="8967" width="18.25" style="2961" customWidth="1"/>
    <col min="8968" max="9211" width="9" style="2961" customWidth="1"/>
    <col min="9212" max="9212" width="13.375" style="2961" customWidth="1"/>
    <col min="9213" max="9213" width="13.125" style="2961" customWidth="1"/>
    <col min="9214" max="9214" width="10.25" style="2961" customWidth="1"/>
    <col min="9215" max="9215" width="9.5" style="2961" customWidth="1"/>
    <col min="9216" max="9216" width="14.125" style="2961"/>
    <col min="9217" max="9217" width="13.625" style="2961" customWidth="1"/>
    <col min="9218" max="9218" width="19.875" style="2961" customWidth="1"/>
    <col min="9219" max="9219" width="19.75" style="2961" customWidth="1"/>
    <col min="9220" max="9220" width="21.375" style="2961" customWidth="1"/>
    <col min="9221" max="9221" width="16" style="2961" customWidth="1"/>
    <col min="9222" max="9222" width="17.375" style="2961" customWidth="1"/>
    <col min="9223" max="9223" width="18.25" style="2961" customWidth="1"/>
    <col min="9224" max="9467" width="9" style="2961" customWidth="1"/>
    <col min="9468" max="9468" width="13.375" style="2961" customWidth="1"/>
    <col min="9469" max="9469" width="13.125" style="2961" customWidth="1"/>
    <col min="9470" max="9470" width="10.25" style="2961" customWidth="1"/>
    <col min="9471" max="9471" width="9.5" style="2961" customWidth="1"/>
    <col min="9472" max="9472" width="14.125" style="2961"/>
    <col min="9473" max="9473" width="13.625" style="2961" customWidth="1"/>
    <col min="9474" max="9474" width="19.875" style="2961" customWidth="1"/>
    <col min="9475" max="9475" width="19.75" style="2961" customWidth="1"/>
    <col min="9476" max="9476" width="21.375" style="2961" customWidth="1"/>
    <col min="9477" max="9477" width="16" style="2961" customWidth="1"/>
    <col min="9478" max="9478" width="17.375" style="2961" customWidth="1"/>
    <col min="9479" max="9479" width="18.25" style="2961" customWidth="1"/>
    <col min="9480" max="9723" width="9" style="2961" customWidth="1"/>
    <col min="9724" max="9724" width="13.375" style="2961" customWidth="1"/>
    <col min="9725" max="9725" width="13.125" style="2961" customWidth="1"/>
    <col min="9726" max="9726" width="10.25" style="2961" customWidth="1"/>
    <col min="9727" max="9727" width="9.5" style="2961" customWidth="1"/>
    <col min="9728" max="9728" width="14.125" style="2961"/>
    <col min="9729" max="9729" width="13.625" style="2961" customWidth="1"/>
    <col min="9730" max="9730" width="19.875" style="2961" customWidth="1"/>
    <col min="9731" max="9731" width="19.75" style="2961" customWidth="1"/>
    <col min="9732" max="9732" width="21.375" style="2961" customWidth="1"/>
    <col min="9733" max="9733" width="16" style="2961" customWidth="1"/>
    <col min="9734" max="9734" width="17.375" style="2961" customWidth="1"/>
    <col min="9735" max="9735" width="18.25" style="2961" customWidth="1"/>
    <col min="9736" max="9979" width="9" style="2961" customWidth="1"/>
    <col min="9980" max="9980" width="13.375" style="2961" customWidth="1"/>
    <col min="9981" max="9981" width="13.125" style="2961" customWidth="1"/>
    <col min="9982" max="9982" width="10.25" style="2961" customWidth="1"/>
    <col min="9983" max="9983" width="9.5" style="2961" customWidth="1"/>
    <col min="9984" max="9984" width="14.125" style="2961"/>
    <col min="9985" max="9985" width="13.625" style="2961" customWidth="1"/>
    <col min="9986" max="9986" width="19.875" style="2961" customWidth="1"/>
    <col min="9987" max="9987" width="19.75" style="2961" customWidth="1"/>
    <col min="9988" max="9988" width="21.375" style="2961" customWidth="1"/>
    <col min="9989" max="9989" width="16" style="2961" customWidth="1"/>
    <col min="9990" max="9990" width="17.375" style="2961" customWidth="1"/>
    <col min="9991" max="9991" width="18.25" style="2961" customWidth="1"/>
    <col min="9992" max="10235" width="9" style="2961" customWidth="1"/>
    <col min="10236" max="10236" width="13.375" style="2961" customWidth="1"/>
    <col min="10237" max="10237" width="13.125" style="2961" customWidth="1"/>
    <col min="10238" max="10238" width="10.25" style="2961" customWidth="1"/>
    <col min="10239" max="10239" width="9.5" style="2961" customWidth="1"/>
    <col min="10240" max="10240" width="14.125" style="2961"/>
    <col min="10241" max="10241" width="13.625" style="2961" customWidth="1"/>
    <col min="10242" max="10242" width="19.875" style="2961" customWidth="1"/>
    <col min="10243" max="10243" width="19.75" style="2961" customWidth="1"/>
    <col min="10244" max="10244" width="21.375" style="2961" customWidth="1"/>
    <col min="10245" max="10245" width="16" style="2961" customWidth="1"/>
    <col min="10246" max="10246" width="17.375" style="2961" customWidth="1"/>
    <col min="10247" max="10247" width="18.25" style="2961" customWidth="1"/>
    <col min="10248" max="10491" width="9" style="2961" customWidth="1"/>
    <col min="10492" max="10492" width="13.375" style="2961" customWidth="1"/>
    <col min="10493" max="10493" width="13.125" style="2961" customWidth="1"/>
    <col min="10494" max="10494" width="10.25" style="2961" customWidth="1"/>
    <col min="10495" max="10495" width="9.5" style="2961" customWidth="1"/>
    <col min="10496" max="10496" width="14.125" style="2961"/>
    <col min="10497" max="10497" width="13.625" style="2961" customWidth="1"/>
    <col min="10498" max="10498" width="19.875" style="2961" customWidth="1"/>
    <col min="10499" max="10499" width="19.75" style="2961" customWidth="1"/>
    <col min="10500" max="10500" width="21.375" style="2961" customWidth="1"/>
    <col min="10501" max="10501" width="16" style="2961" customWidth="1"/>
    <col min="10502" max="10502" width="17.375" style="2961" customWidth="1"/>
    <col min="10503" max="10503" width="18.25" style="2961" customWidth="1"/>
    <col min="10504" max="10747" width="9" style="2961" customWidth="1"/>
    <col min="10748" max="10748" width="13.375" style="2961" customWidth="1"/>
    <col min="10749" max="10749" width="13.125" style="2961" customWidth="1"/>
    <col min="10750" max="10750" width="10.25" style="2961" customWidth="1"/>
    <col min="10751" max="10751" width="9.5" style="2961" customWidth="1"/>
    <col min="10752" max="10752" width="14.125" style="2961"/>
    <col min="10753" max="10753" width="13.625" style="2961" customWidth="1"/>
    <col min="10754" max="10754" width="19.875" style="2961" customWidth="1"/>
    <col min="10755" max="10755" width="19.75" style="2961" customWidth="1"/>
    <col min="10756" max="10756" width="21.375" style="2961" customWidth="1"/>
    <col min="10757" max="10757" width="16" style="2961" customWidth="1"/>
    <col min="10758" max="10758" width="17.375" style="2961" customWidth="1"/>
    <col min="10759" max="10759" width="18.25" style="2961" customWidth="1"/>
    <col min="10760" max="11003" width="9" style="2961" customWidth="1"/>
    <col min="11004" max="11004" width="13.375" style="2961" customWidth="1"/>
    <col min="11005" max="11005" width="13.125" style="2961" customWidth="1"/>
    <col min="11006" max="11006" width="10.25" style="2961" customWidth="1"/>
    <col min="11007" max="11007" width="9.5" style="2961" customWidth="1"/>
    <col min="11008" max="11008" width="14.125" style="2961"/>
    <col min="11009" max="11009" width="13.625" style="2961" customWidth="1"/>
    <col min="11010" max="11010" width="19.875" style="2961" customWidth="1"/>
    <col min="11011" max="11011" width="19.75" style="2961" customWidth="1"/>
    <col min="11012" max="11012" width="21.375" style="2961" customWidth="1"/>
    <col min="11013" max="11013" width="16" style="2961" customWidth="1"/>
    <col min="11014" max="11014" width="17.375" style="2961" customWidth="1"/>
    <col min="11015" max="11015" width="18.25" style="2961" customWidth="1"/>
    <col min="11016" max="11259" width="9" style="2961" customWidth="1"/>
    <col min="11260" max="11260" width="13.375" style="2961" customWidth="1"/>
    <col min="11261" max="11261" width="13.125" style="2961" customWidth="1"/>
    <col min="11262" max="11262" width="10.25" style="2961" customWidth="1"/>
    <col min="11263" max="11263" width="9.5" style="2961" customWidth="1"/>
    <col min="11264" max="11264" width="14.125" style="2961"/>
    <col min="11265" max="11265" width="13.625" style="2961" customWidth="1"/>
    <col min="11266" max="11266" width="19.875" style="2961" customWidth="1"/>
    <col min="11267" max="11267" width="19.75" style="2961" customWidth="1"/>
    <col min="11268" max="11268" width="21.375" style="2961" customWidth="1"/>
    <col min="11269" max="11269" width="16" style="2961" customWidth="1"/>
    <col min="11270" max="11270" width="17.375" style="2961" customWidth="1"/>
    <col min="11271" max="11271" width="18.25" style="2961" customWidth="1"/>
    <col min="11272" max="11515" width="9" style="2961" customWidth="1"/>
    <col min="11516" max="11516" width="13.375" style="2961" customWidth="1"/>
    <col min="11517" max="11517" width="13.125" style="2961" customWidth="1"/>
    <col min="11518" max="11518" width="10.25" style="2961" customWidth="1"/>
    <col min="11519" max="11519" width="9.5" style="2961" customWidth="1"/>
    <col min="11520" max="11520" width="14.125" style="2961"/>
    <col min="11521" max="11521" width="13.625" style="2961" customWidth="1"/>
    <col min="11522" max="11522" width="19.875" style="2961" customWidth="1"/>
    <col min="11523" max="11523" width="19.75" style="2961" customWidth="1"/>
    <col min="11524" max="11524" width="21.375" style="2961" customWidth="1"/>
    <col min="11525" max="11525" width="16" style="2961" customWidth="1"/>
    <col min="11526" max="11526" width="17.375" style="2961" customWidth="1"/>
    <col min="11527" max="11527" width="18.25" style="2961" customWidth="1"/>
    <col min="11528" max="11771" width="9" style="2961" customWidth="1"/>
    <col min="11772" max="11772" width="13.375" style="2961" customWidth="1"/>
    <col min="11773" max="11773" width="13.125" style="2961" customWidth="1"/>
    <col min="11774" max="11774" width="10.25" style="2961" customWidth="1"/>
    <col min="11775" max="11775" width="9.5" style="2961" customWidth="1"/>
    <col min="11776" max="11776" width="14.125" style="2961"/>
    <col min="11777" max="11777" width="13.625" style="2961" customWidth="1"/>
    <col min="11778" max="11778" width="19.875" style="2961" customWidth="1"/>
    <col min="11779" max="11779" width="19.75" style="2961" customWidth="1"/>
    <col min="11780" max="11780" width="21.375" style="2961" customWidth="1"/>
    <col min="11781" max="11781" width="16" style="2961" customWidth="1"/>
    <col min="11782" max="11782" width="17.375" style="2961" customWidth="1"/>
    <col min="11783" max="11783" width="18.25" style="2961" customWidth="1"/>
    <col min="11784" max="12027" width="9" style="2961" customWidth="1"/>
    <col min="12028" max="12028" width="13.375" style="2961" customWidth="1"/>
    <col min="12029" max="12029" width="13.125" style="2961" customWidth="1"/>
    <col min="12030" max="12030" width="10.25" style="2961" customWidth="1"/>
    <col min="12031" max="12031" width="9.5" style="2961" customWidth="1"/>
    <col min="12032" max="12032" width="14.125" style="2961"/>
    <col min="12033" max="12033" width="13.625" style="2961" customWidth="1"/>
    <col min="12034" max="12034" width="19.875" style="2961" customWidth="1"/>
    <col min="12035" max="12035" width="19.75" style="2961" customWidth="1"/>
    <col min="12036" max="12036" width="21.375" style="2961" customWidth="1"/>
    <col min="12037" max="12037" width="16" style="2961" customWidth="1"/>
    <col min="12038" max="12038" width="17.375" style="2961" customWidth="1"/>
    <col min="12039" max="12039" width="18.25" style="2961" customWidth="1"/>
    <col min="12040" max="12283" width="9" style="2961" customWidth="1"/>
    <col min="12284" max="12284" width="13.375" style="2961" customWidth="1"/>
    <col min="12285" max="12285" width="13.125" style="2961" customWidth="1"/>
    <col min="12286" max="12286" width="10.25" style="2961" customWidth="1"/>
    <col min="12287" max="12287" width="9.5" style="2961" customWidth="1"/>
    <col min="12288" max="12288" width="14.125" style="2961"/>
    <col min="12289" max="12289" width="13.625" style="2961" customWidth="1"/>
    <col min="12290" max="12290" width="19.875" style="2961" customWidth="1"/>
    <col min="12291" max="12291" width="19.75" style="2961" customWidth="1"/>
    <col min="12292" max="12292" width="21.375" style="2961" customWidth="1"/>
    <col min="12293" max="12293" width="16" style="2961" customWidth="1"/>
    <col min="12294" max="12294" width="17.375" style="2961" customWidth="1"/>
    <col min="12295" max="12295" width="18.25" style="2961" customWidth="1"/>
    <col min="12296" max="12539" width="9" style="2961" customWidth="1"/>
    <col min="12540" max="12540" width="13.375" style="2961" customWidth="1"/>
    <col min="12541" max="12541" width="13.125" style="2961" customWidth="1"/>
    <col min="12542" max="12542" width="10.25" style="2961" customWidth="1"/>
    <col min="12543" max="12543" width="9.5" style="2961" customWidth="1"/>
    <col min="12544" max="12544" width="14.125" style="2961"/>
    <col min="12545" max="12545" width="13.625" style="2961" customWidth="1"/>
    <col min="12546" max="12546" width="19.875" style="2961" customWidth="1"/>
    <col min="12547" max="12547" width="19.75" style="2961" customWidth="1"/>
    <col min="12548" max="12548" width="21.375" style="2961" customWidth="1"/>
    <col min="12549" max="12549" width="16" style="2961" customWidth="1"/>
    <col min="12550" max="12550" width="17.375" style="2961" customWidth="1"/>
    <col min="12551" max="12551" width="18.25" style="2961" customWidth="1"/>
    <col min="12552" max="12795" width="9" style="2961" customWidth="1"/>
    <col min="12796" max="12796" width="13.375" style="2961" customWidth="1"/>
    <col min="12797" max="12797" width="13.125" style="2961" customWidth="1"/>
    <col min="12798" max="12798" width="10.25" style="2961" customWidth="1"/>
    <col min="12799" max="12799" width="9.5" style="2961" customWidth="1"/>
    <col min="12800" max="12800" width="14.125" style="2961"/>
    <col min="12801" max="12801" width="13.625" style="2961" customWidth="1"/>
    <col min="12802" max="12802" width="19.875" style="2961" customWidth="1"/>
    <col min="12803" max="12803" width="19.75" style="2961" customWidth="1"/>
    <col min="12804" max="12804" width="21.375" style="2961" customWidth="1"/>
    <col min="12805" max="12805" width="16" style="2961" customWidth="1"/>
    <col min="12806" max="12806" width="17.375" style="2961" customWidth="1"/>
    <col min="12807" max="12807" width="18.25" style="2961" customWidth="1"/>
    <col min="12808" max="13051" width="9" style="2961" customWidth="1"/>
    <col min="13052" max="13052" width="13.375" style="2961" customWidth="1"/>
    <col min="13053" max="13053" width="13.125" style="2961" customWidth="1"/>
    <col min="13054" max="13054" width="10.25" style="2961" customWidth="1"/>
    <col min="13055" max="13055" width="9.5" style="2961" customWidth="1"/>
    <col min="13056" max="13056" width="14.125" style="2961"/>
    <col min="13057" max="13057" width="13.625" style="2961" customWidth="1"/>
    <col min="13058" max="13058" width="19.875" style="2961" customWidth="1"/>
    <col min="13059" max="13059" width="19.75" style="2961" customWidth="1"/>
    <col min="13060" max="13060" width="21.375" style="2961" customWidth="1"/>
    <col min="13061" max="13061" width="16" style="2961" customWidth="1"/>
    <col min="13062" max="13062" width="17.375" style="2961" customWidth="1"/>
    <col min="13063" max="13063" width="18.25" style="2961" customWidth="1"/>
    <col min="13064" max="13307" width="9" style="2961" customWidth="1"/>
    <col min="13308" max="13308" width="13.375" style="2961" customWidth="1"/>
    <col min="13309" max="13309" width="13.125" style="2961" customWidth="1"/>
    <col min="13310" max="13310" width="10.25" style="2961" customWidth="1"/>
    <col min="13311" max="13311" width="9.5" style="2961" customWidth="1"/>
    <col min="13312" max="13312" width="14.125" style="2961"/>
    <col min="13313" max="13313" width="13.625" style="2961" customWidth="1"/>
    <col min="13314" max="13314" width="19.875" style="2961" customWidth="1"/>
    <col min="13315" max="13315" width="19.75" style="2961" customWidth="1"/>
    <col min="13316" max="13316" width="21.375" style="2961" customWidth="1"/>
    <col min="13317" max="13317" width="16" style="2961" customWidth="1"/>
    <col min="13318" max="13318" width="17.375" style="2961" customWidth="1"/>
    <col min="13319" max="13319" width="18.25" style="2961" customWidth="1"/>
    <col min="13320" max="13563" width="9" style="2961" customWidth="1"/>
    <col min="13564" max="13564" width="13.375" style="2961" customWidth="1"/>
    <col min="13565" max="13565" width="13.125" style="2961" customWidth="1"/>
    <col min="13566" max="13566" width="10.25" style="2961" customWidth="1"/>
    <col min="13567" max="13567" width="9.5" style="2961" customWidth="1"/>
    <col min="13568" max="13568" width="14.125" style="2961"/>
    <col min="13569" max="13569" width="13.625" style="2961" customWidth="1"/>
    <col min="13570" max="13570" width="19.875" style="2961" customWidth="1"/>
    <col min="13571" max="13571" width="19.75" style="2961" customWidth="1"/>
    <col min="13572" max="13572" width="21.375" style="2961" customWidth="1"/>
    <col min="13573" max="13573" width="16" style="2961" customWidth="1"/>
    <col min="13574" max="13574" width="17.375" style="2961" customWidth="1"/>
    <col min="13575" max="13575" width="18.25" style="2961" customWidth="1"/>
    <col min="13576" max="13819" width="9" style="2961" customWidth="1"/>
    <col min="13820" max="13820" width="13.375" style="2961" customWidth="1"/>
    <col min="13821" max="13821" width="13.125" style="2961" customWidth="1"/>
    <col min="13822" max="13822" width="10.25" style="2961" customWidth="1"/>
    <col min="13823" max="13823" width="9.5" style="2961" customWidth="1"/>
    <col min="13824" max="13824" width="14.125" style="2961"/>
    <col min="13825" max="13825" width="13.625" style="2961" customWidth="1"/>
    <col min="13826" max="13826" width="19.875" style="2961" customWidth="1"/>
    <col min="13827" max="13827" width="19.75" style="2961" customWidth="1"/>
    <col min="13828" max="13828" width="21.375" style="2961" customWidth="1"/>
    <col min="13829" max="13829" width="16" style="2961" customWidth="1"/>
    <col min="13830" max="13830" width="17.375" style="2961" customWidth="1"/>
    <col min="13831" max="13831" width="18.25" style="2961" customWidth="1"/>
    <col min="13832" max="14075" width="9" style="2961" customWidth="1"/>
    <col min="14076" max="14076" width="13.375" style="2961" customWidth="1"/>
    <col min="14077" max="14077" width="13.125" style="2961" customWidth="1"/>
    <col min="14078" max="14078" width="10.25" style="2961" customWidth="1"/>
    <col min="14079" max="14079" width="9.5" style="2961" customWidth="1"/>
    <col min="14080" max="14080" width="14.125" style="2961"/>
    <col min="14081" max="14081" width="13.625" style="2961" customWidth="1"/>
    <col min="14082" max="14082" width="19.875" style="2961" customWidth="1"/>
    <col min="14083" max="14083" width="19.75" style="2961" customWidth="1"/>
    <col min="14084" max="14084" width="21.375" style="2961" customWidth="1"/>
    <col min="14085" max="14085" width="16" style="2961" customWidth="1"/>
    <col min="14086" max="14086" width="17.375" style="2961" customWidth="1"/>
    <col min="14087" max="14087" width="18.25" style="2961" customWidth="1"/>
    <col min="14088" max="14331" width="9" style="2961" customWidth="1"/>
    <col min="14332" max="14332" width="13.375" style="2961" customWidth="1"/>
    <col min="14333" max="14333" width="13.125" style="2961" customWidth="1"/>
    <col min="14334" max="14334" width="10.25" style="2961" customWidth="1"/>
    <col min="14335" max="14335" width="9.5" style="2961" customWidth="1"/>
    <col min="14336" max="14336" width="14.125" style="2961"/>
    <col min="14337" max="14337" width="13.625" style="2961" customWidth="1"/>
    <col min="14338" max="14338" width="19.875" style="2961" customWidth="1"/>
    <col min="14339" max="14339" width="19.75" style="2961" customWidth="1"/>
    <col min="14340" max="14340" width="21.375" style="2961" customWidth="1"/>
    <col min="14341" max="14341" width="16" style="2961" customWidth="1"/>
    <col min="14342" max="14342" width="17.375" style="2961" customWidth="1"/>
    <col min="14343" max="14343" width="18.25" style="2961" customWidth="1"/>
    <col min="14344" max="14587" width="9" style="2961" customWidth="1"/>
    <col min="14588" max="14588" width="13.375" style="2961" customWidth="1"/>
    <col min="14589" max="14589" width="13.125" style="2961" customWidth="1"/>
    <col min="14590" max="14590" width="10.25" style="2961" customWidth="1"/>
    <col min="14591" max="14591" width="9.5" style="2961" customWidth="1"/>
    <col min="14592" max="14592" width="14.125" style="2961"/>
    <col min="14593" max="14593" width="13.625" style="2961" customWidth="1"/>
    <col min="14594" max="14594" width="19.875" style="2961" customWidth="1"/>
    <col min="14595" max="14595" width="19.75" style="2961" customWidth="1"/>
    <col min="14596" max="14596" width="21.375" style="2961" customWidth="1"/>
    <col min="14597" max="14597" width="16" style="2961" customWidth="1"/>
    <col min="14598" max="14598" width="17.375" style="2961" customWidth="1"/>
    <col min="14599" max="14599" width="18.25" style="2961" customWidth="1"/>
    <col min="14600" max="14843" width="9" style="2961" customWidth="1"/>
    <col min="14844" max="14844" width="13.375" style="2961" customWidth="1"/>
    <col min="14845" max="14845" width="13.125" style="2961" customWidth="1"/>
    <col min="14846" max="14846" width="10.25" style="2961" customWidth="1"/>
    <col min="14847" max="14847" width="9.5" style="2961" customWidth="1"/>
    <col min="14848" max="14848" width="14.125" style="2961"/>
    <col min="14849" max="14849" width="13.625" style="2961" customWidth="1"/>
    <col min="14850" max="14850" width="19.875" style="2961" customWidth="1"/>
    <col min="14851" max="14851" width="19.75" style="2961" customWidth="1"/>
    <col min="14852" max="14852" width="21.375" style="2961" customWidth="1"/>
    <col min="14853" max="14853" width="16" style="2961" customWidth="1"/>
    <col min="14854" max="14854" width="17.375" style="2961" customWidth="1"/>
    <col min="14855" max="14855" width="18.25" style="2961" customWidth="1"/>
    <col min="14856" max="15099" width="9" style="2961" customWidth="1"/>
    <col min="15100" max="15100" width="13.375" style="2961" customWidth="1"/>
    <col min="15101" max="15101" width="13.125" style="2961" customWidth="1"/>
    <col min="15102" max="15102" width="10.25" style="2961" customWidth="1"/>
    <col min="15103" max="15103" width="9.5" style="2961" customWidth="1"/>
    <col min="15104" max="15104" width="14.125" style="2961"/>
    <col min="15105" max="15105" width="13.625" style="2961" customWidth="1"/>
    <col min="15106" max="15106" width="19.875" style="2961" customWidth="1"/>
    <col min="15107" max="15107" width="19.75" style="2961" customWidth="1"/>
    <col min="15108" max="15108" width="21.375" style="2961" customWidth="1"/>
    <col min="15109" max="15109" width="16" style="2961" customWidth="1"/>
    <col min="15110" max="15110" width="17.375" style="2961" customWidth="1"/>
    <col min="15111" max="15111" width="18.25" style="2961" customWidth="1"/>
    <col min="15112" max="15355" width="9" style="2961" customWidth="1"/>
    <col min="15356" max="15356" width="13.375" style="2961" customWidth="1"/>
    <col min="15357" max="15357" width="13.125" style="2961" customWidth="1"/>
    <col min="15358" max="15358" width="10.25" style="2961" customWidth="1"/>
    <col min="15359" max="15359" width="9.5" style="2961" customWidth="1"/>
    <col min="15360" max="15360" width="14.125" style="2961"/>
    <col min="15361" max="15361" width="13.625" style="2961" customWidth="1"/>
    <col min="15362" max="15362" width="19.875" style="2961" customWidth="1"/>
    <col min="15363" max="15363" width="19.75" style="2961" customWidth="1"/>
    <col min="15364" max="15364" width="21.375" style="2961" customWidth="1"/>
    <col min="15365" max="15365" width="16" style="2961" customWidth="1"/>
    <col min="15366" max="15366" width="17.375" style="2961" customWidth="1"/>
    <col min="15367" max="15367" width="18.25" style="2961" customWidth="1"/>
    <col min="15368" max="15611" width="9" style="2961" customWidth="1"/>
    <col min="15612" max="15612" width="13.375" style="2961" customWidth="1"/>
    <col min="15613" max="15613" width="13.125" style="2961" customWidth="1"/>
    <col min="15614" max="15614" width="10.25" style="2961" customWidth="1"/>
    <col min="15615" max="15615" width="9.5" style="2961" customWidth="1"/>
    <col min="15616" max="15616" width="14.125" style="2961"/>
    <col min="15617" max="15617" width="13.625" style="2961" customWidth="1"/>
    <col min="15618" max="15618" width="19.875" style="2961" customWidth="1"/>
    <col min="15619" max="15619" width="19.75" style="2961" customWidth="1"/>
    <col min="15620" max="15620" width="21.375" style="2961" customWidth="1"/>
    <col min="15621" max="15621" width="16" style="2961" customWidth="1"/>
    <col min="15622" max="15622" width="17.375" style="2961" customWidth="1"/>
    <col min="15623" max="15623" width="18.25" style="2961" customWidth="1"/>
    <col min="15624" max="15867" width="9" style="2961" customWidth="1"/>
    <col min="15868" max="15868" width="13.375" style="2961" customWidth="1"/>
    <col min="15869" max="15869" width="13.125" style="2961" customWidth="1"/>
    <col min="15870" max="15870" width="10.25" style="2961" customWidth="1"/>
    <col min="15871" max="15871" width="9.5" style="2961" customWidth="1"/>
    <col min="15872" max="15872" width="14.125" style="2961"/>
    <col min="15873" max="15873" width="13.625" style="2961" customWidth="1"/>
    <col min="15874" max="15874" width="19.875" style="2961" customWidth="1"/>
    <col min="15875" max="15875" width="19.75" style="2961" customWidth="1"/>
    <col min="15876" max="15876" width="21.375" style="2961" customWidth="1"/>
    <col min="15877" max="15877" width="16" style="2961" customWidth="1"/>
    <col min="15878" max="15878" width="17.375" style="2961" customWidth="1"/>
    <col min="15879" max="15879" width="18.25" style="2961" customWidth="1"/>
    <col min="15880" max="16123" width="9" style="2961" customWidth="1"/>
    <col min="16124" max="16124" width="13.375" style="2961" customWidth="1"/>
    <col min="16125" max="16125" width="13.125" style="2961" customWidth="1"/>
    <col min="16126" max="16126" width="10.25" style="2961" customWidth="1"/>
    <col min="16127" max="16127" width="9.5" style="2961" customWidth="1"/>
    <col min="16128" max="16128" width="14.125" style="2961"/>
    <col min="16129" max="16129" width="13.625" style="2961" customWidth="1"/>
    <col min="16130" max="16130" width="19.875" style="2961" customWidth="1"/>
    <col min="16131" max="16131" width="19.75" style="2961" customWidth="1"/>
    <col min="16132" max="16132" width="21.375" style="2961" customWidth="1"/>
    <col min="16133" max="16133" width="16" style="2961" customWidth="1"/>
    <col min="16134" max="16134" width="17.375" style="2961" customWidth="1"/>
    <col min="16135" max="16135" width="18.25" style="2961" customWidth="1"/>
    <col min="16136" max="16379" width="9" style="2961" customWidth="1"/>
    <col min="16380" max="16380" width="13.375" style="2961" customWidth="1"/>
    <col min="16381" max="16381" width="13.125" style="2961" customWidth="1"/>
    <col min="16382" max="16382" width="10.25" style="2961" customWidth="1"/>
    <col min="16383" max="16383" width="9.5" style="2961" customWidth="1"/>
    <col min="16384" max="16384" width="14.125" style="2961"/>
  </cols>
  <sheetData>
    <row r="1" spans="1:256">
      <c r="A1" s="3336"/>
      <c r="B1" s="3336"/>
      <c r="C1" s="3336"/>
      <c r="D1" s="3336"/>
      <c r="E1" s="3336"/>
      <c r="F1" s="3336"/>
      <c r="G1" s="3337"/>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2960"/>
      <c r="AS1" s="2960"/>
      <c r="AT1" s="2960"/>
      <c r="AU1" s="2960"/>
      <c r="AV1" s="2960"/>
      <c r="AW1" s="2960"/>
      <c r="AX1" s="2960"/>
      <c r="AY1" s="2960"/>
      <c r="AZ1" s="2960"/>
      <c r="BA1" s="2960"/>
      <c r="BB1" s="2960"/>
      <c r="BC1" s="2960"/>
      <c r="BD1" s="2960"/>
      <c r="BE1" s="2960"/>
      <c r="BF1" s="2960"/>
      <c r="BG1" s="2960"/>
      <c r="BH1" s="2960"/>
      <c r="BI1" s="2960"/>
      <c r="BJ1" s="2960"/>
      <c r="BK1" s="2960"/>
      <c r="BL1" s="2960"/>
      <c r="BM1" s="2960"/>
      <c r="BN1" s="2960"/>
      <c r="BO1" s="2960"/>
      <c r="BP1" s="2960"/>
      <c r="BQ1" s="2960"/>
      <c r="BR1" s="2960"/>
      <c r="BS1" s="2960"/>
      <c r="BT1" s="2960"/>
      <c r="BU1" s="2960"/>
      <c r="BV1" s="2960"/>
      <c r="BW1" s="2960"/>
      <c r="BX1" s="2960"/>
      <c r="BY1" s="2960"/>
      <c r="BZ1" s="2960"/>
      <c r="CA1" s="2960"/>
      <c r="CB1" s="2960"/>
      <c r="CC1" s="2960"/>
      <c r="CD1" s="2960"/>
      <c r="CE1" s="2960"/>
      <c r="CF1" s="2960"/>
      <c r="CG1" s="2960"/>
      <c r="CH1" s="2960"/>
      <c r="CI1" s="2960"/>
      <c r="CJ1" s="2960"/>
      <c r="CK1" s="2960"/>
      <c r="CL1" s="2960"/>
      <c r="CM1" s="2960"/>
      <c r="CN1" s="2960"/>
      <c r="CO1" s="2960"/>
      <c r="CP1" s="2960"/>
      <c r="CQ1" s="2960"/>
      <c r="CR1" s="2960"/>
      <c r="CS1" s="2960"/>
      <c r="CT1" s="2960"/>
      <c r="CU1" s="2960"/>
      <c r="CV1" s="2960"/>
      <c r="CW1" s="2960"/>
      <c r="CX1" s="2960"/>
      <c r="CY1" s="2960"/>
      <c r="CZ1" s="2960"/>
      <c r="DA1" s="2960"/>
      <c r="DB1" s="2960"/>
      <c r="DC1" s="2960"/>
      <c r="DD1" s="2960"/>
      <c r="DE1" s="2960"/>
      <c r="DF1" s="2960"/>
      <c r="DG1" s="2960"/>
      <c r="DH1" s="2960"/>
      <c r="DI1" s="2960"/>
      <c r="DJ1" s="2960"/>
      <c r="DK1" s="2960"/>
      <c r="DL1" s="2960"/>
      <c r="DM1" s="2960"/>
      <c r="DN1" s="2960"/>
      <c r="DO1" s="2960"/>
      <c r="DP1" s="2960"/>
      <c r="DQ1" s="2960"/>
      <c r="DR1" s="2960"/>
      <c r="DS1" s="2960"/>
      <c r="DT1" s="2960"/>
      <c r="DU1" s="2960"/>
      <c r="DV1" s="2960"/>
      <c r="DW1" s="2960"/>
      <c r="DX1" s="2960"/>
      <c r="DY1" s="2960"/>
      <c r="DZ1" s="2960"/>
      <c r="EA1" s="2960"/>
      <c r="EB1" s="2960"/>
      <c r="EC1" s="2960"/>
      <c r="ED1" s="2960"/>
      <c r="EE1" s="2960"/>
      <c r="EF1" s="2960"/>
      <c r="EG1" s="2960"/>
      <c r="EH1" s="2960"/>
      <c r="EI1" s="2960"/>
      <c r="EJ1" s="2960"/>
      <c r="EK1" s="2960"/>
      <c r="EL1" s="2960"/>
      <c r="EM1" s="2960"/>
      <c r="EN1" s="2960"/>
      <c r="EO1" s="2960"/>
      <c r="EP1" s="2960"/>
      <c r="EQ1" s="2960"/>
      <c r="ER1" s="2960"/>
      <c r="ES1" s="2960"/>
      <c r="ET1" s="2960"/>
      <c r="EU1" s="2960"/>
      <c r="EV1" s="2960"/>
      <c r="EW1" s="2960"/>
      <c r="EX1" s="2960"/>
      <c r="EY1" s="2960"/>
      <c r="EZ1" s="2960"/>
      <c r="FA1" s="2960"/>
      <c r="FB1" s="2960"/>
      <c r="FC1" s="2960"/>
      <c r="FD1" s="2960"/>
      <c r="FE1" s="2960"/>
      <c r="FF1" s="2960"/>
      <c r="FG1" s="2960"/>
      <c r="FH1" s="2960"/>
      <c r="FI1" s="2960"/>
      <c r="FJ1" s="2960"/>
      <c r="FK1" s="2960"/>
      <c r="FL1" s="2960"/>
      <c r="FM1" s="2960"/>
      <c r="FN1" s="2960"/>
      <c r="FO1" s="2960"/>
      <c r="FP1" s="2960"/>
      <c r="FQ1" s="2960"/>
      <c r="FR1" s="2960"/>
      <c r="FS1" s="2960"/>
      <c r="FT1" s="2960"/>
      <c r="FU1" s="2960"/>
      <c r="FV1" s="2960"/>
      <c r="FW1" s="2960"/>
      <c r="FX1" s="2960"/>
      <c r="FY1" s="2960"/>
      <c r="FZ1" s="2960"/>
      <c r="GA1" s="2960"/>
      <c r="GB1" s="2960"/>
      <c r="GC1" s="2960"/>
      <c r="GD1" s="2960"/>
      <c r="GE1" s="2960"/>
      <c r="GF1" s="2960"/>
      <c r="GG1" s="2960"/>
      <c r="GH1" s="2960"/>
      <c r="GI1" s="2960"/>
      <c r="GJ1" s="2960"/>
      <c r="GK1" s="2960"/>
      <c r="GL1" s="2960"/>
      <c r="GM1" s="2960"/>
      <c r="GN1" s="2960"/>
      <c r="GO1" s="2960"/>
      <c r="GP1" s="2960"/>
      <c r="GQ1" s="2960"/>
      <c r="GR1" s="2960"/>
      <c r="GS1" s="2960"/>
      <c r="GT1" s="2960"/>
      <c r="GU1" s="2960"/>
      <c r="GV1" s="2960"/>
      <c r="GW1" s="2960"/>
      <c r="GX1" s="2960"/>
      <c r="GY1" s="2960"/>
      <c r="GZ1" s="2960"/>
      <c r="HA1" s="2960"/>
      <c r="HB1" s="2960"/>
      <c r="HC1" s="2960"/>
      <c r="HD1" s="2960"/>
      <c r="HE1" s="2960"/>
      <c r="HF1" s="2960"/>
      <c r="HG1" s="2960"/>
      <c r="HH1" s="2960"/>
      <c r="HI1" s="2960"/>
      <c r="HJ1" s="2960"/>
      <c r="HK1" s="2960"/>
      <c r="HL1" s="2960"/>
      <c r="HM1" s="2960"/>
      <c r="HN1" s="2960"/>
      <c r="HO1" s="2960"/>
      <c r="HP1" s="2960"/>
      <c r="HQ1" s="2960"/>
      <c r="HR1" s="2960"/>
      <c r="HS1" s="2960"/>
      <c r="HT1" s="2960"/>
      <c r="HU1" s="2960"/>
      <c r="HV1" s="2960"/>
      <c r="HW1" s="2960"/>
      <c r="HX1" s="2960"/>
      <c r="HY1" s="2960"/>
      <c r="HZ1" s="2960"/>
      <c r="IA1" s="2960"/>
      <c r="IB1" s="2960"/>
      <c r="IC1" s="2960"/>
      <c r="ID1" s="2960"/>
      <c r="IE1" s="2960"/>
      <c r="IF1" s="2960"/>
      <c r="IG1" s="2960"/>
      <c r="IH1" s="2960"/>
      <c r="II1" s="2960"/>
      <c r="IJ1" s="2960"/>
      <c r="IK1" s="2960"/>
      <c r="IL1" s="2960"/>
      <c r="IM1" s="2960"/>
      <c r="IN1" s="2960"/>
      <c r="IO1" s="2960"/>
      <c r="IP1" s="2960"/>
      <c r="IQ1" s="2960"/>
      <c r="IR1" s="2960"/>
      <c r="IS1" s="2960"/>
      <c r="IT1" s="2960"/>
      <c r="IU1" s="2960"/>
      <c r="IV1" s="2960"/>
    </row>
    <row r="2" spans="1:256">
      <c r="A2" s="2962" t="s">
        <v>3054</v>
      </c>
      <c r="B2" s="2962" t="s">
        <v>3055</v>
      </c>
      <c r="C2" s="2963" t="s">
        <v>3056</v>
      </c>
      <c r="D2" s="2963" t="s">
        <v>3057</v>
      </c>
      <c r="E2" s="2962" t="s">
        <v>3058</v>
      </c>
      <c r="F2" s="2962" t="s">
        <v>3059</v>
      </c>
      <c r="G2" s="2962" t="s">
        <v>3060</v>
      </c>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row>
    <row r="3" spans="1:256">
      <c r="A3" s="3338" t="s">
        <v>3061</v>
      </c>
      <c r="B3" s="2964" t="s">
        <v>3062</v>
      </c>
      <c r="C3" s="2965">
        <v>116.97</v>
      </c>
      <c r="D3" s="2965">
        <v>32.96</v>
      </c>
      <c r="E3" s="2966" t="s">
        <v>3063</v>
      </c>
      <c r="F3" s="3339" t="s">
        <v>3064</v>
      </c>
      <c r="G3" s="3339" t="s">
        <v>3065</v>
      </c>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6">
      <c r="A4" s="3338"/>
      <c r="B4" s="2964" t="s">
        <v>3066</v>
      </c>
      <c r="C4" s="2965">
        <v>195.1</v>
      </c>
      <c r="D4" s="2965">
        <v>54.98</v>
      </c>
      <c r="E4" s="2966" t="s">
        <v>3063</v>
      </c>
      <c r="F4" s="3339"/>
      <c r="G4" s="3339"/>
      <c r="H4" s="2967"/>
      <c r="I4" s="2967"/>
      <c r="J4" s="2967"/>
      <c r="K4" s="2967"/>
      <c r="L4" s="2967"/>
      <c r="M4" s="2967"/>
      <c r="N4" s="2967"/>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6">
      <c r="A5" s="3338"/>
      <c r="B5" s="2964" t="s">
        <v>3067</v>
      </c>
      <c r="C5" s="2968">
        <v>145.62</v>
      </c>
      <c r="D5" s="2969">
        <v>41.04</v>
      </c>
      <c r="E5" s="2966" t="s">
        <v>3063</v>
      </c>
      <c r="F5" s="3339"/>
      <c r="G5" s="3339"/>
      <c r="H5" s="2967"/>
      <c r="I5" s="2967"/>
      <c r="J5" s="2967"/>
      <c r="K5" s="2967"/>
      <c r="L5" s="2967"/>
      <c r="M5" s="2967"/>
      <c r="N5" s="2967"/>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6">
      <c r="A6" s="3338"/>
      <c r="B6" s="2964" t="s">
        <v>3068</v>
      </c>
      <c r="C6" s="2968">
        <v>107.88</v>
      </c>
      <c r="D6" s="2969">
        <v>30.4</v>
      </c>
      <c r="E6" s="2966" t="s">
        <v>3063</v>
      </c>
      <c r="F6" s="3339"/>
      <c r="G6" s="3339"/>
      <c r="H6" s="2967"/>
      <c r="I6" s="2967"/>
      <c r="J6" s="2967"/>
      <c r="K6" s="2967"/>
      <c r="L6" s="2967"/>
      <c r="M6" s="2967"/>
      <c r="N6" s="2967"/>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6">
      <c r="A7" s="3338"/>
      <c r="B7" s="2964" t="s">
        <v>3069</v>
      </c>
      <c r="C7" s="2965">
        <v>585.32000000000005</v>
      </c>
      <c r="D7" s="2965">
        <v>164.95</v>
      </c>
      <c r="E7" s="2966" t="s">
        <v>3063</v>
      </c>
      <c r="F7" s="3339"/>
      <c r="G7" s="3339"/>
      <c r="H7" s="2967"/>
      <c r="I7" s="2967"/>
      <c r="J7" s="2967"/>
      <c r="K7" s="2967"/>
      <c r="L7" s="2967"/>
      <c r="M7" s="2967"/>
      <c r="N7" s="2967"/>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6">
      <c r="A8" s="3338"/>
      <c r="B8" s="2964" t="s">
        <v>3070</v>
      </c>
      <c r="C8" s="2965">
        <v>143.22</v>
      </c>
      <c r="D8" s="2965">
        <v>40.36</v>
      </c>
      <c r="E8" s="2966" t="s">
        <v>3063</v>
      </c>
      <c r="F8" s="3339"/>
      <c r="G8" s="3339"/>
      <c r="H8" s="2967"/>
      <c r="I8" s="2967"/>
      <c r="J8" s="2967"/>
      <c r="K8" s="2967"/>
      <c r="L8" s="2967"/>
      <c r="M8" s="2967"/>
      <c r="N8" s="2967"/>
      <c r="O8" s="2967"/>
      <c r="P8" s="2967"/>
      <c r="Q8" s="2967"/>
      <c r="R8" s="2967"/>
      <c r="S8" s="2967"/>
      <c r="T8" s="2967"/>
      <c r="U8" s="2967"/>
      <c r="V8" s="2967"/>
      <c r="W8" s="2967"/>
      <c r="X8" s="2967"/>
      <c r="Y8" s="2967"/>
      <c r="Z8" s="2967"/>
      <c r="AA8" s="2967"/>
      <c r="AB8" s="2967"/>
      <c r="AC8" s="2967"/>
      <c r="AD8" s="2967"/>
      <c r="AE8" s="2967"/>
      <c r="AF8" s="2967"/>
      <c r="AG8" s="2967"/>
      <c r="AH8" s="2967"/>
      <c r="AI8" s="2967"/>
      <c r="AJ8" s="2967"/>
      <c r="AK8" s="2967"/>
      <c r="AL8" s="2967"/>
      <c r="AM8" s="2967"/>
      <c r="AN8" s="2967"/>
      <c r="AO8" s="2967"/>
      <c r="AP8" s="2967"/>
      <c r="AQ8" s="2967"/>
      <c r="AR8" s="2967"/>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c r="BP8" s="2967"/>
      <c r="BQ8" s="2967"/>
      <c r="BR8" s="2967"/>
      <c r="BS8" s="2967"/>
      <c r="BT8" s="2967"/>
      <c r="BU8" s="2967"/>
      <c r="BV8" s="2967"/>
      <c r="BW8" s="2967"/>
      <c r="BX8" s="2967"/>
      <c r="BY8" s="2967"/>
      <c r="BZ8" s="2967"/>
      <c r="CA8" s="2967"/>
      <c r="CB8" s="2967"/>
      <c r="CC8" s="2967"/>
      <c r="CD8" s="2967"/>
      <c r="CE8" s="2967"/>
      <c r="CF8" s="2967"/>
      <c r="CG8" s="2967"/>
      <c r="CH8" s="2967"/>
      <c r="CI8" s="2967"/>
      <c r="CJ8" s="2967"/>
      <c r="CK8" s="2967"/>
      <c r="CL8" s="2967"/>
      <c r="CM8" s="2967"/>
      <c r="CN8" s="2967"/>
      <c r="CO8" s="2967"/>
      <c r="CP8" s="2967"/>
      <c r="CQ8" s="2967"/>
      <c r="CR8" s="2967"/>
      <c r="CS8" s="2967"/>
      <c r="CT8" s="2967"/>
      <c r="CU8" s="2967"/>
      <c r="CV8" s="2967"/>
      <c r="CW8" s="2967"/>
      <c r="CX8" s="2967"/>
      <c r="CY8" s="2967"/>
      <c r="CZ8" s="2967"/>
      <c r="DA8" s="2967"/>
      <c r="DB8" s="2967"/>
      <c r="DC8" s="2967"/>
      <c r="DD8" s="2967"/>
      <c r="DE8" s="2967"/>
      <c r="DF8" s="2967"/>
      <c r="DG8" s="2967"/>
      <c r="DH8" s="2967"/>
      <c r="DI8" s="2967"/>
      <c r="DJ8" s="2967"/>
      <c r="DK8" s="2967"/>
      <c r="DL8" s="2967"/>
      <c r="DM8" s="2967"/>
      <c r="DN8" s="2967"/>
      <c r="DO8" s="2967"/>
      <c r="DP8" s="2967"/>
      <c r="DQ8" s="2967"/>
      <c r="DR8" s="2967"/>
      <c r="DS8" s="2967"/>
      <c r="DT8" s="2967"/>
      <c r="DU8" s="2967"/>
      <c r="DV8" s="2967"/>
      <c r="DW8" s="2967"/>
      <c r="DX8" s="2967"/>
      <c r="DY8" s="2967"/>
      <c r="DZ8" s="2967"/>
      <c r="EA8" s="2967"/>
      <c r="EB8" s="2967"/>
      <c r="EC8" s="2967"/>
      <c r="ED8" s="2967"/>
      <c r="EE8" s="2967"/>
      <c r="EF8" s="2967"/>
      <c r="EG8" s="2967"/>
      <c r="EH8" s="2967"/>
      <c r="EI8" s="2967"/>
      <c r="EJ8" s="2967"/>
      <c r="EK8" s="2967"/>
      <c r="EL8" s="2967"/>
      <c r="EM8" s="2967"/>
      <c r="EN8" s="2967"/>
      <c r="EO8" s="2967"/>
      <c r="EP8" s="2967"/>
      <c r="EQ8" s="2967"/>
      <c r="ER8" s="2967"/>
      <c r="ES8" s="2967"/>
      <c r="ET8" s="2967"/>
      <c r="EU8" s="2967"/>
      <c r="EV8" s="2967"/>
      <c r="EW8" s="2967"/>
      <c r="EX8" s="2967"/>
      <c r="EY8" s="2967"/>
      <c r="EZ8" s="2967"/>
      <c r="FA8" s="2967"/>
      <c r="FB8" s="2967"/>
      <c r="FC8" s="2967"/>
      <c r="FD8" s="2967"/>
      <c r="FE8" s="2967"/>
      <c r="FF8" s="2967"/>
      <c r="FG8" s="2967"/>
      <c r="FH8" s="2967"/>
      <c r="FI8" s="2967"/>
      <c r="FJ8" s="2967"/>
      <c r="FK8" s="2967"/>
      <c r="FL8" s="2967"/>
      <c r="FM8" s="2967"/>
      <c r="FN8" s="2967"/>
      <c r="FO8" s="2967"/>
      <c r="FP8" s="2967"/>
      <c r="FQ8" s="2967"/>
      <c r="FR8" s="2967"/>
      <c r="FS8" s="2967"/>
      <c r="FT8" s="2967"/>
      <c r="FU8" s="2967"/>
      <c r="FV8" s="2967"/>
      <c r="FW8" s="2967"/>
      <c r="FX8" s="2967"/>
      <c r="FY8" s="2967"/>
      <c r="FZ8" s="2967"/>
      <c r="GA8" s="2967"/>
      <c r="GB8" s="2967"/>
      <c r="GC8" s="2967"/>
      <c r="GD8" s="2967"/>
      <c r="GE8" s="2967"/>
      <c r="GF8" s="2967"/>
      <c r="GG8" s="2967"/>
      <c r="GH8" s="2967"/>
      <c r="GI8" s="2967"/>
      <c r="GJ8" s="2967"/>
      <c r="GK8" s="2967"/>
      <c r="GL8" s="2967"/>
      <c r="GM8" s="2967"/>
      <c r="GN8" s="2967"/>
      <c r="GO8" s="2967"/>
      <c r="GP8" s="2967"/>
      <c r="GQ8" s="2967"/>
      <c r="GR8" s="2967"/>
      <c r="GS8" s="2967"/>
      <c r="GT8" s="2967"/>
      <c r="GU8" s="2967"/>
      <c r="GV8" s="2967"/>
      <c r="GW8" s="2967"/>
      <c r="GX8" s="2967"/>
      <c r="GY8" s="2967"/>
      <c r="GZ8" s="2967"/>
      <c r="HA8" s="2967"/>
      <c r="HB8" s="2967"/>
      <c r="HC8" s="2967"/>
      <c r="HD8" s="2967"/>
      <c r="HE8" s="2967"/>
      <c r="HF8" s="2967"/>
      <c r="HG8" s="2967"/>
      <c r="HH8" s="2967"/>
      <c r="HI8" s="2967"/>
      <c r="HJ8" s="2967"/>
      <c r="HK8" s="2967"/>
      <c r="HL8" s="2967"/>
      <c r="HM8" s="2967"/>
      <c r="HN8" s="2967"/>
      <c r="HO8" s="2967"/>
      <c r="HP8" s="2967"/>
      <c r="HQ8" s="2967"/>
      <c r="HR8" s="2967"/>
      <c r="HS8" s="2967"/>
      <c r="HT8" s="2967"/>
      <c r="HU8" s="2967"/>
      <c r="HV8" s="2967"/>
      <c r="HW8" s="2967"/>
      <c r="HX8" s="2967"/>
      <c r="HY8" s="2967"/>
      <c r="HZ8" s="2967"/>
      <c r="IA8" s="2967"/>
      <c r="IB8" s="2967"/>
      <c r="IC8" s="2967"/>
      <c r="ID8" s="2967"/>
      <c r="IE8" s="2967"/>
      <c r="IF8" s="2967"/>
      <c r="IG8" s="2967"/>
      <c r="IH8" s="2967"/>
      <c r="II8" s="2967"/>
      <c r="IJ8" s="2967"/>
      <c r="IK8" s="2967"/>
      <c r="IL8" s="2967"/>
      <c r="IM8" s="2967"/>
      <c r="IN8" s="2967"/>
      <c r="IO8" s="2967"/>
      <c r="IP8" s="2967"/>
      <c r="IQ8" s="2967"/>
      <c r="IR8" s="2967"/>
      <c r="IS8" s="2967"/>
      <c r="IT8" s="2967"/>
      <c r="IU8" s="2967"/>
      <c r="IV8" s="2967"/>
    </row>
    <row r="9" spans="1:256">
      <c r="A9" s="3338"/>
      <c r="B9" s="2964" t="s">
        <v>3071</v>
      </c>
      <c r="C9" s="2965">
        <v>937.39</v>
      </c>
      <c r="D9" s="2965">
        <v>264.17</v>
      </c>
      <c r="E9" s="2966" t="s">
        <v>3063</v>
      </c>
      <c r="F9" s="3339"/>
      <c r="G9" s="3339"/>
      <c r="H9" s="2967"/>
      <c r="I9" s="2967"/>
      <c r="J9" s="2967"/>
      <c r="K9" s="2967"/>
      <c r="L9" s="2967"/>
      <c r="M9" s="2967"/>
      <c r="N9" s="2967"/>
      <c r="O9" s="2967"/>
      <c r="P9" s="2967"/>
      <c r="Q9" s="2967"/>
      <c r="R9" s="2967"/>
      <c r="S9" s="2967"/>
      <c r="T9" s="2967"/>
      <c r="U9" s="2967"/>
      <c r="V9" s="2967"/>
      <c r="W9" s="2967"/>
      <c r="X9" s="2967"/>
      <c r="Y9" s="2967"/>
      <c r="Z9" s="2967"/>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row>
    <row r="10" spans="1:256">
      <c r="A10" s="3338"/>
      <c r="B10" s="2964" t="s">
        <v>3072</v>
      </c>
      <c r="C10" s="2965">
        <v>81.98</v>
      </c>
      <c r="D10" s="2965">
        <v>23.1</v>
      </c>
      <c r="E10" s="2966" t="s">
        <v>3063</v>
      </c>
      <c r="F10" s="3339"/>
      <c r="G10" s="3339"/>
      <c r="H10" s="2967"/>
      <c r="I10" s="2967"/>
      <c r="J10" s="2967"/>
      <c r="K10" s="2967"/>
      <c r="L10" s="2967"/>
      <c r="M10" s="2967"/>
      <c r="N10" s="2967"/>
      <c r="O10" s="2967"/>
      <c r="P10" s="2967"/>
      <c r="Q10" s="2967"/>
      <c r="R10" s="2967"/>
      <c r="S10" s="2967"/>
      <c r="T10" s="2967"/>
      <c r="U10" s="2967"/>
      <c r="V10" s="2967"/>
      <c r="W10" s="2967"/>
      <c r="X10" s="2967"/>
      <c r="Y10" s="2967"/>
      <c r="Z10" s="2967"/>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6">
      <c r="A11" s="3338"/>
      <c r="B11" s="2964" t="s">
        <v>3073</v>
      </c>
      <c r="C11" s="2965">
        <v>267.7</v>
      </c>
      <c r="D11" s="2965">
        <v>75.44</v>
      </c>
      <c r="E11" s="2966" t="s">
        <v>3063</v>
      </c>
      <c r="F11" s="3339"/>
      <c r="G11" s="3339"/>
      <c r="H11" s="2967"/>
      <c r="I11" s="2967"/>
      <c r="J11" s="2967"/>
      <c r="K11" s="2967"/>
      <c r="L11" s="2967"/>
      <c r="M11" s="2967"/>
      <c r="N11" s="2967"/>
      <c r="O11" s="2967"/>
      <c r="P11" s="2967"/>
      <c r="Q11" s="2967"/>
      <c r="R11" s="2967"/>
      <c r="S11" s="2967"/>
      <c r="T11" s="2967"/>
      <c r="U11" s="2967"/>
      <c r="V11" s="2967"/>
      <c r="W11" s="2967"/>
      <c r="X11" s="2967"/>
      <c r="Y11" s="2967"/>
      <c r="Z11" s="2967"/>
      <c r="AA11" s="2967"/>
      <c r="AB11" s="2967"/>
      <c r="AC11" s="2967"/>
      <c r="AD11" s="2967"/>
      <c r="AE11" s="2967"/>
      <c r="AF11" s="2967"/>
      <c r="AG11" s="2967"/>
      <c r="AH11" s="2967"/>
      <c r="AI11" s="2967"/>
      <c r="AJ11" s="2967"/>
      <c r="AK11" s="2967"/>
      <c r="AL11" s="2967"/>
      <c r="AM11" s="2967"/>
      <c r="AN11" s="2967"/>
      <c r="AO11" s="2967"/>
      <c r="AP11" s="2967"/>
      <c r="AQ11" s="2967"/>
      <c r="AR11" s="2967"/>
      <c r="AS11" s="2967"/>
      <c r="AT11" s="2967"/>
      <c r="AU11" s="2967"/>
      <c r="AV11" s="2967"/>
      <c r="AW11" s="2967"/>
      <c r="AX11" s="2967"/>
      <c r="AY11" s="2967"/>
      <c r="AZ11" s="2967"/>
      <c r="BA11" s="2967"/>
      <c r="BB11" s="2967"/>
      <c r="BC11" s="2967"/>
      <c r="BD11" s="2967"/>
      <c r="BE11" s="2967"/>
      <c r="BF11" s="2967"/>
      <c r="BG11" s="2967"/>
      <c r="BH11" s="2967"/>
      <c r="BI11" s="2967"/>
      <c r="BJ11" s="2967"/>
      <c r="BK11" s="2967"/>
      <c r="BL11" s="2967"/>
      <c r="BM11" s="2967"/>
      <c r="BN11" s="2967"/>
      <c r="BO11" s="2967"/>
      <c r="BP11" s="2967"/>
      <c r="BQ11" s="2967"/>
      <c r="BR11" s="2967"/>
      <c r="BS11" s="2967"/>
      <c r="BT11" s="2967"/>
      <c r="BU11" s="2967"/>
      <c r="BV11" s="2967"/>
      <c r="BW11" s="2967"/>
      <c r="BX11" s="2967"/>
      <c r="BY11" s="2967"/>
      <c r="BZ11" s="2967"/>
      <c r="CA11" s="2967"/>
      <c r="CB11" s="2967"/>
      <c r="CC11" s="2967"/>
      <c r="CD11" s="2967"/>
      <c r="CE11" s="2967"/>
      <c r="CF11" s="2967"/>
      <c r="CG11" s="2967"/>
      <c r="CH11" s="2967"/>
      <c r="CI11" s="2967"/>
      <c r="CJ11" s="2967"/>
      <c r="CK11" s="2967"/>
      <c r="CL11" s="2967"/>
      <c r="CM11" s="2967"/>
      <c r="CN11" s="2967"/>
      <c r="CO11" s="2967"/>
      <c r="CP11" s="2967"/>
      <c r="CQ11" s="2967"/>
      <c r="CR11" s="2967"/>
      <c r="CS11" s="2967"/>
      <c r="CT11" s="2967"/>
      <c r="CU11" s="2967"/>
      <c r="CV11" s="2967"/>
      <c r="CW11" s="2967"/>
      <c r="CX11" s="2967"/>
      <c r="CY11" s="2967"/>
      <c r="CZ11" s="2967"/>
      <c r="DA11" s="2967"/>
      <c r="DB11" s="2967"/>
      <c r="DC11" s="2967"/>
      <c r="DD11" s="2967"/>
      <c r="DE11" s="2967"/>
      <c r="DF11" s="2967"/>
      <c r="DG11" s="2967"/>
      <c r="DH11" s="2967"/>
      <c r="DI11" s="2967"/>
      <c r="DJ11" s="2967"/>
      <c r="DK11" s="2967"/>
      <c r="DL11" s="2967"/>
      <c r="DM11" s="2967"/>
      <c r="DN11" s="2967"/>
      <c r="DO11" s="2967"/>
      <c r="DP11" s="2967"/>
      <c r="DQ11" s="2967"/>
      <c r="DR11" s="2967"/>
      <c r="DS11" s="2967"/>
      <c r="DT11" s="2967"/>
      <c r="DU11" s="2967"/>
      <c r="DV11" s="2967"/>
      <c r="DW11" s="2967"/>
      <c r="DX11" s="2967"/>
      <c r="DY11" s="2967"/>
      <c r="DZ11" s="2967"/>
      <c r="EA11" s="2967"/>
      <c r="EB11" s="2967"/>
      <c r="EC11" s="2967"/>
      <c r="ED11" s="2967"/>
      <c r="EE11" s="2967"/>
      <c r="EF11" s="2967"/>
      <c r="EG11" s="2967"/>
      <c r="EH11" s="2967"/>
      <c r="EI11" s="2967"/>
      <c r="EJ11" s="2967"/>
      <c r="EK11" s="2967"/>
      <c r="EL11" s="2967"/>
      <c r="EM11" s="2967"/>
      <c r="EN11" s="2967"/>
      <c r="EO11" s="2967"/>
      <c r="EP11" s="2967"/>
      <c r="EQ11" s="2967"/>
      <c r="ER11" s="2967"/>
      <c r="ES11" s="2967"/>
      <c r="ET11" s="2967"/>
      <c r="EU11" s="2967"/>
      <c r="EV11" s="2967"/>
      <c r="EW11" s="2967"/>
      <c r="EX11" s="2967"/>
      <c r="EY11" s="2967"/>
      <c r="EZ11" s="2967"/>
      <c r="FA11" s="2967"/>
      <c r="FB11" s="2967"/>
      <c r="FC11" s="2967"/>
      <c r="FD11" s="2967"/>
      <c r="FE11" s="2967"/>
      <c r="FF11" s="2967"/>
      <c r="FG11" s="2967"/>
      <c r="FH11" s="2967"/>
      <c r="FI11" s="2967"/>
      <c r="FJ11" s="2967"/>
      <c r="FK11" s="2967"/>
      <c r="FL11" s="2967"/>
      <c r="FM11" s="2967"/>
      <c r="FN11" s="2967"/>
      <c r="FO11" s="2967"/>
      <c r="FP11" s="2967"/>
      <c r="FQ11" s="2967"/>
      <c r="FR11" s="2967"/>
      <c r="FS11" s="2967"/>
      <c r="FT11" s="2967"/>
      <c r="FU11" s="2967"/>
      <c r="FV11" s="2967"/>
      <c r="FW11" s="2967"/>
      <c r="FX11" s="2967"/>
      <c r="FY11" s="2967"/>
      <c r="FZ11" s="2967"/>
      <c r="GA11" s="2967"/>
      <c r="GB11" s="2967"/>
      <c r="GC11" s="2967"/>
      <c r="GD11" s="2967"/>
      <c r="GE11" s="2967"/>
      <c r="GF11" s="2967"/>
      <c r="GG11" s="2967"/>
      <c r="GH11" s="2967"/>
      <c r="GI11" s="2967"/>
      <c r="GJ11" s="2967"/>
      <c r="GK11" s="2967"/>
      <c r="GL11" s="2967"/>
      <c r="GM11" s="2967"/>
      <c r="GN11" s="2967"/>
      <c r="GO11" s="2967"/>
      <c r="GP11" s="2967"/>
      <c r="GQ11" s="2967"/>
      <c r="GR11" s="2967"/>
      <c r="GS11" s="2967"/>
      <c r="GT11" s="2967"/>
      <c r="GU11" s="2967"/>
      <c r="GV11" s="2967"/>
      <c r="GW11" s="2967"/>
      <c r="GX11" s="2967"/>
      <c r="GY11" s="2967"/>
      <c r="GZ11" s="2967"/>
      <c r="HA11" s="2967"/>
      <c r="HB11" s="2967"/>
      <c r="HC11" s="2967"/>
      <c r="HD11" s="2967"/>
      <c r="HE11" s="2967"/>
      <c r="HF11" s="2967"/>
      <c r="HG11" s="2967"/>
      <c r="HH11" s="2967"/>
      <c r="HI11" s="2967"/>
      <c r="HJ11" s="2967"/>
      <c r="HK11" s="2967"/>
      <c r="HL11" s="2967"/>
      <c r="HM11" s="2967"/>
      <c r="HN11" s="2967"/>
      <c r="HO11" s="2967"/>
      <c r="HP11" s="2967"/>
      <c r="HQ11" s="2967"/>
      <c r="HR11" s="2967"/>
      <c r="HS11" s="2967"/>
      <c r="HT11" s="2967"/>
      <c r="HU11" s="2967"/>
      <c r="HV11" s="2967"/>
      <c r="HW11" s="2967"/>
      <c r="HX11" s="2967"/>
      <c r="HY11" s="2967"/>
      <c r="HZ11" s="2967"/>
      <c r="IA11" s="2967"/>
      <c r="IB11" s="2967"/>
      <c r="IC11" s="2967"/>
      <c r="ID11" s="2967"/>
      <c r="IE11" s="2967"/>
      <c r="IF11" s="2967"/>
      <c r="IG11" s="2967"/>
      <c r="IH11" s="2967"/>
      <c r="II11" s="2967"/>
      <c r="IJ11" s="2967"/>
      <c r="IK11" s="2967"/>
      <c r="IL11" s="2967"/>
      <c r="IM11" s="2967"/>
      <c r="IN11" s="2967"/>
      <c r="IO11" s="2967"/>
      <c r="IP11" s="2967"/>
      <c r="IQ11" s="2967"/>
      <c r="IR11" s="2967"/>
      <c r="IS11" s="2967"/>
      <c r="IT11" s="2967"/>
      <c r="IU11" s="2967"/>
      <c r="IV11" s="2967"/>
    </row>
    <row r="12" spans="1:256">
      <c r="A12" s="3338"/>
      <c r="B12" s="2964" t="s">
        <v>3074</v>
      </c>
      <c r="C12" s="2965">
        <v>652.02</v>
      </c>
      <c r="D12" s="2965">
        <v>183.75</v>
      </c>
      <c r="E12" s="2966" t="s">
        <v>3063</v>
      </c>
      <c r="F12" s="3339"/>
      <c r="G12" s="3339"/>
      <c r="H12" s="2967"/>
      <c r="I12" s="2967"/>
      <c r="J12" s="2967"/>
      <c r="K12" s="2967"/>
      <c r="L12" s="2967"/>
      <c r="M12" s="2967"/>
      <c r="N12" s="2967"/>
      <c r="O12" s="2967"/>
      <c r="P12" s="2967"/>
      <c r="Q12" s="2967"/>
      <c r="R12" s="2967"/>
      <c r="S12" s="2967"/>
      <c r="T12" s="2967"/>
      <c r="U12" s="2967"/>
      <c r="V12" s="2967"/>
      <c r="W12" s="2967"/>
      <c r="X12" s="2967"/>
      <c r="Y12" s="2967"/>
      <c r="Z12" s="2967"/>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6">
      <c r="A13" s="3338"/>
      <c r="B13" s="2964" t="s">
        <v>3075</v>
      </c>
      <c r="C13" s="2968">
        <v>227.71</v>
      </c>
      <c r="D13" s="2969">
        <v>64.17</v>
      </c>
      <c r="E13" s="2966" t="s">
        <v>3063</v>
      </c>
      <c r="F13" s="3339"/>
      <c r="G13" s="3339"/>
      <c r="H13" s="2967"/>
      <c r="I13" s="2967"/>
      <c r="J13" s="2967"/>
      <c r="K13" s="2967"/>
      <c r="L13" s="2967"/>
      <c r="M13" s="2967"/>
      <c r="N13" s="2967"/>
      <c r="O13" s="2967"/>
      <c r="P13" s="2967"/>
      <c r="Q13" s="2967"/>
      <c r="R13" s="2967"/>
      <c r="S13" s="2967"/>
      <c r="T13" s="2967"/>
      <c r="U13" s="2967"/>
      <c r="V13" s="2967"/>
      <c r="W13" s="2967"/>
      <c r="X13" s="2967"/>
      <c r="Y13" s="2967"/>
      <c r="Z13" s="2967"/>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row>
    <row r="14" spans="1:256">
      <c r="A14" s="3338"/>
      <c r="B14" s="2964" t="s">
        <v>3076</v>
      </c>
      <c r="C14" s="2968">
        <v>167</v>
      </c>
      <c r="D14" s="2969">
        <v>47.06</v>
      </c>
      <c r="E14" s="2966" t="s">
        <v>3063</v>
      </c>
      <c r="F14" s="3339"/>
      <c r="G14" s="3339"/>
      <c r="H14" s="2967"/>
      <c r="I14" s="2967"/>
      <c r="J14" s="2967"/>
      <c r="K14" s="2967"/>
      <c r="L14" s="2967"/>
      <c r="M14" s="2967"/>
      <c r="N14" s="2967"/>
      <c r="O14" s="2967"/>
      <c r="P14" s="2967"/>
      <c r="Q14" s="2967"/>
      <c r="R14" s="2967"/>
      <c r="S14" s="2967"/>
      <c r="T14" s="2967"/>
      <c r="U14" s="2967"/>
      <c r="V14" s="2967"/>
      <c r="W14" s="2967"/>
      <c r="X14" s="2967"/>
      <c r="Y14" s="2967"/>
      <c r="Z14" s="2967"/>
      <c r="AA14" s="2967"/>
      <c r="AB14" s="2967"/>
      <c r="AC14" s="2967"/>
      <c r="AD14" s="2967"/>
      <c r="AE14" s="2967"/>
      <c r="AF14" s="2967"/>
      <c r="AG14" s="2967"/>
      <c r="AH14" s="2967"/>
      <c r="AI14" s="2967"/>
      <c r="AJ14" s="2967"/>
      <c r="AK14" s="2967"/>
      <c r="AL14" s="2967"/>
      <c r="AM14" s="2967"/>
      <c r="AN14" s="2967"/>
      <c r="AO14" s="2967"/>
      <c r="AP14" s="2967"/>
      <c r="AQ14" s="2967"/>
      <c r="AR14" s="2967"/>
      <c r="AS14" s="2967"/>
      <c r="AT14" s="2967"/>
      <c r="AU14" s="2967"/>
      <c r="AV14" s="2967"/>
      <c r="AW14" s="2967"/>
      <c r="AX14" s="2967"/>
      <c r="AY14" s="2967"/>
      <c r="AZ14" s="2967"/>
      <c r="BA14" s="2967"/>
      <c r="BB14" s="2967"/>
      <c r="BC14" s="2967"/>
      <c r="BD14" s="2967"/>
      <c r="BE14" s="2967"/>
      <c r="BF14" s="2967"/>
      <c r="BG14" s="2967"/>
      <c r="BH14" s="2967"/>
      <c r="BI14" s="2967"/>
      <c r="BJ14" s="2967"/>
      <c r="BK14" s="2967"/>
      <c r="BL14" s="2967"/>
      <c r="BM14" s="2967"/>
      <c r="BN14" s="2967"/>
      <c r="BO14" s="2967"/>
      <c r="BP14" s="2967"/>
      <c r="BQ14" s="2967"/>
      <c r="BR14" s="2967"/>
      <c r="BS14" s="2967"/>
      <c r="BT14" s="2967"/>
      <c r="BU14" s="2967"/>
      <c r="BV14" s="2967"/>
      <c r="BW14" s="2967"/>
      <c r="BX14" s="2967"/>
      <c r="BY14" s="2967"/>
      <c r="BZ14" s="2967"/>
      <c r="CA14" s="2967"/>
      <c r="CB14" s="2967"/>
      <c r="CC14" s="2967"/>
      <c r="CD14" s="2967"/>
      <c r="CE14" s="2967"/>
      <c r="CF14" s="2967"/>
      <c r="CG14" s="2967"/>
      <c r="CH14" s="2967"/>
      <c r="CI14" s="2967"/>
      <c r="CJ14" s="2967"/>
      <c r="CK14" s="2967"/>
      <c r="CL14" s="2967"/>
      <c r="CM14" s="2967"/>
      <c r="CN14" s="2967"/>
      <c r="CO14" s="2967"/>
      <c r="CP14" s="2967"/>
      <c r="CQ14" s="2967"/>
      <c r="CR14" s="2967"/>
      <c r="CS14" s="2967"/>
      <c r="CT14" s="2967"/>
      <c r="CU14" s="2967"/>
      <c r="CV14" s="2967"/>
      <c r="CW14" s="2967"/>
      <c r="CX14" s="2967"/>
      <c r="CY14" s="2967"/>
      <c r="CZ14" s="2967"/>
      <c r="DA14" s="2967"/>
      <c r="DB14" s="2967"/>
      <c r="DC14" s="2967"/>
      <c r="DD14" s="2967"/>
      <c r="DE14" s="2967"/>
      <c r="DF14" s="2967"/>
      <c r="DG14" s="2967"/>
      <c r="DH14" s="2967"/>
      <c r="DI14" s="2967"/>
      <c r="DJ14" s="2967"/>
      <c r="DK14" s="2967"/>
      <c r="DL14" s="2967"/>
      <c r="DM14" s="2967"/>
      <c r="DN14" s="2967"/>
      <c r="DO14" s="2967"/>
      <c r="DP14" s="2967"/>
      <c r="DQ14" s="2967"/>
      <c r="DR14" s="2967"/>
      <c r="DS14" s="2967"/>
      <c r="DT14" s="2967"/>
      <c r="DU14" s="2967"/>
      <c r="DV14" s="2967"/>
      <c r="DW14" s="2967"/>
      <c r="DX14" s="2967"/>
      <c r="DY14" s="2967"/>
      <c r="DZ14" s="2967"/>
      <c r="EA14" s="2967"/>
      <c r="EB14" s="2967"/>
      <c r="EC14" s="2967"/>
      <c r="ED14" s="2967"/>
      <c r="EE14" s="2967"/>
      <c r="EF14" s="2967"/>
      <c r="EG14" s="2967"/>
      <c r="EH14" s="2967"/>
      <c r="EI14" s="2967"/>
      <c r="EJ14" s="2967"/>
      <c r="EK14" s="2967"/>
      <c r="EL14" s="2967"/>
      <c r="EM14" s="2967"/>
      <c r="EN14" s="2967"/>
      <c r="EO14" s="2967"/>
      <c r="EP14" s="2967"/>
      <c r="EQ14" s="2967"/>
      <c r="ER14" s="2967"/>
      <c r="ES14" s="2967"/>
      <c r="ET14" s="2967"/>
      <c r="EU14" s="2967"/>
      <c r="EV14" s="2967"/>
      <c r="EW14" s="2967"/>
      <c r="EX14" s="2967"/>
      <c r="EY14" s="2967"/>
      <c r="EZ14" s="2967"/>
      <c r="FA14" s="2967"/>
      <c r="FB14" s="2967"/>
      <c r="FC14" s="2967"/>
      <c r="FD14" s="2967"/>
      <c r="FE14" s="2967"/>
      <c r="FF14" s="2967"/>
      <c r="FG14" s="2967"/>
      <c r="FH14" s="2967"/>
      <c r="FI14" s="2967"/>
      <c r="FJ14" s="2967"/>
      <c r="FK14" s="2967"/>
      <c r="FL14" s="2967"/>
      <c r="FM14" s="2967"/>
      <c r="FN14" s="2967"/>
      <c r="FO14" s="2967"/>
      <c r="FP14" s="2967"/>
      <c r="FQ14" s="2967"/>
      <c r="FR14" s="2967"/>
      <c r="FS14" s="2967"/>
      <c r="FT14" s="2967"/>
      <c r="FU14" s="2967"/>
      <c r="FV14" s="2967"/>
      <c r="FW14" s="2967"/>
      <c r="FX14" s="2967"/>
      <c r="FY14" s="2967"/>
      <c r="FZ14" s="2967"/>
      <c r="GA14" s="2967"/>
      <c r="GB14" s="2967"/>
      <c r="GC14" s="2967"/>
      <c r="GD14" s="2967"/>
      <c r="GE14" s="2967"/>
      <c r="GF14" s="2967"/>
      <c r="GG14" s="2967"/>
      <c r="GH14" s="2967"/>
      <c r="GI14" s="2967"/>
      <c r="GJ14" s="2967"/>
      <c r="GK14" s="2967"/>
      <c r="GL14" s="2967"/>
      <c r="GM14" s="2967"/>
      <c r="GN14" s="2967"/>
      <c r="GO14" s="2967"/>
      <c r="GP14" s="2967"/>
      <c r="GQ14" s="2967"/>
      <c r="GR14" s="2967"/>
      <c r="GS14" s="2967"/>
      <c r="GT14" s="2967"/>
      <c r="GU14" s="2967"/>
      <c r="GV14" s="2967"/>
      <c r="GW14" s="2967"/>
      <c r="GX14" s="2967"/>
      <c r="GY14" s="2967"/>
      <c r="GZ14" s="2967"/>
      <c r="HA14" s="2967"/>
      <c r="HB14" s="2967"/>
      <c r="HC14" s="2967"/>
      <c r="HD14" s="2967"/>
      <c r="HE14" s="2967"/>
      <c r="HF14" s="2967"/>
      <c r="HG14" s="2967"/>
      <c r="HH14" s="2967"/>
      <c r="HI14" s="2967"/>
      <c r="HJ14" s="2967"/>
      <c r="HK14" s="2967"/>
      <c r="HL14" s="2967"/>
      <c r="HM14" s="2967"/>
      <c r="HN14" s="2967"/>
      <c r="HO14" s="2967"/>
      <c r="HP14" s="2967"/>
      <c r="HQ14" s="2967"/>
      <c r="HR14" s="2967"/>
      <c r="HS14" s="2967"/>
      <c r="HT14" s="2967"/>
      <c r="HU14" s="2967"/>
      <c r="HV14" s="2967"/>
      <c r="HW14" s="2967"/>
      <c r="HX14" s="2967"/>
      <c r="HY14" s="2967"/>
      <c r="HZ14" s="2967"/>
      <c r="IA14" s="2967"/>
      <c r="IB14" s="2967"/>
      <c r="IC14" s="2967"/>
      <c r="ID14" s="2967"/>
      <c r="IE14" s="2967"/>
      <c r="IF14" s="2967"/>
      <c r="IG14" s="2967"/>
      <c r="IH14" s="2967"/>
      <c r="II14" s="2967"/>
      <c r="IJ14" s="2967"/>
      <c r="IK14" s="2967"/>
      <c r="IL14" s="2967"/>
      <c r="IM14" s="2967"/>
      <c r="IN14" s="2967"/>
      <c r="IO14" s="2967"/>
      <c r="IP14" s="2967"/>
      <c r="IQ14" s="2967"/>
      <c r="IR14" s="2967"/>
      <c r="IS14" s="2967"/>
      <c r="IT14" s="2967"/>
      <c r="IU14" s="2967"/>
      <c r="IV14" s="2967"/>
    </row>
    <row r="15" spans="1:256">
      <c r="A15" s="3338"/>
      <c r="B15" s="2964" t="s">
        <v>3077</v>
      </c>
      <c r="C15" s="2965">
        <v>140.5</v>
      </c>
      <c r="D15" s="2965">
        <v>39.590000000000003</v>
      </c>
      <c r="E15" s="2966" t="s">
        <v>3063</v>
      </c>
      <c r="F15" s="3339"/>
      <c r="G15" s="3339"/>
      <c r="H15" s="2967"/>
      <c r="I15" s="2967"/>
      <c r="J15" s="2967"/>
      <c r="K15" s="2967"/>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7"/>
      <c r="AJ15" s="2967"/>
      <c r="AK15" s="2967"/>
      <c r="AL15" s="2967"/>
      <c r="AM15" s="2967"/>
      <c r="AN15" s="2967"/>
      <c r="AO15" s="2967"/>
      <c r="AP15" s="2967"/>
      <c r="AQ15" s="2967"/>
      <c r="AR15" s="2967"/>
      <c r="AS15" s="2967"/>
      <c r="AT15" s="2967"/>
      <c r="AU15" s="2967"/>
      <c r="AV15" s="2967"/>
      <c r="AW15" s="2967"/>
      <c r="AX15" s="2967"/>
      <c r="AY15" s="2967"/>
      <c r="AZ15" s="2967"/>
      <c r="BA15" s="2967"/>
      <c r="BB15" s="2967"/>
      <c r="BC15" s="2967"/>
      <c r="BD15" s="2967"/>
      <c r="BE15" s="2967"/>
      <c r="BF15" s="2967"/>
      <c r="BG15" s="2967"/>
      <c r="BH15" s="2967"/>
      <c r="BI15" s="2967"/>
      <c r="BJ15" s="2967"/>
      <c r="BK15" s="2967"/>
      <c r="BL15" s="2967"/>
      <c r="BM15" s="2967"/>
      <c r="BN15" s="2967"/>
      <c r="BO15" s="2967"/>
      <c r="BP15" s="2967"/>
      <c r="BQ15" s="2967"/>
      <c r="BR15" s="2967"/>
      <c r="BS15" s="2967"/>
      <c r="BT15" s="2967"/>
      <c r="BU15" s="2967"/>
      <c r="BV15" s="2967"/>
      <c r="BW15" s="2967"/>
      <c r="BX15" s="2967"/>
      <c r="BY15" s="2967"/>
      <c r="BZ15" s="2967"/>
      <c r="CA15" s="2967"/>
      <c r="CB15" s="2967"/>
      <c r="CC15" s="2967"/>
      <c r="CD15" s="2967"/>
      <c r="CE15" s="2967"/>
      <c r="CF15" s="2967"/>
      <c r="CG15" s="2967"/>
      <c r="CH15" s="2967"/>
      <c r="CI15" s="2967"/>
      <c r="CJ15" s="2967"/>
      <c r="CK15" s="2967"/>
      <c r="CL15" s="2967"/>
      <c r="CM15" s="2967"/>
      <c r="CN15" s="2967"/>
      <c r="CO15" s="2967"/>
      <c r="CP15" s="2967"/>
      <c r="CQ15" s="2967"/>
      <c r="CR15" s="2967"/>
      <c r="CS15" s="2967"/>
      <c r="CT15" s="2967"/>
      <c r="CU15" s="2967"/>
      <c r="CV15" s="2967"/>
      <c r="CW15" s="2967"/>
      <c r="CX15" s="2967"/>
      <c r="CY15" s="2967"/>
      <c r="CZ15" s="2967"/>
      <c r="DA15" s="2967"/>
      <c r="DB15" s="2967"/>
      <c r="DC15" s="2967"/>
      <c r="DD15" s="2967"/>
      <c r="DE15" s="2967"/>
      <c r="DF15" s="2967"/>
      <c r="DG15" s="2967"/>
      <c r="DH15" s="2967"/>
      <c r="DI15" s="2967"/>
      <c r="DJ15" s="2967"/>
      <c r="DK15" s="2967"/>
      <c r="DL15" s="2967"/>
      <c r="DM15" s="2967"/>
      <c r="DN15" s="2967"/>
      <c r="DO15" s="2967"/>
      <c r="DP15" s="2967"/>
      <c r="DQ15" s="2967"/>
      <c r="DR15" s="2967"/>
      <c r="DS15" s="2967"/>
      <c r="DT15" s="2967"/>
      <c r="DU15" s="2967"/>
      <c r="DV15" s="2967"/>
      <c r="DW15" s="2967"/>
      <c r="DX15" s="2967"/>
      <c r="DY15" s="2967"/>
      <c r="DZ15" s="2967"/>
      <c r="EA15" s="2967"/>
      <c r="EB15" s="2967"/>
      <c r="EC15" s="2967"/>
      <c r="ED15" s="2967"/>
      <c r="EE15" s="2967"/>
      <c r="EF15" s="2967"/>
      <c r="EG15" s="2967"/>
      <c r="EH15" s="2967"/>
      <c r="EI15" s="2967"/>
      <c r="EJ15" s="2967"/>
      <c r="EK15" s="2967"/>
      <c r="EL15" s="2967"/>
      <c r="EM15" s="2967"/>
      <c r="EN15" s="2967"/>
      <c r="EO15" s="2967"/>
      <c r="EP15" s="2967"/>
      <c r="EQ15" s="2967"/>
      <c r="ER15" s="2967"/>
      <c r="ES15" s="2967"/>
      <c r="ET15" s="2967"/>
      <c r="EU15" s="2967"/>
      <c r="EV15" s="2967"/>
      <c r="EW15" s="2967"/>
      <c r="EX15" s="2967"/>
      <c r="EY15" s="2967"/>
      <c r="EZ15" s="2967"/>
      <c r="FA15" s="2967"/>
      <c r="FB15" s="2967"/>
      <c r="FC15" s="2967"/>
      <c r="FD15" s="2967"/>
      <c r="FE15" s="2967"/>
      <c r="FF15" s="2967"/>
      <c r="FG15" s="2967"/>
      <c r="FH15" s="2967"/>
      <c r="FI15" s="2967"/>
      <c r="FJ15" s="2967"/>
      <c r="FK15" s="2967"/>
      <c r="FL15" s="2967"/>
      <c r="FM15" s="2967"/>
      <c r="FN15" s="2967"/>
      <c r="FO15" s="2967"/>
      <c r="FP15" s="2967"/>
      <c r="FQ15" s="2967"/>
      <c r="FR15" s="2967"/>
      <c r="FS15" s="2967"/>
      <c r="FT15" s="2967"/>
      <c r="FU15" s="2967"/>
      <c r="FV15" s="2967"/>
      <c r="FW15" s="2967"/>
      <c r="FX15" s="2967"/>
      <c r="FY15" s="2967"/>
      <c r="FZ15" s="2967"/>
      <c r="GA15" s="2967"/>
      <c r="GB15" s="2967"/>
      <c r="GC15" s="2967"/>
      <c r="GD15" s="2967"/>
      <c r="GE15" s="2967"/>
      <c r="GF15" s="2967"/>
      <c r="GG15" s="2967"/>
      <c r="GH15" s="2967"/>
      <c r="GI15" s="2967"/>
      <c r="GJ15" s="2967"/>
      <c r="GK15" s="2967"/>
      <c r="GL15" s="2967"/>
      <c r="GM15" s="2967"/>
      <c r="GN15" s="2967"/>
      <c r="GO15" s="2967"/>
      <c r="GP15" s="2967"/>
      <c r="GQ15" s="2967"/>
      <c r="GR15" s="2967"/>
      <c r="GS15" s="2967"/>
      <c r="GT15" s="2967"/>
      <c r="GU15" s="2967"/>
      <c r="GV15" s="2967"/>
      <c r="GW15" s="2967"/>
      <c r="GX15" s="2967"/>
      <c r="GY15" s="2967"/>
      <c r="GZ15" s="2967"/>
      <c r="HA15" s="2967"/>
      <c r="HB15" s="2967"/>
      <c r="HC15" s="2967"/>
      <c r="HD15" s="2967"/>
      <c r="HE15" s="2967"/>
      <c r="HF15" s="2967"/>
      <c r="HG15" s="2967"/>
      <c r="HH15" s="2967"/>
      <c r="HI15" s="2967"/>
      <c r="HJ15" s="2967"/>
      <c r="HK15" s="2967"/>
      <c r="HL15" s="2967"/>
      <c r="HM15" s="2967"/>
      <c r="HN15" s="2967"/>
      <c r="HO15" s="2967"/>
      <c r="HP15" s="2967"/>
      <c r="HQ15" s="2967"/>
      <c r="HR15" s="2967"/>
      <c r="HS15" s="2967"/>
      <c r="HT15" s="2967"/>
      <c r="HU15" s="2967"/>
      <c r="HV15" s="2967"/>
      <c r="HW15" s="2967"/>
      <c r="HX15" s="2967"/>
      <c r="HY15" s="2967"/>
      <c r="HZ15" s="2967"/>
      <c r="IA15" s="2967"/>
      <c r="IB15" s="2967"/>
      <c r="IC15" s="2967"/>
      <c r="ID15" s="2967"/>
      <c r="IE15" s="2967"/>
      <c r="IF15" s="2967"/>
      <c r="IG15" s="2967"/>
      <c r="IH15" s="2967"/>
      <c r="II15" s="2967"/>
      <c r="IJ15" s="2967"/>
      <c r="IK15" s="2967"/>
      <c r="IL15" s="2967"/>
      <c r="IM15" s="2967"/>
      <c r="IN15" s="2967"/>
      <c r="IO15" s="2967"/>
      <c r="IP15" s="2967"/>
      <c r="IQ15" s="2967"/>
      <c r="IR15" s="2967"/>
      <c r="IS15" s="2967"/>
      <c r="IT15" s="2967"/>
      <c r="IU15" s="2967"/>
      <c r="IV15" s="2967"/>
    </row>
    <row r="16" spans="1:256">
      <c r="A16" s="3338"/>
      <c r="B16" s="2964" t="s">
        <v>3078</v>
      </c>
      <c r="C16" s="2965">
        <v>764.9</v>
      </c>
      <c r="D16" s="2965">
        <v>215.56</v>
      </c>
      <c r="E16" s="2966" t="s">
        <v>3063</v>
      </c>
      <c r="F16" s="3339"/>
      <c r="G16" s="3339"/>
      <c r="H16" s="2967"/>
      <c r="I16" s="2967"/>
      <c r="J16" s="2967"/>
      <c r="K16" s="2967"/>
      <c r="L16" s="2967"/>
      <c r="M16" s="2967"/>
      <c r="N16" s="2967"/>
      <c r="O16" s="2967"/>
      <c r="P16" s="2967"/>
      <c r="Q16" s="2967"/>
      <c r="R16" s="2967"/>
      <c r="S16" s="2967"/>
      <c r="T16" s="2967"/>
      <c r="U16" s="2967"/>
      <c r="V16" s="2967"/>
      <c r="W16" s="2967"/>
      <c r="X16" s="2967"/>
      <c r="Y16" s="2967"/>
      <c r="Z16" s="2967"/>
      <c r="AA16" s="2967"/>
      <c r="AB16" s="2967"/>
      <c r="AC16" s="2967"/>
      <c r="AD16" s="2967"/>
      <c r="AE16" s="2967"/>
      <c r="AF16" s="2967"/>
      <c r="AG16" s="2967"/>
      <c r="AH16" s="2967"/>
      <c r="AI16" s="2967"/>
      <c r="AJ16" s="2967"/>
      <c r="AK16" s="2967"/>
      <c r="AL16" s="2967"/>
      <c r="AM16" s="2967"/>
      <c r="AN16" s="2967"/>
      <c r="AO16" s="2967"/>
      <c r="AP16" s="2967"/>
      <c r="AQ16" s="2967"/>
      <c r="AR16" s="2967"/>
      <c r="AS16" s="2967"/>
      <c r="AT16" s="2967"/>
      <c r="AU16" s="2967"/>
      <c r="AV16" s="2967"/>
      <c r="AW16" s="2967"/>
      <c r="AX16" s="2967"/>
      <c r="AY16" s="2967"/>
      <c r="AZ16" s="2967"/>
      <c r="BA16" s="2967"/>
      <c r="BB16" s="2967"/>
      <c r="BC16" s="2967"/>
      <c r="BD16" s="2967"/>
      <c r="BE16" s="2967"/>
      <c r="BF16" s="2967"/>
      <c r="BG16" s="2967"/>
      <c r="BH16" s="2967"/>
      <c r="BI16" s="2967"/>
      <c r="BJ16" s="2967"/>
      <c r="BK16" s="2967"/>
      <c r="BL16" s="2967"/>
      <c r="BM16" s="2967"/>
      <c r="BN16" s="2967"/>
      <c r="BO16" s="2967"/>
      <c r="BP16" s="2967"/>
      <c r="BQ16" s="2967"/>
      <c r="BR16" s="2967"/>
      <c r="BS16" s="2967"/>
      <c r="BT16" s="2967"/>
      <c r="BU16" s="2967"/>
      <c r="BV16" s="2967"/>
      <c r="BW16" s="2967"/>
      <c r="BX16" s="2967"/>
      <c r="BY16" s="2967"/>
      <c r="BZ16" s="2967"/>
      <c r="CA16" s="2967"/>
      <c r="CB16" s="2967"/>
      <c r="CC16" s="2967"/>
      <c r="CD16" s="2967"/>
      <c r="CE16" s="2967"/>
      <c r="CF16" s="2967"/>
      <c r="CG16" s="2967"/>
      <c r="CH16" s="2967"/>
      <c r="CI16" s="2967"/>
      <c r="CJ16" s="2967"/>
      <c r="CK16" s="2967"/>
      <c r="CL16" s="2967"/>
      <c r="CM16" s="2967"/>
      <c r="CN16" s="2967"/>
      <c r="CO16" s="2967"/>
      <c r="CP16" s="2967"/>
      <c r="CQ16" s="2967"/>
      <c r="CR16" s="2967"/>
      <c r="CS16" s="2967"/>
      <c r="CT16" s="2967"/>
      <c r="CU16" s="2967"/>
      <c r="CV16" s="2967"/>
      <c r="CW16" s="2967"/>
      <c r="CX16" s="2967"/>
      <c r="CY16" s="2967"/>
      <c r="CZ16" s="2967"/>
      <c r="DA16" s="2967"/>
      <c r="DB16" s="2967"/>
      <c r="DC16" s="2967"/>
      <c r="DD16" s="2967"/>
      <c r="DE16" s="2967"/>
      <c r="DF16" s="2967"/>
      <c r="DG16" s="2967"/>
      <c r="DH16" s="2967"/>
      <c r="DI16" s="2967"/>
      <c r="DJ16" s="2967"/>
      <c r="DK16" s="2967"/>
      <c r="DL16" s="2967"/>
      <c r="DM16" s="2967"/>
      <c r="DN16" s="2967"/>
      <c r="DO16" s="2967"/>
      <c r="DP16" s="2967"/>
      <c r="DQ16" s="2967"/>
      <c r="DR16" s="2967"/>
      <c r="DS16" s="2967"/>
      <c r="DT16" s="2967"/>
      <c r="DU16" s="2967"/>
      <c r="DV16" s="2967"/>
      <c r="DW16" s="2967"/>
      <c r="DX16" s="2967"/>
      <c r="DY16" s="2967"/>
      <c r="DZ16" s="2967"/>
      <c r="EA16" s="2967"/>
      <c r="EB16" s="2967"/>
      <c r="EC16" s="2967"/>
      <c r="ED16" s="2967"/>
      <c r="EE16" s="2967"/>
      <c r="EF16" s="2967"/>
      <c r="EG16" s="2967"/>
      <c r="EH16" s="2967"/>
      <c r="EI16" s="2967"/>
      <c r="EJ16" s="2967"/>
      <c r="EK16" s="2967"/>
      <c r="EL16" s="2967"/>
      <c r="EM16" s="2967"/>
      <c r="EN16" s="2967"/>
      <c r="EO16" s="2967"/>
      <c r="EP16" s="2967"/>
      <c r="EQ16" s="2967"/>
      <c r="ER16" s="2967"/>
      <c r="ES16" s="2967"/>
      <c r="ET16" s="2967"/>
      <c r="EU16" s="2967"/>
      <c r="EV16" s="2967"/>
      <c r="EW16" s="2967"/>
      <c r="EX16" s="2967"/>
      <c r="EY16" s="2967"/>
      <c r="EZ16" s="2967"/>
      <c r="FA16" s="2967"/>
      <c r="FB16" s="2967"/>
      <c r="FC16" s="2967"/>
      <c r="FD16" s="2967"/>
      <c r="FE16" s="2967"/>
      <c r="FF16" s="2967"/>
      <c r="FG16" s="2967"/>
      <c r="FH16" s="2967"/>
      <c r="FI16" s="2967"/>
      <c r="FJ16" s="2967"/>
      <c r="FK16" s="2967"/>
      <c r="FL16" s="2967"/>
      <c r="FM16" s="2967"/>
      <c r="FN16" s="2967"/>
      <c r="FO16" s="2967"/>
      <c r="FP16" s="2967"/>
      <c r="FQ16" s="2967"/>
      <c r="FR16" s="2967"/>
      <c r="FS16" s="2967"/>
      <c r="FT16" s="2967"/>
      <c r="FU16" s="2967"/>
      <c r="FV16" s="2967"/>
      <c r="FW16" s="2967"/>
      <c r="FX16" s="2967"/>
      <c r="FY16" s="2967"/>
      <c r="FZ16" s="2967"/>
      <c r="GA16" s="2967"/>
      <c r="GB16" s="2967"/>
      <c r="GC16" s="2967"/>
      <c r="GD16" s="2967"/>
      <c r="GE16" s="2967"/>
      <c r="GF16" s="2967"/>
      <c r="GG16" s="2967"/>
      <c r="GH16" s="2967"/>
      <c r="GI16" s="2967"/>
      <c r="GJ16" s="2967"/>
      <c r="GK16" s="2967"/>
      <c r="GL16" s="2967"/>
      <c r="GM16" s="2967"/>
      <c r="GN16" s="2967"/>
      <c r="GO16" s="2967"/>
      <c r="GP16" s="2967"/>
      <c r="GQ16" s="2967"/>
      <c r="GR16" s="2967"/>
      <c r="GS16" s="2967"/>
      <c r="GT16" s="2967"/>
      <c r="GU16" s="2967"/>
      <c r="GV16" s="2967"/>
      <c r="GW16" s="2967"/>
      <c r="GX16" s="2967"/>
      <c r="GY16" s="2967"/>
      <c r="GZ16" s="2967"/>
      <c r="HA16" s="2967"/>
      <c r="HB16" s="2967"/>
      <c r="HC16" s="2967"/>
      <c r="HD16" s="2967"/>
      <c r="HE16" s="2967"/>
      <c r="HF16" s="2967"/>
      <c r="HG16" s="2967"/>
      <c r="HH16" s="2967"/>
      <c r="HI16" s="2967"/>
      <c r="HJ16" s="2967"/>
      <c r="HK16" s="2967"/>
      <c r="HL16" s="2967"/>
      <c r="HM16" s="2967"/>
      <c r="HN16" s="2967"/>
      <c r="HO16" s="2967"/>
      <c r="HP16" s="2967"/>
      <c r="HQ16" s="2967"/>
      <c r="HR16" s="2967"/>
      <c r="HS16" s="2967"/>
      <c r="HT16" s="2967"/>
      <c r="HU16" s="2967"/>
      <c r="HV16" s="2967"/>
      <c r="HW16" s="2967"/>
      <c r="HX16" s="2967"/>
      <c r="HY16" s="2967"/>
      <c r="HZ16" s="2967"/>
      <c r="IA16" s="2967"/>
      <c r="IB16" s="2967"/>
      <c r="IC16" s="2967"/>
      <c r="ID16" s="2967"/>
      <c r="IE16" s="2967"/>
      <c r="IF16" s="2967"/>
      <c r="IG16" s="2967"/>
      <c r="IH16" s="2967"/>
      <c r="II16" s="2967"/>
      <c r="IJ16" s="2967"/>
      <c r="IK16" s="2967"/>
      <c r="IL16" s="2967"/>
      <c r="IM16" s="2967"/>
      <c r="IN16" s="2967"/>
      <c r="IO16" s="2967"/>
      <c r="IP16" s="2967"/>
      <c r="IQ16" s="2967"/>
      <c r="IR16" s="2967"/>
      <c r="IS16" s="2967"/>
      <c r="IT16" s="2967"/>
      <c r="IU16" s="2967"/>
      <c r="IV16" s="2967"/>
    </row>
    <row r="17" spans="1:256">
      <c r="A17" s="3338"/>
      <c r="B17" s="2964" t="s">
        <v>3079</v>
      </c>
      <c r="C17" s="2965">
        <v>463.85</v>
      </c>
      <c r="D17" s="2965">
        <v>130.72</v>
      </c>
      <c r="E17" s="2966" t="s">
        <v>3063</v>
      </c>
      <c r="F17" s="3339"/>
      <c r="G17" s="3339"/>
      <c r="H17" s="2967"/>
      <c r="I17" s="2967"/>
      <c r="J17" s="2967"/>
      <c r="K17" s="2967"/>
      <c r="L17" s="2967"/>
      <c r="M17" s="2967"/>
      <c r="N17" s="2967"/>
      <c r="O17" s="2967"/>
      <c r="P17" s="2967"/>
      <c r="Q17" s="2967"/>
      <c r="R17" s="2967"/>
      <c r="S17" s="2967"/>
      <c r="T17" s="2967"/>
      <c r="U17" s="2967"/>
      <c r="V17" s="2967"/>
      <c r="W17" s="2967"/>
      <c r="X17" s="2967"/>
      <c r="Y17" s="2967"/>
      <c r="Z17" s="2967"/>
      <c r="AA17" s="2967"/>
      <c r="AB17" s="2967"/>
      <c r="AC17" s="2967"/>
      <c r="AD17" s="2967"/>
      <c r="AE17" s="2967"/>
      <c r="AF17" s="2967"/>
      <c r="AG17" s="2967"/>
      <c r="AH17" s="2967"/>
      <c r="AI17" s="2967"/>
      <c r="AJ17" s="2967"/>
      <c r="AK17" s="2967"/>
      <c r="AL17" s="2967"/>
      <c r="AM17" s="2967"/>
      <c r="AN17" s="2967"/>
      <c r="AO17" s="2967"/>
      <c r="AP17" s="2967"/>
      <c r="AQ17" s="2967"/>
      <c r="AR17" s="2967"/>
      <c r="AS17" s="2967"/>
      <c r="AT17" s="2967"/>
      <c r="AU17" s="2967"/>
      <c r="AV17" s="2967"/>
      <c r="AW17" s="2967"/>
      <c r="AX17" s="2967"/>
      <c r="AY17" s="2967"/>
      <c r="AZ17" s="2967"/>
      <c r="BA17" s="2967"/>
      <c r="BB17" s="2967"/>
      <c r="BC17" s="2967"/>
      <c r="BD17" s="2967"/>
      <c r="BE17" s="2967"/>
      <c r="BF17" s="2967"/>
      <c r="BG17" s="2967"/>
      <c r="BH17" s="2967"/>
      <c r="BI17" s="2967"/>
      <c r="BJ17" s="2967"/>
      <c r="BK17" s="2967"/>
      <c r="BL17" s="2967"/>
      <c r="BM17" s="2967"/>
      <c r="BN17" s="2967"/>
      <c r="BO17" s="2967"/>
      <c r="BP17" s="2967"/>
      <c r="BQ17" s="2967"/>
      <c r="BR17" s="2967"/>
      <c r="BS17" s="2967"/>
      <c r="BT17" s="2967"/>
      <c r="BU17" s="2967"/>
      <c r="BV17" s="2967"/>
      <c r="BW17" s="2967"/>
      <c r="BX17" s="2967"/>
      <c r="BY17" s="2967"/>
      <c r="BZ17" s="2967"/>
      <c r="CA17" s="2967"/>
      <c r="CB17" s="2967"/>
      <c r="CC17" s="2967"/>
      <c r="CD17" s="2967"/>
      <c r="CE17" s="2967"/>
      <c r="CF17" s="2967"/>
      <c r="CG17" s="2967"/>
      <c r="CH17" s="2967"/>
      <c r="CI17" s="2967"/>
      <c r="CJ17" s="2967"/>
      <c r="CK17" s="2967"/>
      <c r="CL17" s="2967"/>
      <c r="CM17" s="2967"/>
      <c r="CN17" s="2967"/>
      <c r="CO17" s="2967"/>
      <c r="CP17" s="2967"/>
      <c r="CQ17" s="2967"/>
      <c r="CR17" s="2967"/>
      <c r="CS17" s="2967"/>
      <c r="CT17" s="2967"/>
      <c r="CU17" s="2967"/>
      <c r="CV17" s="2967"/>
      <c r="CW17" s="2967"/>
      <c r="CX17" s="2967"/>
      <c r="CY17" s="2967"/>
      <c r="CZ17" s="2967"/>
      <c r="DA17" s="2967"/>
      <c r="DB17" s="2967"/>
      <c r="DC17" s="2967"/>
      <c r="DD17" s="2967"/>
      <c r="DE17" s="2967"/>
      <c r="DF17" s="2967"/>
      <c r="DG17" s="2967"/>
      <c r="DH17" s="2967"/>
      <c r="DI17" s="2967"/>
      <c r="DJ17" s="2967"/>
      <c r="DK17" s="2967"/>
      <c r="DL17" s="2967"/>
      <c r="DM17" s="2967"/>
      <c r="DN17" s="2967"/>
      <c r="DO17" s="2967"/>
      <c r="DP17" s="2967"/>
      <c r="DQ17" s="2967"/>
      <c r="DR17" s="2967"/>
      <c r="DS17" s="2967"/>
      <c r="DT17" s="2967"/>
      <c r="DU17" s="2967"/>
      <c r="DV17" s="2967"/>
      <c r="DW17" s="2967"/>
      <c r="DX17" s="2967"/>
      <c r="DY17" s="2967"/>
      <c r="DZ17" s="2967"/>
      <c r="EA17" s="2967"/>
      <c r="EB17" s="2967"/>
      <c r="EC17" s="2967"/>
      <c r="ED17" s="2967"/>
      <c r="EE17" s="2967"/>
      <c r="EF17" s="2967"/>
      <c r="EG17" s="2967"/>
      <c r="EH17" s="2967"/>
      <c r="EI17" s="2967"/>
      <c r="EJ17" s="2967"/>
      <c r="EK17" s="2967"/>
      <c r="EL17" s="2967"/>
      <c r="EM17" s="2967"/>
      <c r="EN17" s="2967"/>
      <c r="EO17" s="2967"/>
      <c r="EP17" s="2967"/>
      <c r="EQ17" s="2967"/>
      <c r="ER17" s="2967"/>
      <c r="ES17" s="2967"/>
      <c r="ET17" s="2967"/>
      <c r="EU17" s="2967"/>
      <c r="EV17" s="2967"/>
      <c r="EW17" s="2967"/>
      <c r="EX17" s="2967"/>
      <c r="EY17" s="2967"/>
      <c r="EZ17" s="2967"/>
      <c r="FA17" s="2967"/>
      <c r="FB17" s="2967"/>
      <c r="FC17" s="2967"/>
      <c r="FD17" s="2967"/>
      <c r="FE17" s="2967"/>
      <c r="FF17" s="2967"/>
      <c r="FG17" s="2967"/>
      <c r="FH17" s="2967"/>
      <c r="FI17" s="2967"/>
      <c r="FJ17" s="2967"/>
      <c r="FK17" s="2967"/>
      <c r="FL17" s="2967"/>
      <c r="FM17" s="2967"/>
      <c r="FN17" s="2967"/>
      <c r="FO17" s="2967"/>
      <c r="FP17" s="2967"/>
      <c r="FQ17" s="2967"/>
      <c r="FR17" s="2967"/>
      <c r="FS17" s="2967"/>
      <c r="FT17" s="2967"/>
      <c r="FU17" s="2967"/>
      <c r="FV17" s="2967"/>
      <c r="FW17" s="2967"/>
      <c r="FX17" s="2967"/>
      <c r="FY17" s="2967"/>
      <c r="FZ17" s="2967"/>
      <c r="GA17" s="2967"/>
      <c r="GB17" s="2967"/>
      <c r="GC17" s="2967"/>
      <c r="GD17" s="2967"/>
      <c r="GE17" s="2967"/>
      <c r="GF17" s="2967"/>
      <c r="GG17" s="2967"/>
      <c r="GH17" s="2967"/>
      <c r="GI17" s="2967"/>
      <c r="GJ17" s="2967"/>
      <c r="GK17" s="2967"/>
      <c r="GL17" s="2967"/>
      <c r="GM17" s="2967"/>
      <c r="GN17" s="2967"/>
      <c r="GO17" s="2967"/>
      <c r="GP17" s="2967"/>
      <c r="GQ17" s="2967"/>
      <c r="GR17" s="2967"/>
      <c r="GS17" s="2967"/>
      <c r="GT17" s="2967"/>
      <c r="GU17" s="2967"/>
      <c r="GV17" s="2967"/>
      <c r="GW17" s="2967"/>
      <c r="GX17" s="2967"/>
      <c r="GY17" s="2967"/>
      <c r="GZ17" s="2967"/>
      <c r="HA17" s="2967"/>
      <c r="HB17" s="2967"/>
      <c r="HC17" s="2967"/>
      <c r="HD17" s="2967"/>
      <c r="HE17" s="2967"/>
      <c r="HF17" s="2967"/>
      <c r="HG17" s="2967"/>
      <c r="HH17" s="2967"/>
      <c r="HI17" s="2967"/>
      <c r="HJ17" s="2967"/>
      <c r="HK17" s="2967"/>
      <c r="HL17" s="2967"/>
      <c r="HM17" s="2967"/>
      <c r="HN17" s="2967"/>
      <c r="HO17" s="2967"/>
      <c r="HP17" s="2967"/>
      <c r="HQ17" s="2967"/>
      <c r="HR17" s="2967"/>
      <c r="HS17" s="2967"/>
      <c r="HT17" s="2967"/>
      <c r="HU17" s="2967"/>
      <c r="HV17" s="2967"/>
      <c r="HW17" s="2967"/>
      <c r="HX17" s="2967"/>
      <c r="HY17" s="2967"/>
      <c r="HZ17" s="2967"/>
      <c r="IA17" s="2967"/>
      <c r="IB17" s="2967"/>
      <c r="IC17" s="2967"/>
      <c r="ID17" s="2967"/>
      <c r="IE17" s="2967"/>
      <c r="IF17" s="2967"/>
      <c r="IG17" s="2967"/>
      <c r="IH17" s="2967"/>
      <c r="II17" s="2967"/>
      <c r="IJ17" s="2967"/>
      <c r="IK17" s="2967"/>
      <c r="IL17" s="2967"/>
      <c r="IM17" s="2967"/>
      <c r="IN17" s="2967"/>
      <c r="IO17" s="2967"/>
      <c r="IP17" s="2967"/>
      <c r="IQ17" s="2967"/>
      <c r="IR17" s="2967"/>
      <c r="IS17" s="2967"/>
      <c r="IT17" s="2967"/>
      <c r="IU17" s="2967"/>
      <c r="IV17" s="2967"/>
    </row>
    <row r="18" spans="1:256">
      <c r="A18" s="3338"/>
      <c r="B18" s="2964" t="s">
        <v>3080</v>
      </c>
      <c r="C18" s="2965">
        <v>51.8</v>
      </c>
      <c r="D18" s="2965">
        <v>14.6</v>
      </c>
      <c r="E18" s="2966" t="s">
        <v>3063</v>
      </c>
      <c r="F18" s="3339"/>
      <c r="G18" s="3339"/>
      <c r="H18" s="2967"/>
      <c r="I18" s="2967"/>
      <c r="J18" s="2967"/>
      <c r="K18" s="2967"/>
      <c r="L18" s="2967"/>
      <c r="M18" s="2967"/>
      <c r="N18" s="2967"/>
      <c r="O18" s="2967"/>
      <c r="P18" s="2967"/>
      <c r="Q18" s="2967"/>
      <c r="R18" s="2967"/>
      <c r="S18" s="2967"/>
      <c r="T18" s="2967"/>
      <c r="U18" s="2967"/>
      <c r="V18" s="2967"/>
      <c r="W18" s="2967"/>
      <c r="X18" s="2967"/>
      <c r="Y18" s="2967"/>
      <c r="Z18" s="2967"/>
      <c r="AA18" s="2967"/>
      <c r="AB18" s="2967"/>
      <c r="AC18" s="2967"/>
      <c r="AD18" s="2967"/>
      <c r="AE18" s="2967"/>
      <c r="AF18" s="2967"/>
      <c r="AG18" s="2967"/>
      <c r="AH18" s="2967"/>
      <c r="AI18" s="2967"/>
      <c r="AJ18" s="2967"/>
      <c r="AK18" s="2967"/>
      <c r="AL18" s="2967"/>
      <c r="AM18" s="2967"/>
      <c r="AN18" s="2967"/>
      <c r="AO18" s="2967"/>
      <c r="AP18" s="2967"/>
      <c r="AQ18" s="2967"/>
      <c r="AR18" s="2967"/>
      <c r="AS18" s="2967"/>
      <c r="AT18" s="2967"/>
      <c r="AU18" s="2967"/>
      <c r="AV18" s="2967"/>
      <c r="AW18" s="2967"/>
      <c r="AX18" s="2967"/>
      <c r="AY18" s="2967"/>
      <c r="AZ18" s="2967"/>
      <c r="BA18" s="2967"/>
      <c r="BB18" s="2967"/>
      <c r="BC18" s="2967"/>
      <c r="BD18" s="2967"/>
      <c r="BE18" s="2967"/>
      <c r="BF18" s="2967"/>
      <c r="BG18" s="2967"/>
      <c r="BH18" s="2967"/>
      <c r="BI18" s="2967"/>
      <c r="BJ18" s="2967"/>
      <c r="BK18" s="2967"/>
      <c r="BL18" s="2967"/>
      <c r="BM18" s="2967"/>
      <c r="BN18" s="2967"/>
      <c r="BO18" s="2967"/>
      <c r="BP18" s="2967"/>
      <c r="BQ18" s="2967"/>
      <c r="BR18" s="2967"/>
      <c r="BS18" s="2967"/>
      <c r="BT18" s="2967"/>
      <c r="BU18" s="2967"/>
      <c r="BV18" s="2967"/>
      <c r="BW18" s="2967"/>
      <c r="BX18" s="2967"/>
      <c r="BY18" s="2967"/>
      <c r="BZ18" s="2967"/>
      <c r="CA18" s="2967"/>
      <c r="CB18" s="2967"/>
      <c r="CC18" s="2967"/>
      <c r="CD18" s="2967"/>
      <c r="CE18" s="2967"/>
      <c r="CF18" s="2967"/>
      <c r="CG18" s="2967"/>
      <c r="CH18" s="2967"/>
      <c r="CI18" s="2967"/>
      <c r="CJ18" s="2967"/>
      <c r="CK18" s="2967"/>
      <c r="CL18" s="2967"/>
      <c r="CM18" s="2967"/>
      <c r="CN18" s="2967"/>
      <c r="CO18" s="2967"/>
      <c r="CP18" s="2967"/>
      <c r="CQ18" s="2967"/>
      <c r="CR18" s="2967"/>
      <c r="CS18" s="2967"/>
      <c r="CT18" s="2967"/>
      <c r="CU18" s="2967"/>
      <c r="CV18" s="2967"/>
      <c r="CW18" s="2967"/>
      <c r="CX18" s="2967"/>
      <c r="CY18" s="2967"/>
      <c r="CZ18" s="2967"/>
      <c r="DA18" s="2967"/>
      <c r="DB18" s="2967"/>
      <c r="DC18" s="2967"/>
      <c r="DD18" s="2967"/>
      <c r="DE18" s="2967"/>
      <c r="DF18" s="2967"/>
      <c r="DG18" s="2967"/>
      <c r="DH18" s="2967"/>
      <c r="DI18" s="2967"/>
      <c r="DJ18" s="2967"/>
      <c r="DK18" s="2967"/>
      <c r="DL18" s="2967"/>
      <c r="DM18" s="2967"/>
      <c r="DN18" s="2967"/>
      <c r="DO18" s="2967"/>
      <c r="DP18" s="2967"/>
      <c r="DQ18" s="2967"/>
      <c r="DR18" s="2967"/>
      <c r="DS18" s="2967"/>
      <c r="DT18" s="2967"/>
      <c r="DU18" s="2967"/>
      <c r="DV18" s="2967"/>
      <c r="DW18" s="2967"/>
      <c r="DX18" s="2967"/>
      <c r="DY18" s="2967"/>
      <c r="DZ18" s="2967"/>
      <c r="EA18" s="2967"/>
      <c r="EB18" s="2967"/>
      <c r="EC18" s="2967"/>
      <c r="ED18" s="2967"/>
      <c r="EE18" s="2967"/>
      <c r="EF18" s="2967"/>
      <c r="EG18" s="2967"/>
      <c r="EH18" s="2967"/>
      <c r="EI18" s="2967"/>
      <c r="EJ18" s="2967"/>
      <c r="EK18" s="2967"/>
      <c r="EL18" s="2967"/>
      <c r="EM18" s="2967"/>
      <c r="EN18" s="2967"/>
      <c r="EO18" s="2967"/>
      <c r="EP18" s="2967"/>
      <c r="EQ18" s="2967"/>
      <c r="ER18" s="2967"/>
      <c r="ES18" s="2967"/>
      <c r="ET18" s="2967"/>
      <c r="EU18" s="2967"/>
      <c r="EV18" s="2967"/>
      <c r="EW18" s="2967"/>
      <c r="EX18" s="2967"/>
      <c r="EY18" s="2967"/>
      <c r="EZ18" s="2967"/>
      <c r="FA18" s="2967"/>
      <c r="FB18" s="2967"/>
      <c r="FC18" s="2967"/>
      <c r="FD18" s="2967"/>
      <c r="FE18" s="2967"/>
      <c r="FF18" s="2967"/>
      <c r="FG18" s="2967"/>
      <c r="FH18" s="2967"/>
      <c r="FI18" s="2967"/>
      <c r="FJ18" s="2967"/>
      <c r="FK18" s="2967"/>
      <c r="FL18" s="2967"/>
      <c r="FM18" s="2967"/>
      <c r="FN18" s="2967"/>
      <c r="FO18" s="2967"/>
      <c r="FP18" s="2967"/>
      <c r="FQ18" s="2967"/>
      <c r="FR18" s="2967"/>
      <c r="FS18" s="2967"/>
      <c r="FT18" s="2967"/>
      <c r="FU18" s="2967"/>
      <c r="FV18" s="2967"/>
      <c r="FW18" s="2967"/>
      <c r="FX18" s="2967"/>
      <c r="FY18" s="2967"/>
      <c r="FZ18" s="2967"/>
      <c r="GA18" s="2967"/>
      <c r="GB18" s="2967"/>
      <c r="GC18" s="2967"/>
      <c r="GD18" s="2967"/>
      <c r="GE18" s="2967"/>
      <c r="GF18" s="2967"/>
      <c r="GG18" s="2967"/>
      <c r="GH18" s="2967"/>
      <c r="GI18" s="2967"/>
      <c r="GJ18" s="2967"/>
      <c r="GK18" s="2967"/>
      <c r="GL18" s="2967"/>
      <c r="GM18" s="2967"/>
      <c r="GN18" s="2967"/>
      <c r="GO18" s="2967"/>
      <c r="GP18" s="2967"/>
      <c r="GQ18" s="2967"/>
      <c r="GR18" s="2967"/>
      <c r="GS18" s="2967"/>
      <c r="GT18" s="2967"/>
      <c r="GU18" s="2967"/>
      <c r="GV18" s="2967"/>
      <c r="GW18" s="2967"/>
      <c r="GX18" s="2967"/>
      <c r="GY18" s="2967"/>
      <c r="GZ18" s="2967"/>
      <c r="HA18" s="2967"/>
      <c r="HB18" s="2967"/>
      <c r="HC18" s="2967"/>
      <c r="HD18" s="2967"/>
      <c r="HE18" s="2967"/>
      <c r="HF18" s="2967"/>
      <c r="HG18" s="2967"/>
      <c r="HH18" s="2967"/>
      <c r="HI18" s="2967"/>
      <c r="HJ18" s="2967"/>
      <c r="HK18" s="2967"/>
      <c r="HL18" s="2967"/>
      <c r="HM18" s="2967"/>
      <c r="HN18" s="2967"/>
      <c r="HO18" s="2967"/>
      <c r="HP18" s="2967"/>
      <c r="HQ18" s="2967"/>
      <c r="HR18" s="2967"/>
      <c r="HS18" s="2967"/>
      <c r="HT18" s="2967"/>
      <c r="HU18" s="2967"/>
      <c r="HV18" s="2967"/>
      <c r="HW18" s="2967"/>
      <c r="HX18" s="2967"/>
      <c r="HY18" s="2967"/>
      <c r="HZ18" s="2967"/>
      <c r="IA18" s="2967"/>
      <c r="IB18" s="2967"/>
      <c r="IC18" s="2967"/>
      <c r="ID18" s="2967"/>
      <c r="IE18" s="2967"/>
      <c r="IF18" s="2967"/>
      <c r="IG18" s="2967"/>
      <c r="IH18" s="2967"/>
      <c r="II18" s="2967"/>
      <c r="IJ18" s="2967"/>
      <c r="IK18" s="2967"/>
      <c r="IL18" s="2967"/>
      <c r="IM18" s="2967"/>
      <c r="IN18" s="2967"/>
      <c r="IO18" s="2967"/>
      <c r="IP18" s="2967"/>
      <c r="IQ18" s="2967"/>
      <c r="IR18" s="2967"/>
      <c r="IS18" s="2967"/>
      <c r="IT18" s="2967"/>
      <c r="IU18" s="2967"/>
      <c r="IV18" s="2967"/>
    </row>
    <row r="19" spans="1:256">
      <c r="A19" s="3338"/>
      <c r="B19" s="2964" t="s">
        <v>3081</v>
      </c>
      <c r="C19" s="2968">
        <v>584.09</v>
      </c>
      <c r="D19" s="2969">
        <v>164.6</v>
      </c>
      <c r="E19" s="2966" t="s">
        <v>3063</v>
      </c>
      <c r="F19" s="3339"/>
      <c r="G19" s="3339"/>
      <c r="H19" s="2967"/>
      <c r="I19" s="2967"/>
      <c r="J19" s="2967"/>
      <c r="K19" s="2967"/>
      <c r="L19" s="2967"/>
      <c r="M19" s="2967"/>
      <c r="N19" s="2967"/>
      <c r="O19" s="2967"/>
      <c r="P19" s="2967"/>
      <c r="Q19" s="2967"/>
      <c r="R19" s="2967"/>
      <c r="S19" s="2967"/>
      <c r="T19" s="2967"/>
      <c r="U19" s="2967"/>
      <c r="V19" s="2967"/>
      <c r="W19" s="2967"/>
      <c r="X19" s="2967"/>
      <c r="Y19" s="2967"/>
      <c r="Z19" s="2967"/>
      <c r="AA19" s="2967"/>
      <c r="AB19" s="2967"/>
      <c r="AC19" s="2967"/>
      <c r="AD19" s="2967"/>
      <c r="AE19" s="2967"/>
      <c r="AF19" s="2967"/>
      <c r="AG19" s="2967"/>
      <c r="AH19" s="2967"/>
      <c r="AI19" s="2967"/>
      <c r="AJ19" s="2967"/>
      <c r="AK19" s="2967"/>
      <c r="AL19" s="2967"/>
      <c r="AM19" s="2967"/>
      <c r="AN19" s="2967"/>
      <c r="AO19" s="2967"/>
      <c r="AP19" s="2967"/>
      <c r="AQ19" s="2967"/>
      <c r="AR19" s="2967"/>
      <c r="AS19" s="2967"/>
      <c r="AT19" s="2967"/>
      <c r="AU19" s="2967"/>
      <c r="AV19" s="2967"/>
      <c r="AW19" s="2967"/>
      <c r="AX19" s="2967"/>
      <c r="AY19" s="2967"/>
      <c r="AZ19" s="2967"/>
      <c r="BA19" s="2967"/>
      <c r="BB19" s="2967"/>
      <c r="BC19" s="2967"/>
      <c r="BD19" s="2967"/>
      <c r="BE19" s="2967"/>
      <c r="BF19" s="2967"/>
      <c r="BG19" s="2967"/>
      <c r="BH19" s="2967"/>
      <c r="BI19" s="2967"/>
      <c r="BJ19" s="2967"/>
      <c r="BK19" s="2967"/>
      <c r="BL19" s="2967"/>
      <c r="BM19" s="2967"/>
      <c r="BN19" s="2967"/>
      <c r="BO19" s="2967"/>
      <c r="BP19" s="2967"/>
      <c r="BQ19" s="2967"/>
      <c r="BR19" s="2967"/>
      <c r="BS19" s="2967"/>
      <c r="BT19" s="2967"/>
      <c r="BU19" s="2967"/>
      <c r="BV19" s="2967"/>
      <c r="BW19" s="2967"/>
      <c r="BX19" s="2967"/>
      <c r="BY19" s="2967"/>
      <c r="BZ19" s="2967"/>
      <c r="CA19" s="2967"/>
      <c r="CB19" s="2967"/>
      <c r="CC19" s="2967"/>
      <c r="CD19" s="2967"/>
      <c r="CE19" s="2967"/>
      <c r="CF19" s="2967"/>
      <c r="CG19" s="2967"/>
      <c r="CH19" s="2967"/>
      <c r="CI19" s="2967"/>
      <c r="CJ19" s="2967"/>
      <c r="CK19" s="2967"/>
      <c r="CL19" s="2967"/>
      <c r="CM19" s="2967"/>
      <c r="CN19" s="2967"/>
      <c r="CO19" s="2967"/>
      <c r="CP19" s="2967"/>
      <c r="CQ19" s="2967"/>
      <c r="CR19" s="2967"/>
      <c r="CS19" s="2967"/>
      <c r="CT19" s="2967"/>
      <c r="CU19" s="2967"/>
      <c r="CV19" s="2967"/>
      <c r="CW19" s="2967"/>
      <c r="CX19" s="2967"/>
      <c r="CY19" s="2967"/>
      <c r="CZ19" s="2967"/>
      <c r="DA19" s="2967"/>
      <c r="DB19" s="2967"/>
      <c r="DC19" s="2967"/>
      <c r="DD19" s="2967"/>
      <c r="DE19" s="2967"/>
      <c r="DF19" s="2967"/>
      <c r="DG19" s="2967"/>
      <c r="DH19" s="2967"/>
      <c r="DI19" s="2967"/>
      <c r="DJ19" s="2967"/>
      <c r="DK19" s="2967"/>
      <c r="DL19" s="2967"/>
      <c r="DM19" s="2967"/>
      <c r="DN19" s="2967"/>
      <c r="DO19" s="2967"/>
      <c r="DP19" s="2967"/>
      <c r="DQ19" s="2967"/>
      <c r="DR19" s="2967"/>
      <c r="DS19" s="2967"/>
      <c r="DT19" s="2967"/>
      <c r="DU19" s="2967"/>
      <c r="DV19" s="2967"/>
      <c r="DW19" s="2967"/>
      <c r="DX19" s="2967"/>
      <c r="DY19" s="2967"/>
      <c r="DZ19" s="2967"/>
      <c r="EA19" s="2967"/>
      <c r="EB19" s="2967"/>
      <c r="EC19" s="2967"/>
      <c r="ED19" s="2967"/>
      <c r="EE19" s="2967"/>
      <c r="EF19" s="2967"/>
      <c r="EG19" s="2967"/>
      <c r="EH19" s="2967"/>
      <c r="EI19" s="2967"/>
      <c r="EJ19" s="2967"/>
      <c r="EK19" s="2967"/>
      <c r="EL19" s="2967"/>
      <c r="EM19" s="2967"/>
      <c r="EN19" s="2967"/>
      <c r="EO19" s="2967"/>
      <c r="EP19" s="2967"/>
      <c r="EQ19" s="2967"/>
      <c r="ER19" s="2967"/>
      <c r="ES19" s="2967"/>
      <c r="ET19" s="2967"/>
      <c r="EU19" s="2967"/>
      <c r="EV19" s="2967"/>
      <c r="EW19" s="2967"/>
      <c r="EX19" s="2967"/>
      <c r="EY19" s="2967"/>
      <c r="EZ19" s="2967"/>
      <c r="FA19" s="2967"/>
      <c r="FB19" s="2967"/>
      <c r="FC19" s="2967"/>
      <c r="FD19" s="2967"/>
      <c r="FE19" s="2967"/>
      <c r="FF19" s="2967"/>
      <c r="FG19" s="2967"/>
      <c r="FH19" s="2967"/>
      <c r="FI19" s="2967"/>
      <c r="FJ19" s="2967"/>
      <c r="FK19" s="2967"/>
      <c r="FL19" s="2967"/>
      <c r="FM19" s="2967"/>
      <c r="FN19" s="2967"/>
      <c r="FO19" s="2967"/>
      <c r="FP19" s="2967"/>
      <c r="FQ19" s="2967"/>
      <c r="FR19" s="2967"/>
      <c r="FS19" s="2967"/>
      <c r="FT19" s="2967"/>
      <c r="FU19" s="2967"/>
      <c r="FV19" s="2967"/>
      <c r="FW19" s="2967"/>
      <c r="FX19" s="2967"/>
      <c r="FY19" s="2967"/>
      <c r="FZ19" s="2967"/>
      <c r="GA19" s="2967"/>
      <c r="GB19" s="2967"/>
      <c r="GC19" s="2967"/>
      <c r="GD19" s="2967"/>
      <c r="GE19" s="2967"/>
      <c r="GF19" s="2967"/>
      <c r="GG19" s="2967"/>
      <c r="GH19" s="2967"/>
      <c r="GI19" s="2967"/>
      <c r="GJ19" s="2967"/>
      <c r="GK19" s="2967"/>
      <c r="GL19" s="2967"/>
      <c r="GM19" s="2967"/>
      <c r="GN19" s="2967"/>
      <c r="GO19" s="2967"/>
      <c r="GP19" s="2967"/>
      <c r="GQ19" s="2967"/>
      <c r="GR19" s="2967"/>
      <c r="GS19" s="2967"/>
      <c r="GT19" s="2967"/>
      <c r="GU19" s="2967"/>
      <c r="GV19" s="2967"/>
      <c r="GW19" s="2967"/>
      <c r="GX19" s="2967"/>
      <c r="GY19" s="2967"/>
      <c r="GZ19" s="2967"/>
      <c r="HA19" s="2967"/>
      <c r="HB19" s="2967"/>
      <c r="HC19" s="2967"/>
      <c r="HD19" s="2967"/>
      <c r="HE19" s="2967"/>
      <c r="HF19" s="2967"/>
      <c r="HG19" s="2967"/>
      <c r="HH19" s="2967"/>
      <c r="HI19" s="2967"/>
      <c r="HJ19" s="2967"/>
      <c r="HK19" s="2967"/>
      <c r="HL19" s="2967"/>
      <c r="HM19" s="2967"/>
      <c r="HN19" s="2967"/>
      <c r="HO19" s="2967"/>
      <c r="HP19" s="2967"/>
      <c r="HQ19" s="2967"/>
      <c r="HR19" s="2967"/>
      <c r="HS19" s="2967"/>
      <c r="HT19" s="2967"/>
      <c r="HU19" s="2967"/>
      <c r="HV19" s="2967"/>
      <c r="HW19" s="2967"/>
      <c r="HX19" s="2967"/>
      <c r="HY19" s="2967"/>
      <c r="HZ19" s="2967"/>
      <c r="IA19" s="2967"/>
      <c r="IB19" s="2967"/>
      <c r="IC19" s="2967"/>
      <c r="ID19" s="2967"/>
      <c r="IE19" s="2967"/>
      <c r="IF19" s="2967"/>
      <c r="IG19" s="2967"/>
      <c r="IH19" s="2967"/>
      <c r="II19" s="2967"/>
      <c r="IJ19" s="2967"/>
      <c r="IK19" s="2967"/>
      <c r="IL19" s="2967"/>
      <c r="IM19" s="2967"/>
      <c r="IN19" s="2967"/>
      <c r="IO19" s="2967"/>
      <c r="IP19" s="2967"/>
      <c r="IQ19" s="2967"/>
      <c r="IR19" s="2967"/>
      <c r="IS19" s="2967"/>
      <c r="IT19" s="2967"/>
      <c r="IU19" s="2967"/>
      <c r="IV19" s="2967"/>
    </row>
    <row r="20" spans="1:256">
      <c r="A20" s="3338"/>
      <c r="B20" s="2964" t="s">
        <v>3082</v>
      </c>
      <c r="C20" s="2968">
        <v>152.21</v>
      </c>
      <c r="D20" s="2969">
        <v>42.89</v>
      </c>
      <c r="E20" s="2966" t="s">
        <v>3063</v>
      </c>
      <c r="F20" s="3339"/>
      <c r="G20" s="3339"/>
      <c r="H20" s="2967"/>
      <c r="I20" s="2967"/>
      <c r="J20" s="2967"/>
      <c r="K20" s="2967"/>
      <c r="L20" s="2967"/>
      <c r="M20" s="2967"/>
      <c r="N20" s="2967"/>
      <c r="O20" s="2967"/>
      <c r="P20" s="2967"/>
      <c r="Q20" s="2967"/>
      <c r="R20" s="2967"/>
      <c r="S20" s="2967"/>
      <c r="T20" s="2967"/>
      <c r="U20" s="2967"/>
      <c r="V20" s="2967"/>
      <c r="W20" s="2967"/>
      <c r="X20" s="2967"/>
      <c r="Y20" s="2967"/>
      <c r="Z20" s="2967"/>
      <c r="AA20" s="2967"/>
      <c r="AB20" s="2967"/>
      <c r="AC20" s="2967"/>
      <c r="AD20" s="2967"/>
      <c r="AE20" s="2967"/>
      <c r="AF20" s="2967"/>
      <c r="AG20" s="2967"/>
      <c r="AH20" s="2967"/>
      <c r="AI20" s="2967"/>
      <c r="AJ20" s="2967"/>
      <c r="AK20" s="2967"/>
      <c r="AL20" s="2967"/>
      <c r="AM20" s="2967"/>
      <c r="AN20" s="2967"/>
      <c r="AO20" s="2967"/>
      <c r="AP20" s="2967"/>
      <c r="AQ20" s="2967"/>
      <c r="AR20" s="2967"/>
      <c r="AS20" s="2967"/>
      <c r="AT20" s="2967"/>
      <c r="AU20" s="2967"/>
      <c r="AV20" s="2967"/>
      <c r="AW20" s="2967"/>
      <c r="AX20" s="2967"/>
      <c r="AY20" s="2967"/>
      <c r="AZ20" s="2967"/>
      <c r="BA20" s="2967"/>
      <c r="BB20" s="2967"/>
      <c r="BC20" s="2967"/>
      <c r="BD20" s="2967"/>
      <c r="BE20" s="2967"/>
      <c r="BF20" s="2967"/>
      <c r="BG20" s="2967"/>
      <c r="BH20" s="2967"/>
      <c r="BI20" s="2967"/>
      <c r="BJ20" s="2967"/>
      <c r="BK20" s="2967"/>
      <c r="BL20" s="2967"/>
      <c r="BM20" s="2967"/>
      <c r="BN20" s="2967"/>
      <c r="BO20" s="2967"/>
      <c r="BP20" s="2967"/>
      <c r="BQ20" s="2967"/>
      <c r="BR20" s="2967"/>
      <c r="BS20" s="2967"/>
      <c r="BT20" s="2967"/>
      <c r="BU20" s="2967"/>
      <c r="BV20" s="2967"/>
      <c r="BW20" s="2967"/>
      <c r="BX20" s="2967"/>
      <c r="BY20" s="2967"/>
      <c r="BZ20" s="2967"/>
      <c r="CA20" s="2967"/>
      <c r="CB20" s="2967"/>
      <c r="CC20" s="2967"/>
      <c r="CD20" s="2967"/>
      <c r="CE20" s="2967"/>
      <c r="CF20" s="2967"/>
      <c r="CG20" s="2967"/>
      <c r="CH20" s="2967"/>
      <c r="CI20" s="2967"/>
      <c r="CJ20" s="2967"/>
      <c r="CK20" s="2967"/>
      <c r="CL20" s="2967"/>
      <c r="CM20" s="2967"/>
      <c r="CN20" s="2967"/>
      <c r="CO20" s="2967"/>
      <c r="CP20" s="2967"/>
      <c r="CQ20" s="2967"/>
      <c r="CR20" s="2967"/>
      <c r="CS20" s="2967"/>
      <c r="CT20" s="2967"/>
      <c r="CU20" s="2967"/>
      <c r="CV20" s="2967"/>
      <c r="CW20" s="2967"/>
      <c r="CX20" s="2967"/>
      <c r="CY20" s="2967"/>
      <c r="CZ20" s="2967"/>
      <c r="DA20" s="2967"/>
      <c r="DB20" s="2967"/>
      <c r="DC20" s="2967"/>
      <c r="DD20" s="2967"/>
      <c r="DE20" s="2967"/>
      <c r="DF20" s="2967"/>
      <c r="DG20" s="2967"/>
      <c r="DH20" s="2967"/>
      <c r="DI20" s="2967"/>
      <c r="DJ20" s="2967"/>
      <c r="DK20" s="2967"/>
      <c r="DL20" s="2967"/>
      <c r="DM20" s="2967"/>
      <c r="DN20" s="2967"/>
      <c r="DO20" s="2967"/>
      <c r="DP20" s="2967"/>
      <c r="DQ20" s="2967"/>
      <c r="DR20" s="2967"/>
      <c r="DS20" s="2967"/>
      <c r="DT20" s="2967"/>
      <c r="DU20" s="2967"/>
      <c r="DV20" s="2967"/>
      <c r="DW20" s="2967"/>
      <c r="DX20" s="2967"/>
      <c r="DY20" s="2967"/>
      <c r="DZ20" s="2967"/>
      <c r="EA20" s="2967"/>
      <c r="EB20" s="2967"/>
      <c r="EC20" s="2967"/>
      <c r="ED20" s="2967"/>
      <c r="EE20" s="2967"/>
      <c r="EF20" s="2967"/>
      <c r="EG20" s="2967"/>
      <c r="EH20" s="2967"/>
      <c r="EI20" s="2967"/>
      <c r="EJ20" s="2967"/>
      <c r="EK20" s="2967"/>
      <c r="EL20" s="2967"/>
      <c r="EM20" s="2967"/>
      <c r="EN20" s="2967"/>
      <c r="EO20" s="2967"/>
      <c r="EP20" s="2967"/>
      <c r="EQ20" s="2967"/>
      <c r="ER20" s="2967"/>
      <c r="ES20" s="2967"/>
      <c r="ET20" s="2967"/>
      <c r="EU20" s="2967"/>
      <c r="EV20" s="2967"/>
      <c r="EW20" s="2967"/>
      <c r="EX20" s="2967"/>
      <c r="EY20" s="2967"/>
      <c r="EZ20" s="2967"/>
      <c r="FA20" s="2967"/>
      <c r="FB20" s="2967"/>
      <c r="FC20" s="2967"/>
      <c r="FD20" s="2967"/>
      <c r="FE20" s="2967"/>
      <c r="FF20" s="2967"/>
      <c r="FG20" s="2967"/>
      <c r="FH20" s="2967"/>
      <c r="FI20" s="2967"/>
      <c r="FJ20" s="2967"/>
      <c r="FK20" s="2967"/>
      <c r="FL20" s="2967"/>
      <c r="FM20" s="2967"/>
      <c r="FN20" s="2967"/>
      <c r="FO20" s="2967"/>
      <c r="FP20" s="2967"/>
      <c r="FQ20" s="2967"/>
      <c r="FR20" s="2967"/>
      <c r="FS20" s="2967"/>
      <c r="FT20" s="2967"/>
      <c r="FU20" s="2967"/>
      <c r="FV20" s="2967"/>
      <c r="FW20" s="2967"/>
      <c r="FX20" s="2967"/>
      <c r="FY20" s="2967"/>
      <c r="FZ20" s="2967"/>
      <c r="GA20" s="2967"/>
      <c r="GB20" s="2967"/>
      <c r="GC20" s="2967"/>
      <c r="GD20" s="2967"/>
      <c r="GE20" s="2967"/>
      <c r="GF20" s="2967"/>
      <c r="GG20" s="2967"/>
      <c r="GH20" s="2967"/>
      <c r="GI20" s="2967"/>
      <c r="GJ20" s="2967"/>
      <c r="GK20" s="2967"/>
      <c r="GL20" s="2967"/>
      <c r="GM20" s="2967"/>
      <c r="GN20" s="2967"/>
      <c r="GO20" s="2967"/>
      <c r="GP20" s="2967"/>
      <c r="GQ20" s="2967"/>
      <c r="GR20" s="2967"/>
      <c r="GS20" s="2967"/>
      <c r="GT20" s="2967"/>
      <c r="GU20" s="2967"/>
      <c r="GV20" s="2967"/>
      <c r="GW20" s="2967"/>
      <c r="GX20" s="2967"/>
      <c r="GY20" s="2967"/>
      <c r="GZ20" s="2967"/>
      <c r="HA20" s="2967"/>
      <c r="HB20" s="2967"/>
      <c r="HC20" s="2967"/>
      <c r="HD20" s="2967"/>
      <c r="HE20" s="2967"/>
      <c r="HF20" s="2967"/>
      <c r="HG20" s="2967"/>
      <c r="HH20" s="2967"/>
      <c r="HI20" s="2967"/>
      <c r="HJ20" s="2967"/>
      <c r="HK20" s="2967"/>
      <c r="HL20" s="2967"/>
      <c r="HM20" s="2967"/>
      <c r="HN20" s="2967"/>
      <c r="HO20" s="2967"/>
      <c r="HP20" s="2967"/>
      <c r="HQ20" s="2967"/>
      <c r="HR20" s="2967"/>
      <c r="HS20" s="2967"/>
      <c r="HT20" s="2967"/>
      <c r="HU20" s="2967"/>
      <c r="HV20" s="2967"/>
      <c r="HW20" s="2967"/>
      <c r="HX20" s="2967"/>
      <c r="HY20" s="2967"/>
      <c r="HZ20" s="2967"/>
      <c r="IA20" s="2967"/>
      <c r="IB20" s="2967"/>
      <c r="IC20" s="2967"/>
      <c r="ID20" s="2967"/>
      <c r="IE20" s="2967"/>
      <c r="IF20" s="2967"/>
      <c r="IG20" s="2967"/>
      <c r="IH20" s="2967"/>
      <c r="II20" s="2967"/>
      <c r="IJ20" s="2967"/>
      <c r="IK20" s="2967"/>
      <c r="IL20" s="2967"/>
      <c r="IM20" s="2967"/>
      <c r="IN20" s="2967"/>
      <c r="IO20" s="2967"/>
      <c r="IP20" s="2967"/>
      <c r="IQ20" s="2967"/>
      <c r="IR20" s="2967"/>
      <c r="IS20" s="2967"/>
      <c r="IT20" s="2967"/>
      <c r="IU20" s="2967"/>
      <c r="IV20" s="2967"/>
    </row>
    <row r="21" spans="1:256">
      <c r="A21" s="3338"/>
      <c r="B21" s="2964" t="s">
        <v>3083</v>
      </c>
      <c r="C21" s="2968">
        <v>73.14</v>
      </c>
      <c r="D21" s="2968">
        <v>20.61</v>
      </c>
      <c r="E21" s="2966" t="s">
        <v>3063</v>
      </c>
      <c r="F21" s="3339"/>
      <c r="G21" s="3339"/>
      <c r="H21" s="2967"/>
      <c r="I21" s="2967"/>
      <c r="J21" s="2967"/>
      <c r="K21" s="2967"/>
      <c r="L21" s="2967"/>
      <c r="M21" s="2967"/>
      <c r="N21" s="2967"/>
      <c r="O21" s="2967"/>
      <c r="P21" s="2967"/>
      <c r="Q21" s="2967"/>
      <c r="R21" s="2967"/>
      <c r="S21" s="2967"/>
      <c r="T21" s="2967"/>
      <c r="U21" s="2967"/>
      <c r="V21" s="2967"/>
      <c r="W21" s="2967"/>
      <c r="X21" s="2967"/>
      <c r="Y21" s="2967"/>
      <c r="Z21" s="2967"/>
      <c r="AA21" s="2967"/>
      <c r="AB21" s="2967"/>
      <c r="AC21" s="2967"/>
      <c r="AD21" s="2967"/>
      <c r="AE21" s="2967"/>
      <c r="AF21" s="2967"/>
      <c r="AG21" s="2967"/>
      <c r="AH21" s="2967"/>
      <c r="AI21" s="2967"/>
      <c r="AJ21" s="2967"/>
      <c r="AK21" s="2967"/>
      <c r="AL21" s="2967"/>
      <c r="AM21" s="2967"/>
      <c r="AN21" s="2967"/>
      <c r="AO21" s="2967"/>
      <c r="AP21" s="2967"/>
      <c r="AQ21" s="2967"/>
      <c r="AR21" s="2967"/>
      <c r="AS21" s="2967"/>
      <c r="AT21" s="2967"/>
      <c r="AU21" s="2967"/>
      <c r="AV21" s="2967"/>
      <c r="AW21" s="2967"/>
      <c r="AX21" s="2967"/>
      <c r="AY21" s="2967"/>
      <c r="AZ21" s="2967"/>
      <c r="BA21" s="2967"/>
      <c r="BB21" s="2967"/>
      <c r="BC21" s="2967"/>
      <c r="BD21" s="2967"/>
      <c r="BE21" s="2967"/>
      <c r="BF21" s="2967"/>
      <c r="BG21" s="2967"/>
      <c r="BH21" s="2967"/>
      <c r="BI21" s="2967"/>
      <c r="BJ21" s="2967"/>
      <c r="BK21" s="2967"/>
      <c r="BL21" s="2967"/>
      <c r="BM21" s="2967"/>
      <c r="BN21" s="2967"/>
      <c r="BO21" s="2967"/>
      <c r="BP21" s="2967"/>
      <c r="BQ21" s="2967"/>
      <c r="BR21" s="2967"/>
      <c r="BS21" s="2967"/>
      <c r="BT21" s="2967"/>
      <c r="BU21" s="2967"/>
      <c r="BV21" s="2967"/>
      <c r="BW21" s="2967"/>
      <c r="BX21" s="2967"/>
      <c r="BY21" s="2967"/>
      <c r="BZ21" s="2967"/>
      <c r="CA21" s="2967"/>
      <c r="CB21" s="2967"/>
      <c r="CC21" s="2967"/>
      <c r="CD21" s="2967"/>
      <c r="CE21" s="2967"/>
      <c r="CF21" s="2967"/>
      <c r="CG21" s="2967"/>
      <c r="CH21" s="2967"/>
      <c r="CI21" s="2967"/>
      <c r="CJ21" s="2967"/>
      <c r="CK21" s="2967"/>
      <c r="CL21" s="2967"/>
      <c r="CM21" s="2967"/>
      <c r="CN21" s="2967"/>
      <c r="CO21" s="2967"/>
      <c r="CP21" s="2967"/>
      <c r="CQ21" s="2967"/>
      <c r="CR21" s="2967"/>
      <c r="CS21" s="2967"/>
      <c r="CT21" s="2967"/>
      <c r="CU21" s="2967"/>
      <c r="CV21" s="2967"/>
      <c r="CW21" s="2967"/>
      <c r="CX21" s="2967"/>
      <c r="CY21" s="2967"/>
      <c r="CZ21" s="2967"/>
      <c r="DA21" s="2967"/>
      <c r="DB21" s="2967"/>
      <c r="DC21" s="2967"/>
      <c r="DD21" s="2967"/>
      <c r="DE21" s="2967"/>
      <c r="DF21" s="2967"/>
      <c r="DG21" s="2967"/>
      <c r="DH21" s="2967"/>
      <c r="DI21" s="2967"/>
      <c r="DJ21" s="2967"/>
      <c r="DK21" s="2967"/>
      <c r="DL21" s="2967"/>
      <c r="DM21" s="2967"/>
      <c r="DN21" s="2967"/>
      <c r="DO21" s="2967"/>
      <c r="DP21" s="2967"/>
      <c r="DQ21" s="2967"/>
      <c r="DR21" s="2967"/>
      <c r="DS21" s="2967"/>
      <c r="DT21" s="2967"/>
      <c r="DU21" s="2967"/>
      <c r="DV21" s="2967"/>
      <c r="DW21" s="2967"/>
      <c r="DX21" s="2967"/>
      <c r="DY21" s="2967"/>
      <c r="DZ21" s="2967"/>
      <c r="EA21" s="2967"/>
      <c r="EB21" s="2967"/>
      <c r="EC21" s="2967"/>
      <c r="ED21" s="2967"/>
      <c r="EE21" s="2967"/>
      <c r="EF21" s="2967"/>
      <c r="EG21" s="2967"/>
      <c r="EH21" s="2967"/>
      <c r="EI21" s="2967"/>
      <c r="EJ21" s="2967"/>
      <c r="EK21" s="2967"/>
      <c r="EL21" s="2967"/>
      <c r="EM21" s="2967"/>
      <c r="EN21" s="2967"/>
      <c r="EO21" s="2967"/>
      <c r="EP21" s="2967"/>
      <c r="EQ21" s="2967"/>
      <c r="ER21" s="2967"/>
      <c r="ES21" s="2967"/>
      <c r="ET21" s="2967"/>
      <c r="EU21" s="2967"/>
      <c r="EV21" s="2967"/>
      <c r="EW21" s="2967"/>
      <c r="EX21" s="2967"/>
      <c r="EY21" s="2967"/>
      <c r="EZ21" s="2967"/>
      <c r="FA21" s="2967"/>
      <c r="FB21" s="2967"/>
      <c r="FC21" s="2967"/>
      <c r="FD21" s="2967"/>
      <c r="FE21" s="2967"/>
      <c r="FF21" s="2967"/>
      <c r="FG21" s="2967"/>
      <c r="FH21" s="2967"/>
      <c r="FI21" s="2967"/>
      <c r="FJ21" s="2967"/>
      <c r="FK21" s="2967"/>
      <c r="FL21" s="2967"/>
      <c r="FM21" s="2967"/>
      <c r="FN21" s="2967"/>
      <c r="FO21" s="2967"/>
      <c r="FP21" s="2967"/>
      <c r="FQ21" s="2967"/>
      <c r="FR21" s="2967"/>
      <c r="FS21" s="2967"/>
      <c r="FT21" s="2967"/>
      <c r="FU21" s="2967"/>
      <c r="FV21" s="2967"/>
      <c r="FW21" s="2967"/>
      <c r="FX21" s="2967"/>
      <c r="FY21" s="2967"/>
      <c r="FZ21" s="2967"/>
      <c r="GA21" s="2967"/>
      <c r="GB21" s="2967"/>
      <c r="GC21" s="2967"/>
      <c r="GD21" s="2967"/>
      <c r="GE21" s="2967"/>
      <c r="GF21" s="2967"/>
      <c r="GG21" s="2967"/>
      <c r="GH21" s="2967"/>
      <c r="GI21" s="2967"/>
      <c r="GJ21" s="2967"/>
      <c r="GK21" s="2967"/>
      <c r="GL21" s="2967"/>
      <c r="GM21" s="2967"/>
      <c r="GN21" s="2967"/>
      <c r="GO21" s="2967"/>
      <c r="GP21" s="2967"/>
      <c r="GQ21" s="2967"/>
      <c r="GR21" s="2967"/>
      <c r="GS21" s="2967"/>
      <c r="GT21" s="2967"/>
      <c r="GU21" s="2967"/>
      <c r="GV21" s="2967"/>
      <c r="GW21" s="2967"/>
      <c r="GX21" s="2967"/>
      <c r="GY21" s="2967"/>
      <c r="GZ21" s="2967"/>
      <c r="HA21" s="2967"/>
      <c r="HB21" s="2967"/>
      <c r="HC21" s="2967"/>
      <c r="HD21" s="2967"/>
      <c r="HE21" s="2967"/>
      <c r="HF21" s="2967"/>
      <c r="HG21" s="2967"/>
      <c r="HH21" s="2967"/>
      <c r="HI21" s="2967"/>
      <c r="HJ21" s="2967"/>
      <c r="HK21" s="2967"/>
      <c r="HL21" s="2967"/>
      <c r="HM21" s="2967"/>
      <c r="HN21" s="2967"/>
      <c r="HO21" s="2967"/>
      <c r="HP21" s="2967"/>
      <c r="HQ21" s="2967"/>
      <c r="HR21" s="2967"/>
      <c r="HS21" s="2967"/>
      <c r="HT21" s="2967"/>
      <c r="HU21" s="2967"/>
      <c r="HV21" s="2967"/>
      <c r="HW21" s="2967"/>
      <c r="HX21" s="2967"/>
      <c r="HY21" s="2967"/>
      <c r="HZ21" s="2967"/>
      <c r="IA21" s="2967"/>
      <c r="IB21" s="2967"/>
      <c r="IC21" s="2967"/>
      <c r="ID21" s="2967"/>
      <c r="IE21" s="2967"/>
      <c r="IF21" s="2967"/>
      <c r="IG21" s="2967"/>
      <c r="IH21" s="2967"/>
      <c r="II21" s="2967"/>
      <c r="IJ21" s="2967"/>
      <c r="IK21" s="2967"/>
      <c r="IL21" s="2967"/>
      <c r="IM21" s="2967"/>
      <c r="IN21" s="2967"/>
      <c r="IO21" s="2967"/>
      <c r="IP21" s="2967"/>
      <c r="IQ21" s="2967"/>
      <c r="IR21" s="2967"/>
      <c r="IS21" s="2967"/>
      <c r="IT21" s="2967"/>
      <c r="IU21" s="2967"/>
      <c r="IV21" s="2967"/>
    </row>
    <row r="22" spans="1:256">
      <c r="A22" s="3338"/>
      <c r="B22" s="2964" t="s">
        <v>3084</v>
      </c>
      <c r="C22" s="2968">
        <v>144.16999999999999</v>
      </c>
      <c r="D22" s="2969">
        <v>40.630000000000003</v>
      </c>
      <c r="E22" s="2966" t="s">
        <v>3063</v>
      </c>
      <c r="F22" s="3339"/>
      <c r="G22" s="3339"/>
    </row>
    <row r="23" spans="1:256">
      <c r="A23" s="3338"/>
      <c r="B23" s="2964" t="s">
        <v>3085</v>
      </c>
      <c r="C23" s="2968">
        <v>411.86</v>
      </c>
      <c r="D23" s="2969">
        <v>116.07</v>
      </c>
      <c r="E23" s="2966" t="s">
        <v>3063</v>
      </c>
      <c r="F23" s="3339"/>
      <c r="G23" s="3339"/>
    </row>
    <row r="24" spans="1:256">
      <c r="A24" s="3338"/>
      <c r="B24" s="2964" t="s">
        <v>3086</v>
      </c>
      <c r="C24" s="2965">
        <v>136.6</v>
      </c>
      <c r="D24" s="2965">
        <v>38.5</v>
      </c>
      <c r="E24" s="2966" t="s">
        <v>3063</v>
      </c>
      <c r="F24" s="3339"/>
      <c r="G24" s="3339"/>
    </row>
    <row r="25" spans="1:256">
      <c r="A25" s="3338"/>
      <c r="B25" s="2964" t="s">
        <v>3087</v>
      </c>
      <c r="C25" s="2965">
        <v>411.31</v>
      </c>
      <c r="D25" s="2965">
        <v>115.91</v>
      </c>
      <c r="E25" s="2966" t="s">
        <v>3063</v>
      </c>
      <c r="F25" s="3339"/>
      <c r="G25" s="3339"/>
    </row>
    <row r="26" spans="1:256">
      <c r="A26" s="3338"/>
      <c r="B26" s="2964" t="s">
        <v>3088</v>
      </c>
      <c r="C26" s="2965">
        <v>291.10000000000002</v>
      </c>
      <c r="D26" s="2965">
        <v>82.03</v>
      </c>
      <c r="E26" s="2966" t="s">
        <v>3089</v>
      </c>
      <c r="F26" s="3339"/>
      <c r="G26" s="3339"/>
    </row>
    <row r="27" spans="1:256">
      <c r="A27" s="3340" t="s">
        <v>3090</v>
      </c>
      <c r="B27" s="3341"/>
      <c r="C27" s="2970">
        <f>SUM(C3:C26)</f>
        <v>7253.4400000000014</v>
      </c>
      <c r="D27" s="2971">
        <f>SUM(D3:D26)</f>
        <v>2044.09</v>
      </c>
      <c r="E27" s="2972"/>
      <c r="F27" s="2972"/>
      <c r="G27" s="2973"/>
      <c r="H27" s="2974"/>
      <c r="I27" s="2974"/>
      <c r="J27" s="2974"/>
      <c r="K27" s="2974"/>
      <c r="L27" s="2974"/>
      <c r="M27" s="2974"/>
      <c r="N27" s="2974"/>
      <c r="O27" s="2974"/>
      <c r="P27" s="2974"/>
      <c r="Q27" s="2974"/>
      <c r="R27" s="2974"/>
      <c r="S27" s="2974"/>
      <c r="T27" s="2974"/>
      <c r="U27" s="2974"/>
      <c r="V27" s="2974"/>
      <c r="W27" s="2974"/>
      <c r="X27" s="2974"/>
      <c r="Y27" s="2974"/>
      <c r="Z27" s="2974"/>
      <c r="AA27" s="2974"/>
      <c r="AB27" s="2974"/>
      <c r="AC27" s="2974"/>
      <c r="AD27" s="2974"/>
      <c r="AE27" s="2974"/>
      <c r="AF27" s="2974"/>
      <c r="AG27" s="2974"/>
      <c r="AH27" s="2974"/>
      <c r="AI27" s="2974"/>
      <c r="AJ27" s="2974"/>
      <c r="AK27" s="2974"/>
      <c r="AL27" s="2974"/>
      <c r="AM27" s="2974"/>
      <c r="AN27" s="2974"/>
      <c r="AO27" s="2974"/>
      <c r="AP27" s="2974"/>
      <c r="AQ27" s="2974"/>
      <c r="AR27" s="2974"/>
      <c r="AS27" s="2974"/>
      <c r="AT27" s="2974"/>
      <c r="AU27" s="2974"/>
      <c r="AV27" s="2974"/>
      <c r="AW27" s="2974"/>
      <c r="AX27" s="2974"/>
      <c r="AY27" s="2974"/>
      <c r="AZ27" s="2974"/>
      <c r="BA27" s="2974"/>
      <c r="BB27" s="2974"/>
      <c r="BC27" s="2974"/>
      <c r="BD27" s="2974"/>
      <c r="BE27" s="2974"/>
      <c r="BF27" s="2974"/>
      <c r="BG27" s="2974"/>
      <c r="BH27" s="2974"/>
      <c r="BI27" s="2974"/>
      <c r="BJ27" s="2974"/>
      <c r="BK27" s="2974"/>
      <c r="BL27" s="2974"/>
      <c r="BM27" s="2974"/>
      <c r="BN27" s="2974"/>
      <c r="BO27" s="2974"/>
      <c r="BP27" s="2974"/>
      <c r="BQ27" s="2974"/>
      <c r="BR27" s="2974"/>
      <c r="BS27" s="2974"/>
      <c r="BT27" s="2974"/>
      <c r="BU27" s="2974"/>
      <c r="BV27" s="2974"/>
      <c r="BW27" s="2974"/>
      <c r="BX27" s="2974"/>
      <c r="BY27" s="2974"/>
      <c r="BZ27" s="2974"/>
      <c r="CA27" s="2974"/>
      <c r="CB27" s="2974"/>
      <c r="CC27" s="2974"/>
      <c r="CD27" s="2974"/>
      <c r="CE27" s="2974"/>
      <c r="CF27" s="2974"/>
      <c r="CG27" s="2974"/>
      <c r="CH27" s="2974"/>
      <c r="CI27" s="2974"/>
      <c r="CJ27" s="2974"/>
      <c r="CK27" s="2974"/>
      <c r="CL27" s="2974"/>
      <c r="CM27" s="2974"/>
      <c r="CN27" s="2974"/>
      <c r="CO27" s="2974"/>
      <c r="CP27" s="2974"/>
      <c r="CQ27" s="2974"/>
      <c r="CR27" s="2974"/>
      <c r="CS27" s="2974"/>
      <c r="CT27" s="2974"/>
      <c r="CU27" s="2974"/>
      <c r="CV27" s="2974"/>
      <c r="CW27" s="2974"/>
      <c r="CX27" s="2974"/>
      <c r="CY27" s="2974"/>
      <c r="CZ27" s="2974"/>
      <c r="DA27" s="2974"/>
      <c r="DB27" s="2974"/>
      <c r="DC27" s="2974"/>
      <c r="DD27" s="2974"/>
      <c r="DE27" s="2974"/>
      <c r="DF27" s="2974"/>
      <c r="DG27" s="2974"/>
      <c r="DH27" s="2974"/>
      <c r="DI27" s="2974"/>
      <c r="DJ27" s="2974"/>
      <c r="DK27" s="2974"/>
      <c r="DL27" s="2974"/>
      <c r="DM27" s="2974"/>
      <c r="DN27" s="2974"/>
      <c r="DO27" s="2974"/>
      <c r="DP27" s="2974"/>
      <c r="DQ27" s="2974"/>
      <c r="DR27" s="2974"/>
      <c r="DS27" s="2974"/>
      <c r="DT27" s="2974"/>
      <c r="DU27" s="2974"/>
      <c r="DV27" s="2974"/>
      <c r="DW27" s="2974"/>
      <c r="DX27" s="2974"/>
      <c r="DY27" s="2974"/>
      <c r="DZ27" s="2974"/>
      <c r="EA27" s="2974"/>
      <c r="EB27" s="2974"/>
      <c r="EC27" s="2974"/>
      <c r="ED27" s="2974"/>
      <c r="EE27" s="2974"/>
      <c r="EF27" s="2974"/>
      <c r="EG27" s="2974"/>
      <c r="EH27" s="2974"/>
      <c r="EI27" s="2974"/>
      <c r="EJ27" s="2974"/>
      <c r="EK27" s="2974"/>
      <c r="EL27" s="2974"/>
      <c r="EM27" s="2974"/>
      <c r="EN27" s="2974"/>
      <c r="EO27" s="2974"/>
      <c r="EP27" s="2974"/>
      <c r="EQ27" s="2974"/>
      <c r="ER27" s="2974"/>
      <c r="ES27" s="2974"/>
      <c r="ET27" s="2974"/>
      <c r="EU27" s="2974"/>
      <c r="EV27" s="2974"/>
      <c r="EW27" s="2974"/>
      <c r="EX27" s="2974"/>
      <c r="EY27" s="2974"/>
      <c r="EZ27" s="2974"/>
      <c r="FA27" s="2974"/>
      <c r="FB27" s="2974"/>
      <c r="FC27" s="2974"/>
      <c r="FD27" s="2974"/>
      <c r="FE27" s="2974"/>
      <c r="FF27" s="2974"/>
      <c r="FG27" s="2974"/>
      <c r="FH27" s="2974"/>
      <c r="FI27" s="2974"/>
      <c r="FJ27" s="2974"/>
      <c r="FK27" s="2974"/>
      <c r="FL27" s="2974"/>
      <c r="FM27" s="2974"/>
      <c r="FN27" s="2974"/>
      <c r="FO27" s="2974"/>
      <c r="FP27" s="2974"/>
      <c r="FQ27" s="2974"/>
      <c r="FR27" s="2974"/>
      <c r="FS27" s="2974"/>
      <c r="FT27" s="2974"/>
      <c r="FU27" s="2974"/>
      <c r="FV27" s="2974"/>
      <c r="FW27" s="2974"/>
      <c r="FX27" s="2974"/>
      <c r="FY27" s="2974"/>
      <c r="FZ27" s="2974"/>
      <c r="GA27" s="2974"/>
      <c r="GB27" s="2974"/>
      <c r="GC27" s="2974"/>
      <c r="GD27" s="2974"/>
      <c r="GE27" s="2974"/>
      <c r="GF27" s="2974"/>
      <c r="GG27" s="2974"/>
      <c r="GH27" s="2974"/>
      <c r="GI27" s="2974"/>
      <c r="GJ27" s="2974"/>
      <c r="GK27" s="2974"/>
      <c r="GL27" s="2974"/>
      <c r="GM27" s="2974"/>
      <c r="GN27" s="2974"/>
      <c r="GO27" s="2974"/>
      <c r="GP27" s="2974"/>
      <c r="GQ27" s="2974"/>
      <c r="GR27" s="2974"/>
      <c r="GS27" s="2974"/>
      <c r="GT27" s="2974"/>
      <c r="GU27" s="2974"/>
      <c r="GV27" s="2974"/>
      <c r="GW27" s="2974"/>
      <c r="GX27" s="2974"/>
      <c r="GY27" s="2974"/>
      <c r="GZ27" s="2974"/>
      <c r="HA27" s="2974"/>
      <c r="HB27" s="2974"/>
      <c r="HC27" s="2974"/>
      <c r="HD27" s="2974"/>
      <c r="HE27" s="2974"/>
      <c r="HF27" s="2974"/>
      <c r="HG27" s="2974"/>
      <c r="HH27" s="2974"/>
      <c r="HI27" s="2974"/>
      <c r="HJ27" s="2974"/>
      <c r="HK27" s="2974"/>
      <c r="HL27" s="2974"/>
      <c r="HM27" s="2974"/>
      <c r="HN27" s="2974"/>
      <c r="HO27" s="2974"/>
      <c r="HP27" s="2974"/>
      <c r="HQ27" s="2974"/>
      <c r="HR27" s="2974"/>
      <c r="HS27" s="2974"/>
      <c r="HT27" s="2974"/>
      <c r="HU27" s="2974"/>
      <c r="HV27" s="2974"/>
      <c r="HW27" s="2974"/>
      <c r="HX27" s="2974"/>
      <c r="HY27" s="2974"/>
      <c r="HZ27" s="2974"/>
      <c r="IA27" s="2974"/>
      <c r="IB27" s="2974"/>
      <c r="IC27" s="2974"/>
      <c r="ID27" s="2974"/>
      <c r="IE27" s="2974"/>
      <c r="IF27" s="2974"/>
      <c r="IG27" s="2974"/>
      <c r="IH27" s="2974"/>
      <c r="II27" s="2974"/>
      <c r="IJ27" s="2974"/>
      <c r="IK27" s="2974"/>
      <c r="IL27" s="2974"/>
      <c r="IM27" s="2974"/>
      <c r="IN27" s="2974"/>
      <c r="IO27" s="2974"/>
      <c r="IP27" s="2974"/>
      <c r="IQ27" s="2974"/>
      <c r="IR27" s="2974"/>
      <c r="IS27" s="2974"/>
      <c r="IT27" s="2974"/>
      <c r="IU27" s="2974"/>
      <c r="IV27" s="2974"/>
    </row>
    <row r="28" spans="1:256">
      <c r="D28" s="2976" t="s">
        <v>3091</v>
      </c>
    </row>
    <row r="29" spans="1:256">
      <c r="B29" s="2961" t="s">
        <v>3092</v>
      </c>
      <c r="C29" s="2978">
        <f>SUM(C3:C10)+C13+C14+SUM(C19:C23)</f>
        <v>4073.66</v>
      </c>
      <c r="D29" s="2979">
        <v>8.5</v>
      </c>
      <c r="F29" s="2977" t="s">
        <v>3093</v>
      </c>
      <c r="G29" s="2961">
        <v>12</v>
      </c>
    </row>
    <row r="30" spans="1:256">
      <c r="B30" s="2961" t="s">
        <v>3094</v>
      </c>
      <c r="C30" s="2978">
        <f>C27-C29</f>
        <v>3179.7800000000016</v>
      </c>
      <c r="D30" s="2979">
        <f>G29*0.45</f>
        <v>5.4</v>
      </c>
      <c r="F30" s="2977" t="s">
        <v>3095</v>
      </c>
      <c r="G30" s="2961">
        <f>G29*0.6</f>
        <v>7.1999999999999993</v>
      </c>
    </row>
    <row r="32" spans="1:256">
      <c r="C32" s="2975" t="s">
        <v>3096</v>
      </c>
      <c r="D32" s="3010">
        <f>ROUND(((C29-租金表!H36)*D29+C30*D30)/(C27-租金表!H36),1)</f>
        <v>7.1</v>
      </c>
    </row>
  </sheetData>
  <mergeCells count="5">
    <mergeCell ref="A1:G1"/>
    <mergeCell ref="A3:A26"/>
    <mergeCell ref="F3:F26"/>
    <mergeCell ref="G3:G26"/>
    <mergeCell ref="A27:B2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1643</v>
      </c>
      <c r="B2" s="3023" t="s">
        <v>1644</v>
      </c>
      <c r="C2" s="3023" t="s">
        <v>1645</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1046" t="s">
        <v>1640</v>
      </c>
      <c r="E3" s="1046" t="s">
        <v>1646</v>
      </c>
      <c r="F3" s="1046" t="s">
        <v>1640</v>
      </c>
      <c r="G3" s="1046" t="s">
        <v>1641</v>
      </c>
      <c r="H3" s="1046" t="s">
        <v>1640</v>
      </c>
      <c r="I3" s="1046" t="s">
        <v>1641</v>
      </c>
    </row>
    <row r="4" spans="1:9" ht="30">
      <c r="A4" s="1976" t="str">
        <f>项目基本情况!S2</f>
        <v>北京市东城区香河园街1号院1、2、3号楼房地产</v>
      </c>
      <c r="B4" s="1046">
        <f>项目基本情况!C17</f>
        <v>7253.4400000000014</v>
      </c>
      <c r="C4" s="1046">
        <f>项目基本情况!C18</f>
        <v>2044.09</v>
      </c>
      <c r="D4" s="1046">
        <f ca="1">结果表!D118</f>
        <v>29532</v>
      </c>
      <c r="E4" s="1046">
        <f ca="1">结果表!E118</f>
        <v>40715</v>
      </c>
      <c r="F4" s="1046">
        <f ca="1">结果表!F118</f>
        <v>4065</v>
      </c>
      <c r="G4" s="1046">
        <f ca="1">结果表!G118</f>
        <v>5604</v>
      </c>
      <c r="H4" s="1046">
        <f ca="1">结果表!H118</f>
        <v>33597</v>
      </c>
      <c r="I4" s="1046">
        <f ca="1">结果表!I118</f>
        <v>46319</v>
      </c>
    </row>
    <row r="5" spans="1:9" ht="30" customHeight="1">
      <c r="A5" s="3024" t="s">
        <v>1642</v>
      </c>
      <c r="B5" s="3024"/>
      <c r="C5" s="3024"/>
      <c r="D5" s="3025" t="str">
        <f ca="1">结果表!D119</f>
        <v>贰亿玖仟伍佰叁拾贰万元整</v>
      </c>
      <c r="E5" s="3025"/>
      <c r="F5" s="3025" t="str">
        <f ca="1">结果表!F119</f>
        <v>肆仟零陆拾伍万元整</v>
      </c>
      <c r="G5" s="3025"/>
      <c r="H5" s="3025" t="str">
        <f ca="1">结果表!H119</f>
        <v>叁亿叁仟伍佰玖拾柒万元整</v>
      </c>
      <c r="I5" s="3025"/>
    </row>
    <row r="6" spans="1:9" ht="15.75">
      <c r="A6" s="3026" t="str">
        <f>结果表!A120</f>
        <v>估价师知悉的法定优先受偿款</v>
      </c>
      <c r="B6" s="3026"/>
      <c r="C6" s="3026"/>
      <c r="D6" s="3026">
        <f>结果表!D120</f>
        <v>0</v>
      </c>
      <c r="E6" s="3026"/>
      <c r="F6" s="3026"/>
      <c r="G6" s="3026"/>
      <c r="H6" s="3026"/>
      <c r="I6" s="3026"/>
    </row>
    <row r="7" spans="1:9" ht="15">
      <c r="A7" s="3024" t="s">
        <v>1642</v>
      </c>
      <c r="B7" s="3024"/>
      <c r="C7" s="3024"/>
      <c r="D7" s="3027" t="str">
        <f>结果表!D121</f>
        <v>零元整</v>
      </c>
      <c r="E7" s="3028"/>
      <c r="F7" s="3028"/>
      <c r="G7" s="3028"/>
      <c r="H7" s="3028"/>
      <c r="I7" s="3029"/>
    </row>
    <row r="8" spans="1:9" ht="15.75">
      <c r="A8" s="3026" t="str">
        <f>结果表!A122</f>
        <v>房地产抵押价值</v>
      </c>
      <c r="B8" s="3026"/>
      <c r="C8" s="3026"/>
      <c r="D8" s="3026">
        <f ca="1">结果表!D122</f>
        <v>33597</v>
      </c>
      <c r="E8" s="3026"/>
      <c r="F8" s="3026"/>
      <c r="G8" s="3026"/>
      <c r="H8" s="3026"/>
      <c r="I8" s="3026"/>
    </row>
    <row r="9" spans="1:9" ht="15">
      <c r="A9" s="3024" t="s">
        <v>1642</v>
      </c>
      <c r="B9" s="3024"/>
      <c r="C9" s="3024"/>
      <c r="D9" s="3025" t="str">
        <f ca="1">结果表!D123</f>
        <v>叁亿叁仟伍佰玖拾柒万元整</v>
      </c>
      <c r="E9" s="3025"/>
      <c r="F9" s="3025"/>
      <c r="G9" s="3025"/>
      <c r="H9" s="3025"/>
      <c r="I9" s="3025"/>
    </row>
    <row r="10" spans="1:9" ht="15.75">
      <c r="A10" s="3026" t="str">
        <f>结果表!A124</f>
        <v/>
      </c>
      <c r="B10" s="3026"/>
      <c r="C10" s="3026"/>
      <c r="D10" s="3026" t="str">
        <f>结果表!D124</f>
        <v>——</v>
      </c>
      <c r="E10" s="3026"/>
      <c r="F10" s="3026"/>
      <c r="G10" s="3026"/>
      <c r="H10" s="3026"/>
      <c r="I10" s="3026"/>
    </row>
    <row r="11" spans="1:9" ht="15">
      <c r="A11" s="3024" t="s">
        <v>1642</v>
      </c>
      <c r="B11" s="3024"/>
      <c r="C11" s="3024"/>
      <c r="D11" s="3025" t="e">
        <f>结果表!D125</f>
        <v>#VALUE!</v>
      </c>
      <c r="E11" s="3025"/>
      <c r="F11" s="3025"/>
      <c r="G11" s="3025"/>
      <c r="H11" s="3025"/>
      <c r="I11" s="3025"/>
    </row>
    <row r="12" spans="1:9" ht="15.75">
      <c r="A12" s="3026" t="str">
        <f>结果表!A126</f>
        <v/>
      </c>
      <c r="B12" s="3026"/>
      <c r="C12" s="3026"/>
      <c r="D12" s="3026" t="str">
        <f>结果表!D126</f>
        <v>——</v>
      </c>
      <c r="E12" s="3026"/>
      <c r="F12" s="3026"/>
      <c r="G12" s="3026"/>
      <c r="H12" s="3026"/>
      <c r="I12" s="3026"/>
    </row>
    <row r="13" spans="1:9" ht="15.75" thickBot="1">
      <c r="A13" s="3030" t="s">
        <v>1642</v>
      </c>
      <c r="B13" s="3030"/>
      <c r="C13" s="3030"/>
      <c r="D13" s="3031" t="e">
        <f>结果表!D127</f>
        <v>#VALUE!</v>
      </c>
      <c r="E13" s="3031"/>
      <c r="F13" s="3031"/>
      <c r="G13" s="3031"/>
      <c r="H13" s="3031"/>
      <c r="I13" s="3031"/>
    </row>
    <row r="14" spans="1:9" ht="15" thickTop="1">
      <c r="A14" s="3032" t="s">
        <v>1647</v>
      </c>
      <c r="B14" s="3032"/>
      <c r="C14" s="3032"/>
      <c r="D14" s="3032"/>
      <c r="E14" s="3032"/>
      <c r="F14" s="3032"/>
      <c r="G14" s="3032"/>
      <c r="H14" s="3032"/>
      <c r="I14" s="303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XK36"/>
  <sheetViews>
    <sheetView workbookViewId="0">
      <selection activeCell="D26" sqref="D26:D28"/>
    </sheetView>
  </sheetViews>
  <sheetFormatPr defaultColWidth="9" defaultRowHeight="16.5"/>
  <cols>
    <col min="1" max="1" width="4.375" style="2993" customWidth="1"/>
    <col min="2" max="2" width="8.875" style="2994" customWidth="1"/>
    <col min="3" max="4" width="8.875" style="2995" customWidth="1"/>
    <col min="5" max="5" width="11.625" style="2995" customWidth="1"/>
    <col min="6" max="6" width="13.125" style="2995" customWidth="1"/>
    <col min="7" max="7" width="12.125" style="2995" customWidth="1"/>
    <col min="8" max="8" width="11" style="2995" customWidth="1"/>
    <col min="9" max="9" width="13.5" style="2995" customWidth="1"/>
    <col min="10" max="10" width="13.25" style="2996" customWidth="1"/>
    <col min="11" max="53" width="9" style="2997" customWidth="1"/>
  </cols>
  <sheetData>
    <row r="1" spans="1:53" ht="21">
      <c r="A1" s="3342" t="s">
        <v>3097</v>
      </c>
      <c r="B1" s="3343"/>
      <c r="C1" s="3342"/>
      <c r="D1" s="3342"/>
      <c r="E1" s="3342"/>
      <c r="F1" s="3342"/>
      <c r="G1" s="3342"/>
      <c r="H1" s="3342"/>
      <c r="I1" s="2980"/>
      <c r="J1" s="298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17.25" thickBot="1">
      <c r="A2" s="3344"/>
      <c r="B2" s="3345"/>
      <c r="C2" s="3344"/>
      <c r="D2" s="3344"/>
      <c r="E2" s="3344"/>
      <c r="F2" s="3344"/>
      <c r="G2" s="3344"/>
      <c r="H2" s="3344"/>
      <c r="I2" s="2982"/>
      <c r="J2" s="298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1:53" ht="14.25">
      <c r="A3" s="3346" t="s">
        <v>3098</v>
      </c>
      <c r="B3" s="3348" t="s">
        <v>3099</v>
      </c>
      <c r="C3" s="3349"/>
      <c r="D3" s="3349"/>
      <c r="E3" s="3350" t="s">
        <v>3100</v>
      </c>
      <c r="F3" s="3350" t="s">
        <v>3101</v>
      </c>
      <c r="G3" s="3350" t="s">
        <v>3102</v>
      </c>
      <c r="H3" s="2984" t="s">
        <v>3103</v>
      </c>
      <c r="I3" s="3352" t="s">
        <v>3104</v>
      </c>
      <c r="J3" s="3354" t="s">
        <v>3105</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1:53" s="2989" customFormat="1" ht="16.5" customHeight="1">
      <c r="A4" s="3347"/>
      <c r="B4" s="2985" t="s">
        <v>3106</v>
      </c>
      <c r="C4" s="2986" t="s">
        <v>3107</v>
      </c>
      <c r="D4" s="2987" t="s">
        <v>3108</v>
      </c>
      <c r="E4" s="3351"/>
      <c r="F4" s="3351"/>
      <c r="G4" s="3351"/>
      <c r="H4" s="2988" t="s">
        <v>3109</v>
      </c>
      <c r="I4" s="3353"/>
      <c r="J4" s="3355"/>
      <c r="K4" s="2989" t="s">
        <v>3110</v>
      </c>
    </row>
    <row r="5" spans="1:53" s="2990" customFormat="1" ht="13.5" hidden="1">
      <c r="A5" s="3366">
        <v>1</v>
      </c>
      <c r="B5" s="3367" t="s">
        <v>3111</v>
      </c>
      <c r="C5" s="3368" t="s">
        <v>3112</v>
      </c>
      <c r="D5" s="3368" t="s">
        <v>3113</v>
      </c>
      <c r="E5" s="3368" t="s">
        <v>3114</v>
      </c>
      <c r="F5" s="3368" t="s">
        <v>3115</v>
      </c>
      <c r="G5" s="3368" t="s">
        <v>3116</v>
      </c>
      <c r="H5" s="3369">
        <v>145.62</v>
      </c>
      <c r="I5" s="3368" t="s">
        <v>3117</v>
      </c>
      <c r="J5" s="3356">
        <v>1017168</v>
      </c>
      <c r="K5" s="2990">
        <f>J5/H5/365/2</f>
        <v>9.5686088581088313</v>
      </c>
    </row>
    <row r="6" spans="1:53" s="2990" customFormat="1" ht="13.5" hidden="1">
      <c r="A6" s="3366"/>
      <c r="B6" s="3367"/>
      <c r="C6" s="3368"/>
      <c r="D6" s="3368"/>
      <c r="E6" s="3368"/>
      <c r="F6" s="3368"/>
      <c r="G6" s="3368"/>
      <c r="H6" s="3369"/>
      <c r="I6" s="3368"/>
      <c r="J6" s="3357"/>
    </row>
    <row r="7" spans="1:53" s="2990" customFormat="1" ht="13.5" hidden="1">
      <c r="A7" s="3366"/>
      <c r="B7" s="3367"/>
      <c r="C7" s="3368"/>
      <c r="D7" s="3368"/>
      <c r="E7" s="3368"/>
      <c r="F7" s="3368"/>
      <c r="G7" s="3368"/>
      <c r="H7" s="3369"/>
      <c r="I7" s="3368"/>
      <c r="J7" s="3358"/>
    </row>
    <row r="8" spans="1:53" s="3003" customFormat="1" ht="13.5" hidden="1">
      <c r="A8" s="3359">
        <v>2</v>
      </c>
      <c r="B8" s="3360" t="s">
        <v>3111</v>
      </c>
      <c r="C8" s="3361" t="s">
        <v>3118</v>
      </c>
      <c r="D8" s="3361" t="s">
        <v>3119</v>
      </c>
      <c r="E8" s="3361" t="s">
        <v>3120</v>
      </c>
      <c r="F8" s="3361" t="s">
        <v>3121</v>
      </c>
      <c r="G8" s="3361" t="s">
        <v>3122</v>
      </c>
      <c r="H8" s="3362">
        <v>107.88</v>
      </c>
      <c r="I8" s="3361" t="s">
        <v>3123</v>
      </c>
      <c r="J8" s="3363">
        <v>1127675</v>
      </c>
      <c r="K8" s="3002">
        <f>ROUND(J8/H8/365/3,2)</f>
        <v>9.5500000000000007</v>
      </c>
    </row>
    <row r="9" spans="1:53" s="3003" customFormat="1" ht="13.5" hidden="1">
      <c r="A9" s="3359"/>
      <c r="B9" s="3360"/>
      <c r="C9" s="3361"/>
      <c r="D9" s="3361"/>
      <c r="E9" s="3361"/>
      <c r="F9" s="3361"/>
      <c r="G9" s="3361"/>
      <c r="H9" s="3362"/>
      <c r="I9" s="3361"/>
      <c r="J9" s="3364"/>
      <c r="K9" s="3002"/>
    </row>
    <row r="10" spans="1:53" s="3003" customFormat="1" ht="13.5" hidden="1">
      <c r="A10" s="3359"/>
      <c r="B10" s="3360"/>
      <c r="C10" s="3361"/>
      <c r="D10" s="3361"/>
      <c r="E10" s="3361"/>
      <c r="F10" s="3361"/>
      <c r="G10" s="3361"/>
      <c r="H10" s="3362"/>
      <c r="I10" s="3361"/>
      <c r="J10" s="3365"/>
      <c r="K10" s="3002"/>
    </row>
    <row r="11" spans="1:53" s="3003" customFormat="1" ht="13.5">
      <c r="A11" s="3373">
        <v>2</v>
      </c>
      <c r="B11" s="3360" t="s">
        <v>3111</v>
      </c>
      <c r="C11" s="3361" t="s">
        <v>3118</v>
      </c>
      <c r="D11" s="3361" t="s">
        <v>3119</v>
      </c>
      <c r="E11" s="3361" t="s">
        <v>3120</v>
      </c>
      <c r="F11" s="3370" t="s">
        <v>3124</v>
      </c>
      <c r="G11" s="3370" t="s">
        <v>3125</v>
      </c>
      <c r="H11" s="3362">
        <v>107.88</v>
      </c>
      <c r="I11" s="3370" t="s">
        <v>3126</v>
      </c>
      <c r="J11" s="3370">
        <v>1272996</v>
      </c>
      <c r="K11" s="3004">
        <f>ROUND(J11/H11/365/3,2)</f>
        <v>10.78</v>
      </c>
    </row>
    <row r="12" spans="1:53" s="3003" customFormat="1" ht="13.5">
      <c r="A12" s="3374"/>
      <c r="B12" s="3360"/>
      <c r="C12" s="3361"/>
      <c r="D12" s="3361"/>
      <c r="E12" s="3361"/>
      <c r="F12" s="3371"/>
      <c r="G12" s="3371"/>
      <c r="H12" s="3362"/>
      <c r="I12" s="3371"/>
      <c r="J12" s="3371"/>
      <c r="K12" s="3002"/>
    </row>
    <row r="13" spans="1:53" s="3003" customFormat="1" ht="13.5">
      <c r="A13" s="3375"/>
      <c r="B13" s="3360"/>
      <c r="C13" s="3361"/>
      <c r="D13" s="3361"/>
      <c r="E13" s="3361"/>
      <c r="F13" s="3372"/>
      <c r="G13" s="3372"/>
      <c r="H13" s="3362"/>
      <c r="I13" s="3372"/>
      <c r="J13" s="3372"/>
      <c r="K13" s="3002"/>
    </row>
    <row r="14" spans="1:53" s="3003" customFormat="1" ht="13.5" hidden="1">
      <c r="A14" s="3359">
        <v>3</v>
      </c>
      <c r="B14" s="3360" t="s">
        <v>3111</v>
      </c>
      <c r="C14" s="3361" t="s">
        <v>3127</v>
      </c>
      <c r="D14" s="3361" t="s">
        <v>3128</v>
      </c>
      <c r="E14" s="3361" t="s">
        <v>3129</v>
      </c>
      <c r="F14" s="3361" t="s">
        <v>3130</v>
      </c>
      <c r="G14" s="3361" t="s">
        <v>3131</v>
      </c>
      <c r="H14" s="3362">
        <v>394.71</v>
      </c>
      <c r="I14" s="3361" t="s">
        <v>3132</v>
      </c>
      <c r="J14" s="3363" t="s">
        <v>3133</v>
      </c>
      <c r="K14" s="3002"/>
    </row>
    <row r="15" spans="1:53" s="3003" customFormat="1" ht="13.5" hidden="1">
      <c r="A15" s="3359"/>
      <c r="B15" s="3360"/>
      <c r="C15" s="3361"/>
      <c r="D15" s="3361"/>
      <c r="E15" s="3361"/>
      <c r="F15" s="3361"/>
      <c r="G15" s="3361"/>
      <c r="H15" s="3362"/>
      <c r="I15" s="3361"/>
      <c r="J15" s="3364"/>
      <c r="K15" s="3002"/>
    </row>
    <row r="16" spans="1:53" s="3003" customFormat="1" ht="13.5" hidden="1">
      <c r="A16" s="3359"/>
      <c r="B16" s="3360"/>
      <c r="C16" s="3361"/>
      <c r="D16" s="3361"/>
      <c r="E16" s="3361"/>
      <c r="F16" s="3361"/>
      <c r="G16" s="3361"/>
      <c r="H16" s="3362"/>
      <c r="I16" s="3361"/>
      <c r="J16" s="3365"/>
      <c r="K16" s="3002"/>
    </row>
    <row r="17" spans="1:11 16183:16183" s="2992" customFormat="1" ht="13.5" hidden="1">
      <c r="A17" s="3380">
        <v>4</v>
      </c>
      <c r="B17" s="3367" t="s">
        <v>3111</v>
      </c>
      <c r="C17" s="3376" t="s">
        <v>3134</v>
      </c>
      <c r="D17" s="3376" t="s">
        <v>3135</v>
      </c>
      <c r="E17" s="3376" t="s">
        <v>3136</v>
      </c>
      <c r="F17" s="3376" t="s">
        <v>3136</v>
      </c>
      <c r="G17" s="3376" t="s">
        <v>3137</v>
      </c>
      <c r="H17" s="3383">
        <v>280.2</v>
      </c>
      <c r="I17" s="3376" t="s">
        <v>3138</v>
      </c>
      <c r="J17" s="3376">
        <v>768757</v>
      </c>
      <c r="WXK17" s="2991"/>
    </row>
    <row r="18" spans="1:11 16183:16183" s="2992" customFormat="1" ht="13.5" hidden="1">
      <c r="A18" s="3381"/>
      <c r="B18" s="3367"/>
      <c r="C18" s="3377"/>
      <c r="D18" s="3377"/>
      <c r="E18" s="3377"/>
      <c r="F18" s="3377"/>
      <c r="G18" s="3377"/>
      <c r="H18" s="3384"/>
      <c r="I18" s="3377"/>
      <c r="J18" s="3377"/>
      <c r="WXK18" s="2991"/>
    </row>
    <row r="19" spans="1:11 16183:16183" s="2992" customFormat="1" ht="13.5" hidden="1">
      <c r="A19" s="3382"/>
      <c r="B19" s="3367"/>
      <c r="C19" s="3378"/>
      <c r="D19" s="3378"/>
      <c r="E19" s="3378"/>
      <c r="F19" s="3378"/>
      <c r="G19" s="3378"/>
      <c r="H19" s="3385"/>
      <c r="I19" s="3378"/>
      <c r="J19" s="3378"/>
      <c r="WXK19" s="2991"/>
    </row>
    <row r="20" spans="1:11 16183:16183" s="2989" customFormat="1" ht="13.5" hidden="1">
      <c r="A20" s="3366">
        <v>5</v>
      </c>
      <c r="B20" s="3367" t="s">
        <v>3111</v>
      </c>
      <c r="C20" s="3368" t="s">
        <v>3139</v>
      </c>
      <c r="D20" s="3368" t="s">
        <v>3140</v>
      </c>
      <c r="E20" s="3368" t="s">
        <v>3141</v>
      </c>
      <c r="F20" s="3368" t="s">
        <v>3142</v>
      </c>
      <c r="G20" s="3368" t="s">
        <v>3143</v>
      </c>
      <c r="H20" s="3379">
        <v>303.89999999999998</v>
      </c>
      <c r="I20" s="3368" t="s">
        <v>3144</v>
      </c>
      <c r="J20" s="3356">
        <v>1814760</v>
      </c>
    </row>
    <row r="21" spans="1:11 16183:16183" s="2989" customFormat="1" ht="13.5" hidden="1">
      <c r="A21" s="3366"/>
      <c r="B21" s="3367"/>
      <c r="C21" s="3368"/>
      <c r="D21" s="3368"/>
      <c r="E21" s="3368"/>
      <c r="F21" s="3368"/>
      <c r="G21" s="3368"/>
      <c r="H21" s="3369"/>
      <c r="I21" s="3368"/>
      <c r="J21" s="3357"/>
    </row>
    <row r="22" spans="1:11 16183:16183" s="2989" customFormat="1" ht="13.5" hidden="1">
      <c r="A22" s="3366"/>
      <c r="B22" s="3367"/>
      <c r="C22" s="3368"/>
      <c r="D22" s="3368"/>
      <c r="E22" s="3368"/>
      <c r="F22" s="3368"/>
      <c r="G22" s="3368"/>
      <c r="H22" s="3369"/>
      <c r="I22" s="3368"/>
      <c r="J22" s="3358"/>
    </row>
    <row r="23" spans="1:11 16183:16183" s="2989" customFormat="1" ht="13.5" hidden="1">
      <c r="A23" s="3366">
        <v>6</v>
      </c>
      <c r="B23" s="3367" t="s">
        <v>3111</v>
      </c>
      <c r="C23" s="3368" t="s">
        <v>3139</v>
      </c>
      <c r="D23" s="3368" t="s">
        <v>3145</v>
      </c>
      <c r="E23" s="3368" t="s">
        <v>3146</v>
      </c>
      <c r="F23" s="3368" t="s">
        <v>3147</v>
      </c>
      <c r="G23" s="3368" t="s">
        <v>3148</v>
      </c>
      <c r="H23" s="3369">
        <v>75</v>
      </c>
      <c r="I23" s="3368" t="s">
        <v>3149</v>
      </c>
      <c r="J23" s="3356">
        <v>211272</v>
      </c>
    </row>
    <row r="24" spans="1:11 16183:16183" s="2989" customFormat="1" ht="13.5" hidden="1">
      <c r="A24" s="3366"/>
      <c r="B24" s="3367"/>
      <c r="C24" s="3368"/>
      <c r="D24" s="3368"/>
      <c r="E24" s="3368"/>
      <c r="F24" s="3368"/>
      <c r="G24" s="3368"/>
      <c r="H24" s="3369"/>
      <c r="I24" s="3368"/>
      <c r="J24" s="3357"/>
    </row>
    <row r="25" spans="1:11 16183:16183" s="2989" customFormat="1" ht="13.5" hidden="1">
      <c r="A25" s="3366"/>
      <c r="B25" s="3367"/>
      <c r="C25" s="3368"/>
      <c r="D25" s="3368"/>
      <c r="E25" s="3368"/>
      <c r="F25" s="3368"/>
      <c r="G25" s="3368"/>
      <c r="H25" s="3369"/>
      <c r="I25" s="3368"/>
      <c r="J25" s="3358"/>
    </row>
    <row r="26" spans="1:11 16183:16183" s="3003" customFormat="1" ht="13.5">
      <c r="A26" s="3359">
        <v>7</v>
      </c>
      <c r="B26" s="3360" t="s">
        <v>3111</v>
      </c>
      <c r="C26" s="3361" t="s">
        <v>3134</v>
      </c>
      <c r="D26" s="3361" t="s">
        <v>3150</v>
      </c>
      <c r="E26" s="3361" t="s">
        <v>3151</v>
      </c>
      <c r="F26" s="3361" t="s">
        <v>3152</v>
      </c>
      <c r="G26" s="3361" t="s">
        <v>3153</v>
      </c>
      <c r="H26" s="3362">
        <f>152.21-H23</f>
        <v>77.210000000000008</v>
      </c>
      <c r="I26" s="3361" t="s">
        <v>3154</v>
      </c>
      <c r="J26" s="3363">
        <v>489240</v>
      </c>
      <c r="K26" s="3003">
        <f>ROUND(J26/H26/365/2,2)</f>
        <v>8.68</v>
      </c>
    </row>
    <row r="27" spans="1:11 16183:16183" s="3003" customFormat="1" ht="13.5">
      <c r="A27" s="3359"/>
      <c r="B27" s="3360"/>
      <c r="C27" s="3361"/>
      <c r="D27" s="3361"/>
      <c r="E27" s="3361"/>
      <c r="F27" s="3361"/>
      <c r="G27" s="3361"/>
      <c r="H27" s="3362"/>
      <c r="I27" s="3361"/>
      <c r="J27" s="3364"/>
    </row>
    <row r="28" spans="1:11 16183:16183" s="3003" customFormat="1" ht="13.5">
      <c r="A28" s="3359"/>
      <c r="B28" s="3360"/>
      <c r="C28" s="3361"/>
      <c r="D28" s="3361"/>
      <c r="E28" s="3361"/>
      <c r="F28" s="3361"/>
      <c r="G28" s="3361"/>
      <c r="H28" s="3362"/>
      <c r="I28" s="3361"/>
      <c r="J28" s="3365"/>
    </row>
    <row r="29" spans="1:11 16183:16183" s="2989" customFormat="1" ht="13.5" hidden="1">
      <c r="A29" s="3366">
        <v>8</v>
      </c>
      <c r="B29" s="3367" t="s">
        <v>3111</v>
      </c>
      <c r="C29" s="3398" t="s">
        <v>3134</v>
      </c>
      <c r="D29" s="3368" t="s">
        <v>3155</v>
      </c>
      <c r="E29" s="3368" t="s">
        <v>3156</v>
      </c>
      <c r="F29" s="3368" t="s">
        <v>3157</v>
      </c>
      <c r="G29" s="3368" t="s">
        <v>3158</v>
      </c>
      <c r="H29" s="3399">
        <f>257.83</f>
        <v>257.83</v>
      </c>
      <c r="I29" s="3368" t="s">
        <v>3159</v>
      </c>
      <c r="J29" s="3356">
        <v>1254024</v>
      </c>
    </row>
    <row r="30" spans="1:11 16183:16183" s="2989" customFormat="1" ht="13.5" hidden="1">
      <c r="A30" s="3366"/>
      <c r="B30" s="3367"/>
      <c r="C30" s="3398"/>
      <c r="D30" s="3368"/>
      <c r="E30" s="3368"/>
      <c r="F30" s="3368"/>
      <c r="G30" s="3368"/>
      <c r="H30" s="3399"/>
      <c r="I30" s="3368"/>
      <c r="J30" s="3357"/>
    </row>
    <row r="31" spans="1:11 16183:16183" s="2989" customFormat="1" ht="13.5" hidden="1">
      <c r="A31" s="3366"/>
      <c r="B31" s="3367"/>
      <c r="C31" s="3398"/>
      <c r="D31" s="3368"/>
      <c r="E31" s="3368"/>
      <c r="F31" s="3368"/>
      <c r="G31" s="3368"/>
      <c r="H31" s="3399"/>
      <c r="I31" s="3368"/>
      <c r="J31" s="3358"/>
    </row>
    <row r="32" spans="1:11 16183:16183" s="2992" customFormat="1" ht="13.5" hidden="1">
      <c r="A32" s="3389">
        <v>9</v>
      </c>
      <c r="B32" s="3376" t="s">
        <v>3111</v>
      </c>
      <c r="C32" s="3392" t="s">
        <v>3139</v>
      </c>
      <c r="D32" s="3392" t="s">
        <v>3160</v>
      </c>
      <c r="E32" s="3392" t="s">
        <v>3161</v>
      </c>
      <c r="F32" s="3392" t="s">
        <v>3162</v>
      </c>
      <c r="G32" s="3392" t="s">
        <v>3163</v>
      </c>
      <c r="H32" s="3395">
        <v>371.34</v>
      </c>
      <c r="I32" s="3392" t="s">
        <v>3164</v>
      </c>
      <c r="J32" s="3386">
        <v>1320024</v>
      </c>
    </row>
    <row r="33" spans="1:11" s="2992" customFormat="1" ht="13.5" hidden="1">
      <c r="A33" s="3390"/>
      <c r="B33" s="3377"/>
      <c r="C33" s="3393"/>
      <c r="D33" s="3393"/>
      <c r="E33" s="3393"/>
      <c r="F33" s="3393"/>
      <c r="G33" s="3393"/>
      <c r="H33" s="3396"/>
      <c r="I33" s="3393"/>
      <c r="J33" s="3387"/>
    </row>
    <row r="34" spans="1:11" s="2992" customFormat="1" ht="13.5" hidden="1">
      <c r="A34" s="3391"/>
      <c r="B34" s="3378"/>
      <c r="C34" s="3394"/>
      <c r="D34" s="3394"/>
      <c r="E34" s="3394"/>
      <c r="F34" s="3394"/>
      <c r="G34" s="3394"/>
      <c r="H34" s="3397"/>
      <c r="I34" s="3394"/>
      <c r="J34" s="3388"/>
    </row>
    <row r="36" spans="1:11">
      <c r="H36" s="3005">
        <f>H11+H26</f>
        <v>185.09</v>
      </c>
      <c r="K36" s="2997">
        <f>ROUND((K11*H11+K26*H26)/(H11+H26),2)</f>
        <v>9.9</v>
      </c>
    </row>
  </sheetData>
  <mergeCells count="109">
    <mergeCell ref="J32:J34"/>
    <mergeCell ref="I29:I31"/>
    <mergeCell ref="J29:J31"/>
    <mergeCell ref="A32:A34"/>
    <mergeCell ref="B32:B34"/>
    <mergeCell ref="C32:C34"/>
    <mergeCell ref="D32:D34"/>
    <mergeCell ref="E32:E34"/>
    <mergeCell ref="F32:F34"/>
    <mergeCell ref="G32:G34"/>
    <mergeCell ref="H32:H34"/>
    <mergeCell ref="A29:A31"/>
    <mergeCell ref="B29:B31"/>
    <mergeCell ref="C29:C31"/>
    <mergeCell ref="D29:D31"/>
    <mergeCell ref="E29:E31"/>
    <mergeCell ref="F29:F31"/>
    <mergeCell ref="G29:G31"/>
    <mergeCell ref="H29:H31"/>
    <mergeCell ref="I32:I34"/>
    <mergeCell ref="J23:J25"/>
    <mergeCell ref="A26:A28"/>
    <mergeCell ref="B26:B28"/>
    <mergeCell ref="C26:C28"/>
    <mergeCell ref="D26:D28"/>
    <mergeCell ref="E26:E28"/>
    <mergeCell ref="F26:F28"/>
    <mergeCell ref="G26:G28"/>
    <mergeCell ref="H26:H28"/>
    <mergeCell ref="I26:I28"/>
    <mergeCell ref="J26:J28"/>
    <mergeCell ref="A23:A25"/>
    <mergeCell ref="B23:B25"/>
    <mergeCell ref="C23:C25"/>
    <mergeCell ref="D23:D25"/>
    <mergeCell ref="E23:E25"/>
    <mergeCell ref="F23:F25"/>
    <mergeCell ref="G23:G25"/>
    <mergeCell ref="H23:H25"/>
    <mergeCell ref="I23:I25"/>
    <mergeCell ref="J17:J19"/>
    <mergeCell ref="A20:A22"/>
    <mergeCell ref="B20:B22"/>
    <mergeCell ref="C20:C22"/>
    <mergeCell ref="D20:D22"/>
    <mergeCell ref="E20:E22"/>
    <mergeCell ref="F20:F22"/>
    <mergeCell ref="G20:G22"/>
    <mergeCell ref="H20:H22"/>
    <mergeCell ref="I20:I22"/>
    <mergeCell ref="J20:J22"/>
    <mergeCell ref="A17:A19"/>
    <mergeCell ref="B17:B19"/>
    <mergeCell ref="C17:C19"/>
    <mergeCell ref="D17:D19"/>
    <mergeCell ref="E17:E19"/>
    <mergeCell ref="F17:F19"/>
    <mergeCell ref="G17:G19"/>
    <mergeCell ref="H17:H19"/>
    <mergeCell ref="I17:I19"/>
    <mergeCell ref="J11:J13"/>
    <mergeCell ref="A14:A16"/>
    <mergeCell ref="B14:B16"/>
    <mergeCell ref="C14:C16"/>
    <mergeCell ref="D14:D16"/>
    <mergeCell ref="E14:E16"/>
    <mergeCell ref="F14:F16"/>
    <mergeCell ref="G14:G16"/>
    <mergeCell ref="H14:H16"/>
    <mergeCell ref="I14:I16"/>
    <mergeCell ref="J14:J16"/>
    <mergeCell ref="A11:A13"/>
    <mergeCell ref="B11:B13"/>
    <mergeCell ref="C11:C13"/>
    <mergeCell ref="D11:D13"/>
    <mergeCell ref="E11:E13"/>
    <mergeCell ref="F11:F13"/>
    <mergeCell ref="G11:G13"/>
    <mergeCell ref="H11:H13"/>
    <mergeCell ref="I11:I13"/>
    <mergeCell ref="J5:J7"/>
    <mergeCell ref="A8:A10"/>
    <mergeCell ref="B8:B10"/>
    <mergeCell ref="C8:C10"/>
    <mergeCell ref="D8:D10"/>
    <mergeCell ref="E8:E10"/>
    <mergeCell ref="F8:F10"/>
    <mergeCell ref="G8:G10"/>
    <mergeCell ref="H8:H10"/>
    <mergeCell ref="I8:I10"/>
    <mergeCell ref="J8:J10"/>
    <mergeCell ref="A5:A7"/>
    <mergeCell ref="B5:B7"/>
    <mergeCell ref="C5:C7"/>
    <mergeCell ref="D5:D7"/>
    <mergeCell ref="E5:E7"/>
    <mergeCell ref="F5:F7"/>
    <mergeCell ref="G5:G7"/>
    <mergeCell ref="H5:H7"/>
    <mergeCell ref="I5:I7"/>
    <mergeCell ref="A1:H1"/>
    <mergeCell ref="A2:H2"/>
    <mergeCell ref="A3:A4"/>
    <mergeCell ref="B3:D3"/>
    <mergeCell ref="E3:E4"/>
    <mergeCell ref="F3:F4"/>
    <mergeCell ref="G3:G4"/>
    <mergeCell ref="I3:I4"/>
    <mergeCell ref="J3:J4"/>
  </mergeCells>
  <phoneticPr fontId="14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3" t="s">
        <v>1664</v>
      </c>
      <c r="B1" s="3033"/>
      <c r="C1" s="3033"/>
      <c r="D1" s="3033"/>
    </row>
    <row r="2" spans="1:4" ht="18">
      <c r="A2" s="3034" t="s">
        <v>1648</v>
      </c>
      <c r="B2" s="3034"/>
      <c r="C2" s="3034"/>
      <c r="D2" s="3034"/>
    </row>
    <row r="3" spans="1:4" ht="18.75">
      <c r="A3" s="1980" t="s">
        <v>1649</v>
      </c>
      <c r="B3" s="1980" t="s">
        <v>1650</v>
      </c>
      <c r="C3" s="1980" t="s">
        <v>1651</v>
      </c>
      <c r="D3" s="1980" t="s">
        <v>1652</v>
      </c>
    </row>
    <row r="4" spans="1:4" ht="56.25" customHeight="1">
      <c r="A4" s="1981" t="str">
        <f>项目基本情况!B4</f>
        <v>梁津</v>
      </c>
      <c r="B4" s="1982">
        <f ca="1">项目基本情况!C4</f>
        <v>1119970066</v>
      </c>
      <c r="C4" s="1983"/>
      <c r="D4" s="1984" t="s">
        <v>1653</v>
      </c>
    </row>
    <row r="5" spans="1:4" ht="56.25" customHeight="1">
      <c r="A5" s="1981" t="str">
        <f>项目基本情况!D4</f>
        <v>欧红伟</v>
      </c>
      <c r="B5" s="1982">
        <f ca="1">项目基本情况!E4</f>
        <v>1120000080</v>
      </c>
      <c r="C5" s="1985"/>
      <c r="D5" s="1984" t="s">
        <v>1653</v>
      </c>
    </row>
    <row r="6" spans="1:4" ht="18">
      <c r="A6" s="3034" t="s">
        <v>1654</v>
      </c>
      <c r="B6" s="3034"/>
      <c r="C6" s="3034"/>
      <c r="D6" s="3034"/>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35" t="s">
        <v>1657</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（1）根据估价对象《房屋所有权证》原件、《国有土地使用权》复印件，截至价值时点，估价对象抵押权未见登记。</v>
      </c>
      <c r="B15" s="3036"/>
      <c r="C15" s="3036"/>
      <c r="D15" s="3036"/>
    </row>
    <row r="16" spans="1:4" ht="30" customHeight="1">
      <c r="A16" s="3039" t="s">
        <v>1658</v>
      </c>
      <c r="B16" s="3039"/>
      <c r="C16" s="3039"/>
      <c r="D16" s="3039"/>
    </row>
    <row r="17" spans="1:4" ht="144" customHeight="1">
      <c r="A17" s="3039" t="s">
        <v>1659</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1660</v>
      </c>
      <c r="B22" s="3041"/>
      <c r="C22" s="3041"/>
      <c r="D22" s="304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47" t="s">
        <v>1671</v>
      </c>
      <c r="B15" s="3042" t="s">
        <v>136</v>
      </c>
      <c r="C15" s="3043"/>
    </row>
    <row r="16" spans="1:7" ht="13.5">
      <c r="A16" s="3048"/>
      <c r="B16" s="3042" t="s">
        <v>69</v>
      </c>
      <c r="C16" s="3043"/>
    </row>
    <row r="17" spans="1:3" ht="13.5">
      <c r="A17" s="3048"/>
      <c r="B17" s="3045" t="s">
        <v>1672</v>
      </c>
      <c r="C17" s="2003" t="s">
        <v>1671</v>
      </c>
    </row>
    <row r="18" spans="1:3" ht="13.5">
      <c r="A18" s="3048"/>
      <c r="B18" s="3045"/>
      <c r="C18" s="2003" t="s">
        <v>1673</v>
      </c>
    </row>
    <row r="19" spans="1:3" ht="13.5">
      <c r="A19" s="3048"/>
      <c r="B19" s="3045"/>
      <c r="C19" s="2003" t="s">
        <v>1674</v>
      </c>
    </row>
    <row r="20" spans="1:3" ht="13.5">
      <c r="A20" s="3049"/>
      <c r="B20" s="3044" t="s">
        <v>1675</v>
      </c>
      <c r="C20" s="3043"/>
    </row>
    <row r="21" spans="1:3" ht="13.5">
      <c r="A21" s="2004" t="s">
        <v>1676</v>
      </c>
      <c r="B21" s="2005"/>
      <c r="C21" s="2006"/>
    </row>
    <row r="22" spans="1:3" ht="13.5">
      <c r="A22" s="3046" t="s">
        <v>1677</v>
      </c>
      <c r="B22" s="3044" t="s">
        <v>1678</v>
      </c>
      <c r="C22" s="3043"/>
    </row>
    <row r="23" spans="1:3" ht="13.5">
      <c r="A23" s="3046"/>
      <c r="B23" s="3044" t="s">
        <v>1679</v>
      </c>
      <c r="C23" s="3043"/>
    </row>
    <row r="24" spans="1:3" ht="13.5">
      <c r="A24" s="3046"/>
      <c r="B24" s="3044" t="s">
        <v>1680</v>
      </c>
      <c r="C24" s="3043"/>
    </row>
    <row r="25" spans="1:3" ht="13.5">
      <c r="A25" s="3046"/>
      <c r="B25" s="3045" t="s">
        <v>1681</v>
      </c>
      <c r="C25" s="2003" t="s">
        <v>1682</v>
      </c>
    </row>
    <row r="26" spans="1:3" ht="13.5">
      <c r="A26" s="3046"/>
      <c r="B26" s="3045"/>
      <c r="C26" s="2003" t="s">
        <v>1683</v>
      </c>
    </row>
    <row r="27" spans="1:3" ht="13.5">
      <c r="A27" s="3046"/>
      <c r="B27" s="3045"/>
      <c r="C27" s="2003" t="s">
        <v>1684</v>
      </c>
    </row>
    <row r="28" spans="1:3" ht="13.5">
      <c r="A28" s="3046"/>
      <c r="B28" s="3045"/>
      <c r="C28" s="2003" t="s">
        <v>1685</v>
      </c>
    </row>
    <row r="29" spans="1:3" ht="13.5">
      <c r="A29" s="3046"/>
      <c r="B29" s="3045"/>
      <c r="C29" s="2003" t="s">
        <v>1686</v>
      </c>
    </row>
    <row r="30" spans="1:3" ht="13.5">
      <c r="A30" s="3046"/>
      <c r="B30" s="3045"/>
      <c r="C30" s="2003" t="s">
        <v>1687</v>
      </c>
    </row>
    <row r="31" spans="1:3" ht="13.5">
      <c r="A31" s="3046"/>
      <c r="B31" s="3045"/>
      <c r="C31" s="2003" t="s">
        <v>1688</v>
      </c>
    </row>
    <row r="32" spans="1:3" ht="13.5">
      <c r="A32" s="3046"/>
      <c r="B32" s="3045"/>
      <c r="C32" s="2003" t="s">
        <v>1689</v>
      </c>
    </row>
    <row r="33" spans="1:3" ht="13.5">
      <c r="A33" s="3046"/>
      <c r="B33" s="3045"/>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43111</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50" t="s">
        <v>846</v>
      </c>
      <c r="B25" s="3050"/>
      <c r="C25" s="3050"/>
      <c r="D25" s="3050"/>
      <c r="E25" s="3050"/>
      <c r="F25" s="3050"/>
      <c r="G25" s="3050"/>
    </row>
    <row r="26" spans="1:7" s="1027" customFormat="1" ht="24" customHeight="1">
      <c r="A26" s="3051" t="s">
        <v>847</v>
      </c>
      <c r="B26" s="3051"/>
      <c r="C26" s="3052"/>
      <c r="D26" s="3053" t="s">
        <v>848</v>
      </c>
      <c r="E26" s="3051"/>
      <c r="F26" s="3051"/>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收益法（出租）</vt:lpstr>
      <vt:lpstr>收益法（自用）</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租金表</vt:lpstr>
      <vt:lpstr>估价师及机构信息!Print_Area</vt:lpstr>
      <vt:lpstr>'收益法 (元)'!Print_Area</vt:lpstr>
      <vt:lpstr>'收益法（出租）'!Print_Area</vt:lpstr>
      <vt:lpstr>'收益法（自用）'!Print_Area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2018-01-11T07:54:13Z</dcterms:modified>
</cp:coreProperties>
</file>