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90" yWindow="390" windowWidth="10620" windowHeight="1191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Sheet1" sheetId="80" r:id="rId28"/>
    <sheet name="比较法-办公扶京门路"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'比较法-办公扶京门路'!$A$1:$L$50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'比较法-办公扶京门路'!$A$1:$K$55,'比较法-办公扶京门路'!$A$58:$M$132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'比较法-办公扶京门路'!$B$119:$M$119</definedName>
    <definedName name="办公朝向">'比较法-办公扶京门路'!$B$91:$M$91</definedName>
    <definedName name="办公道路级别">'比较法-办公扶京门路'!$B$87:$M$87</definedName>
    <definedName name="办公公共部分装修">'比较法-办公扶京门路'!$B$108:$M$108</definedName>
    <definedName name="办公基础设施水平">'比较法-办公扶京门路'!$B$117:$M$117</definedName>
    <definedName name="办公集聚程度">定义!$M$1:$M$6</definedName>
    <definedName name="办公建筑结构">'比较法-办公扶京门路'!$B$106:$M$106</definedName>
    <definedName name="办公建筑类型">'比较法-办公扶京门路'!$B$101:$M$101</definedName>
    <definedName name="办公交易情况">'比较法-办公扶京门路'!$A$62:$M$62</definedName>
    <definedName name="办公楼层">'比较法-办公扶京门路'!$B$89:$M$89</definedName>
    <definedName name="办公内部装修">'比较法-办公扶京门路'!$B$123:$M$123</definedName>
    <definedName name="办公物业管理">'比较法-办公扶京门路'!$B$115:$M$115</definedName>
    <definedName name="办公用途">'比较法-办公扶京门路'!$B$64:$M$64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'比较法-办公扶京门路'!$B$113:$M$113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 i="74" l="1"/>
  <c r="D105" i="34" l="1"/>
  <c r="E105" i="34" s="1"/>
  <c r="F105" i="34" s="1"/>
  <c r="G105" i="34" s="1"/>
  <c r="H105" i="34" s="1"/>
  <c r="I105" i="34" s="1"/>
  <c r="F19" i="6" l="1"/>
  <c r="I37" i="34"/>
  <c r="N35" i="34"/>
  <c r="G37" i="34"/>
  <c r="E37" i="34"/>
  <c r="I34" i="34"/>
  <c r="G34" i="34"/>
  <c r="E34" i="34"/>
  <c r="G48" i="34"/>
  <c r="E48" i="34"/>
  <c r="H6" i="80"/>
  <c r="F30" i="80"/>
  <c r="I48" i="34"/>
  <c r="E5" i="34"/>
  <c r="D40" i="80"/>
  <c r="G40" i="80" s="1"/>
  <c r="E23" i="80"/>
  <c r="E19" i="80"/>
  <c r="D3" i="4"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T34" i="79"/>
  <c r="W34" i="79" s="1"/>
  <c r="U40" i="79"/>
  <c r="AD41" i="79"/>
  <c r="S42" i="79"/>
  <c r="AD45" i="79"/>
  <c r="AA28" i="79"/>
  <c r="AD28"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N37" i="71"/>
  <c r="B38" i="71" s="1"/>
  <c r="D37" i="71"/>
  <c r="Q36" i="71"/>
  <c r="P36" i="71"/>
  <c r="O36" i="71"/>
  <c r="N36" i="71"/>
  <c r="Q35" i="71"/>
  <c r="P35" i="71"/>
  <c r="O35" i="71"/>
  <c r="Y35" i="71" s="1"/>
  <c r="Z35" i="71" s="1"/>
  <c r="N35" i="71"/>
  <c r="Q34" i="71"/>
  <c r="AB34" i="71" s="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Y25" i="71"/>
  <c r="Z25" i="71" s="1"/>
  <c r="B28" i="71"/>
  <c r="B27" i="71" s="1"/>
  <c r="B26" i="71"/>
  <c r="X26" i="71"/>
  <c r="D30" i="71"/>
  <c r="C43" i="71"/>
  <c r="C44" i="71" s="1"/>
  <c r="D44" i="71" s="1"/>
  <c r="C51" i="71"/>
  <c r="P28" i="71"/>
  <c r="E28" i="71" s="1"/>
  <c r="E64" i="71"/>
  <c r="U64" i="71" s="1"/>
  <c r="U68" i="71"/>
  <c r="E67" i="71"/>
  <c r="Q28" i="71"/>
  <c r="D58" i="71"/>
  <c r="D62" i="71"/>
  <c r="B66" i="71"/>
  <c r="N65" i="71" s="1"/>
  <c r="Q68" i="71"/>
  <c r="D72" i="71"/>
  <c r="E75" i="71"/>
  <c r="E74" i="71" s="1"/>
  <c r="E79" i="71"/>
  <c r="E78" i="71" s="1"/>
  <c r="D80" i="71"/>
  <c r="C87" i="71"/>
  <c r="F28" i="71"/>
  <c r="F27" i="71" s="1"/>
  <c r="F26" i="71" s="1"/>
  <c r="AA28" i="71"/>
  <c r="D59" i="71"/>
  <c r="P67" i="71"/>
  <c r="E66"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3"/>
  <c r="F21" i="33"/>
  <c r="AA21" i="33" s="1"/>
  <c r="E83" i="21"/>
  <c r="F83" i="21" s="1"/>
  <c r="H1" i="69"/>
  <c r="AC25" i="40"/>
  <c r="U25" i="40"/>
  <c r="W29" i="39"/>
  <c r="W18" i="36"/>
  <c r="S21" i="37"/>
  <c r="S21" i="33"/>
  <c r="AC18" i="35"/>
  <c r="J21" i="37"/>
  <c r="W21" i="37"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BL17" i="3"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C5" i="3" s="1"/>
  <c r="BD17" i="3"/>
  <c r="BE17" i="3"/>
  <c r="BF17" i="3"/>
  <c r="BG17" i="3"/>
  <c r="BH17" i="3"/>
  <c r="BI17" i="3"/>
  <c r="BJ17" i="3"/>
  <c r="BK17" i="3"/>
  <c r="BK5" i="3" s="1"/>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J39" i="37" s="1"/>
  <c r="AC39" i="37" s="1"/>
  <c r="B108" i="37"/>
  <c r="H38" i="37" s="1"/>
  <c r="C23" i="37"/>
  <c r="C19" i="37"/>
  <c r="C17" i="37"/>
  <c r="C15" i="37"/>
  <c r="B112" i="37"/>
  <c r="F40" i="37" s="1"/>
  <c r="AA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F12" i="35" s="1"/>
  <c r="B131" i="34"/>
  <c r="B129" i="34"/>
  <c r="B127" i="34"/>
  <c r="F45" i="34" s="1"/>
  <c r="S45" i="34" s="1"/>
  <c r="B99" i="34"/>
  <c r="B97" i="34"/>
  <c r="B95" i="34"/>
  <c r="B93" i="34"/>
  <c r="J29" i="34" s="1"/>
  <c r="B75" i="34"/>
  <c r="B73" i="34"/>
  <c r="B71" i="34"/>
  <c r="B130" i="33"/>
  <c r="B128" i="33"/>
  <c r="B126" i="33"/>
  <c r="B98" i="33"/>
  <c r="B96" i="33"/>
  <c r="B94" i="33"/>
  <c r="B74" i="33"/>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Q38" i="34"/>
  <c r="Z38" i="34"/>
  <c r="Q37" i="34"/>
  <c r="Z37" i="34" s="1"/>
  <c r="Q36" i="34"/>
  <c r="Z36" i="34"/>
  <c r="Q35" i="34"/>
  <c r="Z35" i="34" s="1"/>
  <c r="Q34" i="34"/>
  <c r="Z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S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B126" i="21"/>
  <c r="J44" i="21" s="1"/>
  <c r="AC44" i="21" s="1"/>
  <c r="B98" i="21"/>
  <c r="H31" i="21" s="1"/>
  <c r="B96" i="21"/>
  <c r="B94" i="21"/>
  <c r="J29" i="21" s="1"/>
  <c r="B92" i="21"/>
  <c r="B90" i="21"/>
  <c r="H27" i="21" s="1"/>
  <c r="J27" i="21"/>
  <c r="W27" i="21" s="1"/>
  <c r="B74" i="21"/>
  <c r="B72" i="21"/>
  <c r="H13" i="2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F45" i="39"/>
  <c r="S45" i="39" s="1"/>
  <c r="J45" i="39"/>
  <c r="W45" i="39" s="1"/>
  <c r="J44" i="39"/>
  <c r="AC44" i="39"/>
  <c r="F36" i="39"/>
  <c r="H36" i="39"/>
  <c r="AB36" i="39" s="1"/>
  <c r="J35" i="39"/>
  <c r="AC35" i="39" s="1"/>
  <c r="F35" i="39"/>
  <c r="AA35" i="39" s="1"/>
  <c r="U9" i="39"/>
  <c r="W25" i="37"/>
  <c r="U30" i="37"/>
  <c r="W31" i="37"/>
  <c r="F103" i="37"/>
  <c r="G103" i="37" s="1"/>
  <c r="H103" i="37" s="1"/>
  <c r="I103" i="37" s="1"/>
  <c r="J103" i="37" s="1"/>
  <c r="K103" i="37" s="1"/>
  <c r="L103" i="37" s="1"/>
  <c r="M103" i="37" s="1"/>
  <c r="F39" i="37"/>
  <c r="S39" i="37" s="1"/>
  <c r="F29" i="36"/>
  <c r="AA29" i="36" s="1"/>
  <c r="F16" i="36"/>
  <c r="AA16" i="36" s="1"/>
  <c r="W28" i="36"/>
  <c r="J33" i="36"/>
  <c r="AC33" i="36" s="1"/>
  <c r="H22" i="35"/>
  <c r="AB22" i="35" s="1"/>
  <c r="W28" i="35"/>
  <c r="U31" i="35"/>
  <c r="W22" i="35"/>
  <c r="S31" i="35"/>
  <c r="U34" i="35"/>
  <c r="F36" i="34"/>
  <c r="S36" i="34" s="1"/>
  <c r="J35" i="34"/>
  <c r="W35" i="34" s="1"/>
  <c r="H39" i="33"/>
  <c r="AB39" i="33" s="1"/>
  <c r="F26" i="33"/>
  <c r="AA26" i="33"/>
  <c r="U33" i="33"/>
  <c r="U35" i="33"/>
  <c r="W33" i="33"/>
  <c r="W39" i="33"/>
  <c r="H39" i="37"/>
  <c r="AB39" i="37" s="1"/>
  <c r="S27" i="35"/>
  <c r="F11" i="40"/>
  <c r="AA11" i="40" s="1"/>
  <c r="H11" i="40"/>
  <c r="AB11" i="40"/>
  <c r="W8" i="40"/>
  <c r="U9" i="40"/>
  <c r="S34" i="40"/>
  <c r="U38" i="40"/>
  <c r="W31"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5"/>
  <c r="AB12" i="36"/>
  <c r="S44" i="39"/>
  <c r="F37" i="39"/>
  <c r="AA37" i="39" s="1"/>
  <c r="J34" i="36"/>
  <c r="W34" i="36" s="1"/>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J23" i="34"/>
  <c r="AC23" i="34" s="1"/>
  <c r="F19" i="34"/>
  <c r="AA19" i="34" s="1"/>
  <c r="H17" i="34"/>
  <c r="F15" i="34"/>
  <c r="AA15" i="34" s="1"/>
  <c r="J15" i="34"/>
  <c r="AC15" i="34" s="1"/>
  <c r="H15" i="34"/>
  <c r="AB15" i="34" s="1"/>
  <c r="W8" i="34"/>
  <c r="J28" i="34"/>
  <c r="W28" i="34"/>
  <c r="F41" i="33"/>
  <c r="AA41" i="33" s="1"/>
  <c r="S38" i="33"/>
  <c r="E113" i="33"/>
  <c r="F32" i="33"/>
  <c r="AA32" i="33" s="1"/>
  <c r="J19" i="33"/>
  <c r="AC19" i="33" s="1"/>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I123" i="21"/>
  <c r="J123" i="21" s="1"/>
  <c r="K123" i="21" s="1"/>
  <c r="L123" i="21" s="1"/>
  <c r="M123" i="21"/>
  <c r="J42" i="21"/>
  <c r="AC42" i="21" s="1"/>
  <c r="H42" i="21"/>
  <c r="U42" i="21"/>
  <c r="J44" i="34"/>
  <c r="AC44" i="34" s="1"/>
  <c r="F44" i="34"/>
  <c r="AA44" i="34" s="1"/>
  <c r="J10" i="35"/>
  <c r="AC10" i="35" s="1"/>
  <c r="J14" i="21"/>
  <c r="W14" i="21" s="1"/>
  <c r="F14" i="21"/>
  <c r="S14" i="21" s="1"/>
  <c r="H14" i="21"/>
  <c r="U14" i="2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c r="F27" i="33"/>
  <c r="AA27" i="33" s="1"/>
  <c r="J13" i="33"/>
  <c r="H13" i="33"/>
  <c r="U13" i="33" s="1"/>
  <c r="F13" i="33"/>
  <c r="S13" i="33" s="1"/>
  <c r="J29" i="33"/>
  <c r="H29" i="33"/>
  <c r="U29" i="33"/>
  <c r="F29" i="33"/>
  <c r="S29" i="33" s="1"/>
  <c r="J31" i="33"/>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AC12" i="40"/>
  <c r="W12" i="40"/>
  <c r="H14" i="33"/>
  <c r="U14" i="33" s="1"/>
  <c r="F14" i="33"/>
  <c r="S14" i="33"/>
  <c r="J14" i="33"/>
  <c r="H30" i="33"/>
  <c r="AB30" i="33" s="1"/>
  <c r="F30" i="33"/>
  <c r="J30" i="33"/>
  <c r="H44" i="33"/>
  <c r="J44" i="33"/>
  <c r="AC44" i="33"/>
  <c r="F44" i="33"/>
  <c r="S44" i="33" s="1"/>
  <c r="J46" i="33"/>
  <c r="AC46" i="33" s="1"/>
  <c r="F46" i="33"/>
  <c r="AA46" i="33" s="1"/>
  <c r="H46" i="33"/>
  <c r="U46" i="33" s="1"/>
  <c r="H13" i="34"/>
  <c r="U13" i="34" s="1"/>
  <c r="J13" i="34"/>
  <c r="W13" i="34"/>
  <c r="F13" i="34"/>
  <c r="AA13" i="34" s="1"/>
  <c r="F29" i="34"/>
  <c r="S29" i="34"/>
  <c r="H29" i="34"/>
  <c r="AB29" i="34" s="1"/>
  <c r="J31" i="34"/>
  <c r="AC31" i="34"/>
  <c r="H31" i="34"/>
  <c r="F31" i="34"/>
  <c r="S31" i="34" s="1"/>
  <c r="H45" i="34"/>
  <c r="U45" i="34" s="1"/>
  <c r="J45" i="34"/>
  <c r="W45" i="34"/>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F13" i="37"/>
  <c r="S13" i="37" s="1"/>
  <c r="J13" i="37"/>
  <c r="W13" i="37" s="1"/>
  <c r="J28" i="37"/>
  <c r="AC28" i="37" s="1"/>
  <c r="H28" i="37"/>
  <c r="AB38" i="37"/>
  <c r="J38" i="37"/>
  <c r="AC38" i="37" s="1"/>
  <c r="F38" i="37"/>
  <c r="S38" i="37" s="1"/>
  <c r="F43" i="39"/>
  <c r="AA43" i="39" s="1"/>
  <c r="H43" i="39"/>
  <c r="J14" i="39"/>
  <c r="AC14" i="39" s="1"/>
  <c r="H14" i="39"/>
  <c r="AB14" i="39" s="1"/>
  <c r="F12" i="40"/>
  <c r="S12" i="40" s="1"/>
  <c r="H12" i="40"/>
  <c r="AB12" i="40" s="1"/>
  <c r="H30" i="40"/>
  <c r="AB30" i="40" s="1"/>
  <c r="F33" i="40"/>
  <c r="AA33" i="40"/>
  <c r="H33" i="40"/>
  <c r="U33" i="40" s="1"/>
  <c r="J35" i="40"/>
  <c r="AC35" i="40" s="1"/>
  <c r="J37" i="40"/>
  <c r="AC37" i="40" s="1"/>
  <c r="H13" i="40"/>
  <c r="U13" i="40" s="1"/>
  <c r="J13" i="40"/>
  <c r="W13" i="40" s="1"/>
  <c r="F13" i="40"/>
  <c r="AA13" i="40" s="1"/>
  <c r="F14" i="37"/>
  <c r="S14" i="37" s="1"/>
  <c r="F27" i="37"/>
  <c r="AA27" i="37"/>
  <c r="F13" i="39"/>
  <c r="J13" i="39"/>
  <c r="W13" i="39" s="1"/>
  <c r="H13" i="39"/>
  <c r="H14" i="40"/>
  <c r="U14" i="40" s="1"/>
  <c r="F14" i="40"/>
  <c r="AA14" i="40" s="1"/>
  <c r="J14" i="37"/>
  <c r="AA14" i="33"/>
  <c r="J36" i="37"/>
  <c r="AC36" i="37" s="1"/>
  <c r="J10" i="36"/>
  <c r="AC10" i="36" s="1"/>
  <c r="AB30" i="21"/>
  <c r="AA14" i="37"/>
  <c r="W31" i="34"/>
  <c r="AA14" i="34"/>
  <c r="S45" i="33"/>
  <c r="BA586" i="3"/>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0" i="3"/>
  <c r="G576" i="3"/>
  <c r="G572" i="3"/>
  <c r="G564" i="3"/>
  <c r="G560" i="3"/>
  <c r="G554" i="3"/>
  <c r="G550" i="3"/>
  <c r="BL584" i="3"/>
  <c r="BL580" i="3"/>
  <c r="BL576" i="3"/>
  <c r="BL568" i="3"/>
  <c r="BL564" i="3"/>
  <c r="BL560" i="3"/>
  <c r="AZ560" i="3" s="1"/>
  <c r="BL546" i="3"/>
  <c r="BL542" i="3"/>
  <c r="BL538" i="3"/>
  <c r="BL530" i="3"/>
  <c r="BL526" i="3"/>
  <c r="BL522" i="3"/>
  <c r="BL512" i="3"/>
  <c r="BL506" i="3"/>
  <c r="BL502" i="3"/>
  <c r="BL494" i="3"/>
  <c r="BL582" i="3"/>
  <c r="BL578" i="3"/>
  <c r="BL570" i="3"/>
  <c r="BL566" i="3"/>
  <c r="BL562" i="3"/>
  <c r="BL552" i="3"/>
  <c r="BL544" i="3"/>
  <c r="BL540" i="3"/>
  <c r="AZ540" i="3" s="1"/>
  <c r="G533" i="3"/>
  <c r="BL532" i="3"/>
  <c r="G529" i="3"/>
  <c r="G525" i="3"/>
  <c r="BL524" i="3"/>
  <c r="BL518" i="3"/>
  <c r="BL510" i="3"/>
  <c r="BL504" i="3"/>
  <c r="BL500" i="3"/>
  <c r="G493" i="3"/>
  <c r="BA584" i="3"/>
  <c r="BA582" i="3"/>
  <c r="BA578" i="3"/>
  <c r="BA576" i="3"/>
  <c r="AZ576" i="3" s="1"/>
  <c r="BA574" i="3"/>
  <c r="BA570" i="3"/>
  <c r="AZ570" i="3" s="1"/>
  <c r="BA568" i="3"/>
  <c r="AZ568" i="3" s="1"/>
  <c r="BA566" i="3"/>
  <c r="AZ566" i="3" s="1"/>
  <c r="BA562" i="3"/>
  <c r="BA560" i="3"/>
  <c r="BA558" i="3"/>
  <c r="AZ558" i="3" s="1"/>
  <c r="BA556" i="3"/>
  <c r="BA554" i="3"/>
  <c r="AZ554" i="3" s="1"/>
  <c r="BA552" i="3"/>
  <c r="AZ552" i="3" s="1"/>
  <c r="BA548" i="3"/>
  <c r="BA544" i="3"/>
  <c r="AZ544" i="3"/>
  <c r="BA542" i="3"/>
  <c r="AZ542" i="3" s="1"/>
  <c r="BA540" i="3"/>
  <c r="BA538" i="3"/>
  <c r="AZ538" i="3"/>
  <c r="BA534" i="3"/>
  <c r="BA530" i="3"/>
  <c r="BA528" i="3"/>
  <c r="BA524" i="3"/>
  <c r="BA522" i="3"/>
  <c r="BA520" i="3"/>
  <c r="AZ520" i="3" s="1"/>
  <c r="BA516" i="3"/>
  <c r="BA514" i="3"/>
  <c r="BA512" i="3"/>
  <c r="AZ512" i="3" s="1"/>
  <c r="BA510" i="3"/>
  <c r="AZ510" i="3" s="1"/>
  <c r="BA508" i="3"/>
  <c r="BA504" i="3"/>
  <c r="AZ504" i="3" s="1"/>
  <c r="BA502" i="3"/>
  <c r="BA498" i="3"/>
  <c r="BA496"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AZ503" i="3" s="1"/>
  <c r="BA499" i="3"/>
  <c r="BA497" i="3"/>
  <c r="BA495" i="3"/>
  <c r="G583" i="3"/>
  <c r="G581" i="3"/>
  <c r="G577" i="3"/>
  <c r="G575" i="3"/>
  <c r="G573" i="3"/>
  <c r="G569" i="3"/>
  <c r="G567" i="3"/>
  <c r="G565" i="3"/>
  <c r="G563" i="3"/>
  <c r="G561" i="3"/>
  <c r="BL558" i="3"/>
  <c r="BA557" i="3"/>
  <c r="AC557" i="3"/>
  <c r="G557" i="3" s="1"/>
  <c r="BQ557" i="3"/>
  <c r="BL557" i="3" s="1"/>
  <c r="BQ583" i="3"/>
  <c r="BL583" i="3" s="1"/>
  <c r="BQ581" i="3"/>
  <c r="BQ579" i="3"/>
  <c r="BL579" i="3" s="1"/>
  <c r="BQ577" i="3"/>
  <c r="BL577" i="3" s="1"/>
  <c r="AZ577" i="3" s="1"/>
  <c r="BQ575" i="3"/>
  <c r="BL575" i="3"/>
  <c r="BQ573" i="3"/>
  <c r="BL573" i="3" s="1"/>
  <c r="BQ571" i="3"/>
  <c r="BQ569" i="3"/>
  <c r="BL569" i="3" s="1"/>
  <c r="BQ567" i="3"/>
  <c r="BL567" i="3" s="1"/>
  <c r="BQ565" i="3"/>
  <c r="BQ563" i="3"/>
  <c r="BL563" i="3" s="1"/>
  <c r="AZ563" i="3" s="1"/>
  <c r="BQ561" i="3"/>
  <c r="BL561" i="3"/>
  <c r="BQ559" i="3"/>
  <c r="BL559" i="3" s="1"/>
  <c r="AZ559" i="3" s="1"/>
  <c r="G555" i="3"/>
  <c r="G553" i="3"/>
  <c r="G549" i="3"/>
  <c r="G545" i="3"/>
  <c r="G543" i="3"/>
  <c r="G541" i="3"/>
  <c r="G537" i="3"/>
  <c r="BQ555" i="3"/>
  <c r="BL555" i="3" s="1"/>
  <c r="BQ553" i="3"/>
  <c r="BL553" i="3" s="1"/>
  <c r="AZ553" i="3"/>
  <c r="BQ551" i="3"/>
  <c r="BL551" i="3" s="1"/>
  <c r="BQ549" i="3"/>
  <c r="BQ547" i="3"/>
  <c r="BL547" i="3" s="1"/>
  <c r="AZ547" i="3" s="1"/>
  <c r="BQ545" i="3"/>
  <c r="BL545" i="3" s="1"/>
  <c r="BQ543" i="3"/>
  <c r="BQ541" i="3"/>
  <c r="BL541" i="3" s="1"/>
  <c r="AZ541" i="3" s="1"/>
  <c r="BQ539" i="3"/>
  <c r="BQ537" i="3"/>
  <c r="BL537" i="3" s="1"/>
  <c r="BQ535" i="3"/>
  <c r="BL535" i="3" s="1"/>
  <c r="BQ533" i="3"/>
  <c r="BL533" i="3"/>
  <c r="AZ533" i="3" s="1"/>
  <c r="BQ531" i="3"/>
  <c r="BL531" i="3" s="1"/>
  <c r="AZ531" i="3" s="1"/>
  <c r="BQ529" i="3"/>
  <c r="BQ527" i="3"/>
  <c r="BL527" i="3" s="1"/>
  <c r="AZ527" i="3"/>
  <c r="BQ525" i="3"/>
  <c r="BQ523" i="3"/>
  <c r="BL523" i="3" s="1"/>
  <c r="BA521" i="3"/>
  <c r="AC521" i="3"/>
  <c r="G521" i="3" s="1"/>
  <c r="BQ521" i="3"/>
  <c r="BL521" i="3" s="1"/>
  <c r="AZ521" i="3" s="1"/>
  <c r="BL520" i="3"/>
  <c r="G519" i="3"/>
  <c r="G517" i="3"/>
  <c r="G515" i="3"/>
  <c r="G513" i="3"/>
  <c r="G511" i="3"/>
  <c r="BQ519" i="3"/>
  <c r="BL519" i="3" s="1"/>
  <c r="BQ517" i="3"/>
  <c r="BQ515" i="3"/>
  <c r="BL515" i="3" s="1"/>
  <c r="AZ515" i="3" s="1"/>
  <c r="BQ513" i="3"/>
  <c r="BL513" i="3" s="1"/>
  <c r="BQ511" i="3"/>
  <c r="BA509" i="3"/>
  <c r="AC509" i="3"/>
  <c r="BQ509" i="3"/>
  <c r="BL508" i="3"/>
  <c r="AZ508" i="3"/>
  <c r="G507" i="3"/>
  <c r="G505" i="3"/>
  <c r="G503" i="3"/>
  <c r="G501" i="3"/>
  <c r="G499" i="3"/>
  <c r="G497" i="3"/>
  <c r="G495" i="3"/>
  <c r="BQ507" i="3"/>
  <c r="BQ505" i="3"/>
  <c r="BQ503" i="3"/>
  <c r="BL503" i="3" s="1"/>
  <c r="BQ501" i="3"/>
  <c r="BQ499" i="3"/>
  <c r="BL499" i="3" s="1"/>
  <c r="AZ499" i="3" s="1"/>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45" i="33"/>
  <c r="W44" i="33"/>
  <c r="U11" i="33"/>
  <c r="U19" i="21"/>
  <c r="W44" i="21"/>
  <c r="AB38" i="21"/>
  <c r="F43" i="33"/>
  <c r="AA43" i="33" s="1"/>
  <c r="W16" i="35"/>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G4" i="4"/>
  <c r="I4" i="4"/>
  <c r="A2" i="9"/>
  <c r="F61" i="43"/>
  <c r="H64" i="43" s="1"/>
  <c r="BL549" i="3"/>
  <c r="AZ549" i="3" s="1"/>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G133" i="3"/>
  <c r="BA135" i="3"/>
  <c r="BL136" i="3"/>
  <c r="G137" i="3"/>
  <c r="BA139" i="3"/>
  <c r="BL140" i="3"/>
  <c r="AZ140" i="3" s="1"/>
  <c r="G141" i="3"/>
  <c r="BA143" i="3"/>
  <c r="BL144" i="3"/>
  <c r="G145" i="3"/>
  <c r="BA147" i="3"/>
  <c r="BL148" i="3"/>
  <c r="AZ148" i="3"/>
  <c r="G149" i="3"/>
  <c r="BA151" i="3"/>
  <c r="BL152" i="3"/>
  <c r="G153" i="3"/>
  <c r="BA155" i="3"/>
  <c r="AZ155" i="3" s="1"/>
  <c r="BL156" i="3"/>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76"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AZ346" i="3" s="1"/>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86" i="3"/>
  <c r="BA16" i="3"/>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AZ391" i="3" s="1"/>
  <c r="BL392" i="3"/>
  <c r="G393" i="3"/>
  <c r="AZ291" i="3"/>
  <c r="BO5" i="3"/>
  <c r="BM5" i="3"/>
  <c r="BJ5" i="3"/>
  <c r="AC5" i="3"/>
  <c r="G548" i="3"/>
  <c r="G538" i="3"/>
  <c r="G520" i="3"/>
  <c r="G502" i="3"/>
  <c r="BI5" i="3"/>
  <c r="BG5" i="3"/>
  <c r="BE5" i="3"/>
  <c r="G17" i="3"/>
  <c r="BA17" i="3"/>
  <c r="BT5" i="3"/>
  <c r="AZ356" i="3"/>
  <c r="G509" i="3"/>
  <c r="BL493" i="3"/>
  <c r="U36" i="40"/>
  <c r="F83" i="43"/>
  <c r="H85" i="43" s="1"/>
  <c r="F50" i="43"/>
  <c r="H54" i="43" s="1"/>
  <c r="F72" i="43"/>
  <c r="H75" i="43" s="1"/>
  <c r="U17" i="39"/>
  <c r="S14" i="35"/>
  <c r="U43" i="21"/>
  <c r="U35" i="21"/>
  <c r="AC35" i="21"/>
  <c r="G8" i="1"/>
  <c r="G10" i="1"/>
  <c r="AC11" i="39"/>
  <c r="W37" i="37"/>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40" i="34"/>
  <c r="S40" i="34" s="1"/>
  <c r="F43" i="34"/>
  <c r="AA43" i="34" s="1"/>
  <c r="H44" i="34"/>
  <c r="U44" i="34" s="1"/>
  <c r="AC38" i="39"/>
  <c r="F39" i="39"/>
  <c r="S39" i="39" s="1"/>
  <c r="J39" i="39"/>
  <c r="AC39" i="39" s="1"/>
  <c r="E96" i="39"/>
  <c r="F96" i="39" s="1"/>
  <c r="G96" i="39" s="1"/>
  <c r="AZ386" i="3"/>
  <c r="C40" i="11"/>
  <c r="AZ227" i="3"/>
  <c r="AZ256" i="3"/>
  <c r="AZ72" i="3"/>
  <c r="AZ86" i="3"/>
  <c r="AZ110" i="3"/>
  <c r="F23" i="39"/>
  <c r="AA23" i="39" s="1"/>
  <c r="H27" i="36"/>
  <c r="U27" i="36" s="1"/>
  <c r="F27" i="36"/>
  <c r="AA27" i="36" s="1"/>
  <c r="H33" i="34"/>
  <c r="U33" i="34" s="1"/>
  <c r="F32" i="37"/>
  <c r="S32" i="37" s="1"/>
  <c r="F20" i="36"/>
  <c r="AA20" i="36" s="1"/>
  <c r="J33" i="34"/>
  <c r="AC33" i="34" s="1"/>
  <c r="H23" i="39"/>
  <c r="U23" i="39" s="1"/>
  <c r="D48" i="9"/>
  <c r="M52" i="9" s="1"/>
  <c r="K9" i="1"/>
  <c r="M9" i="1" s="1"/>
  <c r="D93" i="9"/>
  <c r="AC26" i="33"/>
  <c r="W26" i="33"/>
  <c r="W27" i="34"/>
  <c r="AB34" i="36"/>
  <c r="U34" i="36"/>
  <c r="AB33" i="36"/>
  <c r="U33" i="36"/>
  <c r="AC12" i="39"/>
  <c r="W12" i="39"/>
  <c r="W12" i="33"/>
  <c r="AC12" i="33"/>
  <c r="AA32" i="36"/>
  <c r="S32" i="36"/>
  <c r="U30" i="33"/>
  <c r="AC13" i="34"/>
  <c r="AA47" i="34"/>
  <c r="W28" i="37"/>
  <c r="S19" i="39"/>
  <c r="F12" i="33"/>
  <c r="H12" i="39"/>
  <c r="AB12" i="39" s="1"/>
  <c r="F39" i="40"/>
  <c r="AZ254" i="3"/>
  <c r="AZ297" i="3"/>
  <c r="B12" i="1"/>
  <c r="E12" i="1" s="1"/>
  <c r="B10" i="1"/>
  <c r="E10" i="1" s="1"/>
  <c r="K12" i="1"/>
  <c r="M12" i="1" s="1"/>
  <c r="S13" i="1"/>
  <c r="AR13" i="1" s="1"/>
  <c r="R13" i="1"/>
  <c r="J51" i="67"/>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42"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U38" i="34"/>
  <c r="AA36" i="34"/>
  <c r="AA8" i="34"/>
  <c r="S8" i="34"/>
  <c r="S46" i="34"/>
  <c r="AA46" i="34"/>
  <c r="U32" i="34"/>
  <c r="AB32" i="34"/>
  <c r="U14" i="34"/>
  <c r="AB14"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U32" i="21" s="1"/>
  <c r="H9" i="21"/>
  <c r="J9" i="21"/>
  <c r="J32" i="21"/>
  <c r="W32" i="21" s="1"/>
  <c r="F32" i="21"/>
  <c r="S32" i="21" s="1"/>
  <c r="AA31" i="21"/>
  <c r="U17"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J36" i="33"/>
  <c r="W36" i="33" s="1"/>
  <c r="H36" i="33"/>
  <c r="U36" i="33" s="1"/>
  <c r="S36" i="33"/>
  <c r="AC32" i="33"/>
  <c r="W32" i="33"/>
  <c r="U27" i="33"/>
  <c r="AB27" i="33"/>
  <c r="J27" i="33"/>
  <c r="U25" i="33"/>
  <c r="AB25" i="33"/>
  <c r="S25" i="33"/>
  <c r="AA25" i="33"/>
  <c r="J25" i="33"/>
  <c r="AC25" i="33" s="1"/>
  <c r="AB23" i="33"/>
  <c r="U23" i="33"/>
  <c r="F23" i="33"/>
  <c r="G85" i="33"/>
  <c r="AA19" i="33"/>
  <c r="H19" i="33"/>
  <c r="AB19" i="33" s="1"/>
  <c r="G81" i="33"/>
  <c r="H17" i="33"/>
  <c r="U17" i="33" s="1"/>
  <c r="F17" i="33"/>
  <c r="S17" i="33" s="1"/>
  <c r="W17" i="33"/>
  <c r="AC17" i="33"/>
  <c r="S37" i="21"/>
  <c r="AA23" i="21"/>
  <c r="AB15" i="21"/>
  <c r="J23" i="21"/>
  <c r="W23" i="21" s="1"/>
  <c r="F85" i="21"/>
  <c r="G85" i="21" s="1"/>
  <c r="H23" i="21"/>
  <c r="S13" i="21"/>
  <c r="D6" i="52"/>
  <c r="AP7" i="1"/>
  <c r="AB9" i="21"/>
  <c r="U9" i="21"/>
  <c r="AA32" i="21"/>
  <c r="W9" i="21"/>
  <c r="AC9" i="21"/>
  <c r="AB32" i="21"/>
  <c r="A18" i="62"/>
  <c r="B64" i="72" s="1"/>
  <c r="U32" i="39"/>
  <c r="AC32" i="39"/>
  <c r="W23" i="37"/>
  <c r="AC23" i="37"/>
  <c r="J63" i="37"/>
  <c r="K63" i="37" s="1"/>
  <c r="L63" i="37" s="1"/>
  <c r="M63" i="37" s="1"/>
  <c r="J11" i="37"/>
  <c r="AC11" i="37" s="1"/>
  <c r="H70" i="34"/>
  <c r="I70" i="34" s="1"/>
  <c r="J70" i="34" s="1"/>
  <c r="K70" i="34"/>
  <c r="L70" i="34" s="1"/>
  <c r="M70" i="34" s="1"/>
  <c r="J11" i="34"/>
  <c r="W11" i="34" s="1"/>
  <c r="W27" i="33"/>
  <c r="AC27" i="33"/>
  <c r="W25" i="33"/>
  <c r="U19" i="33"/>
  <c r="AA17" i="33"/>
  <c r="U23" i="21"/>
  <c r="AB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8" i="15"/>
  <c r="F36" i="67"/>
  <c r="J15" i="67"/>
  <c r="M6" i="67"/>
  <c r="M22" i="15"/>
  <c r="F40" i="67"/>
  <c r="M28" i="67"/>
  <c r="F4" i="73"/>
  <c r="F43" i="15"/>
  <c r="M29" i="67"/>
  <c r="F26" i="67"/>
  <c r="F38" i="15"/>
  <c r="D19" i="9"/>
  <c r="D34" i="9"/>
  <c r="C76" i="15"/>
  <c r="M8" i="67"/>
  <c r="M23" i="15"/>
  <c r="L47" i="15"/>
  <c r="F7" i="67"/>
  <c r="B13" i="76"/>
  <c r="F7" i="15"/>
  <c r="E10" i="76"/>
  <c r="F16" i="15"/>
  <c r="E9" i="76"/>
  <c r="L47" i="67"/>
  <c r="F13" i="67"/>
  <c r="M24" i="67"/>
  <c r="B8" i="76"/>
  <c r="D35" i="9"/>
  <c r="M9" i="15"/>
  <c r="F9" i="15"/>
  <c r="F37" i="15"/>
  <c r="F6" i="73"/>
  <c r="F38" i="67"/>
  <c r="F5" i="73"/>
  <c r="M26" i="15"/>
  <c r="F43" i="67"/>
  <c r="B10" i="76"/>
  <c r="F6" i="67"/>
  <c r="E2" i="68"/>
  <c r="F3" i="73"/>
  <c r="E8" i="76"/>
  <c r="F7" i="73"/>
  <c r="E12" i="76"/>
  <c r="D6" i="73"/>
  <c r="F36" i="15"/>
  <c r="M23" i="67"/>
  <c r="E7" i="76"/>
  <c r="F40" i="15"/>
  <c r="F26" i="15"/>
  <c r="F37" i="67"/>
  <c r="F9" i="67"/>
  <c r="B12" i="76"/>
  <c r="F42" i="67"/>
  <c r="L48" i="67"/>
  <c r="C19" i="9"/>
  <c r="L48" i="15"/>
  <c r="J15" i="15"/>
  <c r="E11" i="76"/>
  <c r="F20" i="31"/>
  <c r="M22" i="67"/>
  <c r="B7" i="76"/>
  <c r="F16" i="67"/>
  <c r="B11" i="76"/>
  <c r="B9" i="76"/>
  <c r="C76" i="67"/>
  <c r="M24" i="15"/>
  <c r="C20" i="9"/>
  <c r="M8" i="15"/>
  <c r="M26" i="67"/>
  <c r="M28" i="15"/>
  <c r="E13" i="76"/>
  <c r="F42" i="15"/>
  <c r="D20" i="9"/>
  <c r="M9" i="67"/>
  <c r="F8" i="67"/>
  <c r="M29" i="15"/>
  <c r="F13" i="15"/>
  <c r="F6" i="15"/>
  <c r="E2" i="69"/>
  <c r="AO13" i="1"/>
  <c r="M6" i="15"/>
  <c r="J39" i="34" l="1"/>
  <c r="W39" i="34" s="1"/>
  <c r="F39" i="34"/>
  <c r="AA39" i="34" s="1"/>
  <c r="H39" i="34"/>
  <c r="AB39" i="34" s="1"/>
  <c r="C19" i="39"/>
  <c r="BN5" i="3"/>
  <c r="H5" i="3"/>
  <c r="AZ17" i="3"/>
  <c r="BP5" i="3"/>
  <c r="BR5" i="3"/>
  <c r="BS5" i="3"/>
  <c r="AC38" i="34"/>
  <c r="U43" i="34"/>
  <c r="S37" i="34"/>
  <c r="AC40" i="34"/>
  <c r="U39" i="34"/>
  <c r="W44" i="34"/>
  <c r="S44" i="34"/>
  <c r="W43" i="34"/>
  <c r="W41" i="34"/>
  <c r="AB41" i="34"/>
  <c r="AB40" i="34"/>
  <c r="AC35" i="34"/>
  <c r="AA25" i="34"/>
  <c r="H23" i="34"/>
  <c r="U23" i="34" s="1"/>
  <c r="F23" i="34"/>
  <c r="AA23" i="34" s="1"/>
  <c r="F84" i="34"/>
  <c r="G84" i="34" s="1"/>
  <c r="J21" i="34"/>
  <c r="W21" i="34" s="1"/>
  <c r="H21" i="34"/>
  <c r="AB21" i="34" s="1"/>
  <c r="S17" i="34"/>
  <c r="W15" i="34"/>
  <c r="S19" i="34"/>
  <c r="W23" i="34"/>
  <c r="S23" i="34"/>
  <c r="W19" i="34"/>
  <c r="U19" i="34"/>
  <c r="S43" i="34"/>
  <c r="AA40" i="34"/>
  <c r="AB36" i="34"/>
  <c r="AB35" i="34"/>
  <c r="AB33" i="34"/>
  <c r="W33" i="34"/>
  <c r="AA33" i="34"/>
  <c r="U27" i="34"/>
  <c r="U25" i="34"/>
  <c r="W25" i="34"/>
  <c r="U15" i="34"/>
  <c r="BA15" i="3"/>
  <c r="BH5" i="3"/>
  <c r="BF5" i="3"/>
  <c r="BB5" i="3"/>
  <c r="E15" i="6" s="1"/>
  <c r="E64" i="39" s="1"/>
  <c r="BA14" i="3"/>
  <c r="BD5" i="3"/>
  <c r="BL14" i="3"/>
  <c r="G29" i="6"/>
  <c r="F29" i="6"/>
  <c r="C7" i="21"/>
  <c r="G23" i="43"/>
  <c r="C23" i="43" s="1"/>
  <c r="C7" i="33"/>
  <c r="C42" i="1"/>
  <c r="C24" i="12" s="1"/>
  <c r="C7" i="37"/>
  <c r="C52" i="37" s="1"/>
  <c r="D52" i="37" s="1"/>
  <c r="M47" i="9"/>
  <c r="C7" i="35"/>
  <c r="C48" i="35" s="1"/>
  <c r="D48" i="35" s="1"/>
  <c r="B13" i="53"/>
  <c r="B29" i="72" s="1"/>
  <c r="AC29" i="21"/>
  <c r="W29" i="21"/>
  <c r="AZ191" i="3"/>
  <c r="AC23" i="21"/>
  <c r="AA32" i="37"/>
  <c r="AZ374" i="3"/>
  <c r="AZ362" i="3"/>
  <c r="AZ307" i="3"/>
  <c r="AZ390" i="3"/>
  <c r="AZ351" i="3"/>
  <c r="AZ336" i="3"/>
  <c r="AZ199" i="3"/>
  <c r="AZ519" i="3"/>
  <c r="AZ579" i="3"/>
  <c r="AB14" i="40"/>
  <c r="AB46" i="33"/>
  <c r="S36" i="39"/>
  <c r="AA36" i="39"/>
  <c r="BL585" i="3"/>
  <c r="AA42" i="21"/>
  <c r="J23" i="35"/>
  <c r="H23" i="35"/>
  <c r="H9" i="36"/>
  <c r="AB9" i="36" s="1"/>
  <c r="J9" i="36"/>
  <c r="AZ139" i="3"/>
  <c r="AZ306" i="3"/>
  <c r="AZ513" i="3"/>
  <c r="J45" i="21"/>
  <c r="F45" i="21"/>
  <c r="AA35" i="34"/>
  <c r="S35" i="34"/>
  <c r="AA9" i="40"/>
  <c r="S9" i="40"/>
  <c r="BA581" i="3"/>
  <c r="BA580" i="3"/>
  <c r="AZ580" i="3" s="1"/>
  <c r="BL574" i="3"/>
  <c r="AZ574" i="3" s="1"/>
  <c r="BA573" i="3"/>
  <c r="AZ573" i="3" s="1"/>
  <c r="BA572" i="3"/>
  <c r="BA565" i="3"/>
  <c r="BA564" i="3"/>
  <c r="AZ564" i="3" s="1"/>
  <c r="BL556" i="3"/>
  <c r="AZ556" i="3" s="1"/>
  <c r="BA546" i="3"/>
  <c r="AZ546" i="3" s="1"/>
  <c r="BA545" i="3"/>
  <c r="BA537" i="3"/>
  <c r="AZ537" i="3" s="1"/>
  <c r="BL536" i="3"/>
  <c r="BA536" i="3"/>
  <c r="AZ536" i="3" s="1"/>
  <c r="BL534" i="3"/>
  <c r="AZ534" i="3" s="1"/>
  <c r="BA532" i="3"/>
  <c r="AZ532" i="3" s="1"/>
  <c r="BL529" i="3"/>
  <c r="BA529" i="3"/>
  <c r="AZ529" i="3" s="1"/>
  <c r="BL528" i="3"/>
  <c r="BA526" i="3"/>
  <c r="AZ526" i="3" s="1"/>
  <c r="BL525" i="3"/>
  <c r="AZ525" i="3" s="1"/>
  <c r="BA519" i="3"/>
  <c r="BA518" i="3"/>
  <c r="AZ518" i="3" s="1"/>
  <c r="BL517" i="3"/>
  <c r="AZ517" i="3" s="1"/>
  <c r="BL516" i="3"/>
  <c r="BL514" i="3"/>
  <c r="AZ514" i="3" s="1"/>
  <c r="BA511" i="3"/>
  <c r="BL509" i="3"/>
  <c r="AZ509" i="3" s="1"/>
  <c r="BA506" i="3"/>
  <c r="AZ506" i="3" s="1"/>
  <c r="BL505" i="3"/>
  <c r="AZ505" i="3" s="1"/>
  <c r="BL501" i="3"/>
  <c r="BA501" i="3"/>
  <c r="AZ501" i="3" s="1"/>
  <c r="BA500" i="3"/>
  <c r="AZ500" i="3" s="1"/>
  <c r="BL498" i="3"/>
  <c r="AZ498" i="3" s="1"/>
  <c r="BL497" i="3"/>
  <c r="AZ497" i="3" s="1"/>
  <c r="BL496" i="3"/>
  <c r="AZ496" i="3" s="1"/>
  <c r="BA494" i="3"/>
  <c r="AZ494" i="3" s="1"/>
  <c r="BA493" i="3"/>
  <c r="AZ493" i="3" s="1"/>
  <c r="AB36" i="33"/>
  <c r="AB45" i="21"/>
  <c r="AC39" i="34"/>
  <c r="U12" i="39"/>
  <c r="AA27" i="40"/>
  <c r="AB27" i="40"/>
  <c r="AA34" i="33"/>
  <c r="AZ357" i="3"/>
  <c r="AZ322" i="3"/>
  <c r="AZ313" i="3"/>
  <c r="AZ160" i="3"/>
  <c r="AZ394" i="3"/>
  <c r="AC12" i="37"/>
  <c r="AZ561" i="3"/>
  <c r="AZ569" i="3"/>
  <c r="AZ557" i="3"/>
  <c r="AZ575" i="3"/>
  <c r="AZ524" i="3"/>
  <c r="AZ582" i="3"/>
  <c r="AB46" i="34"/>
  <c r="W31" i="33"/>
  <c r="AC31" i="33"/>
  <c r="S29" i="35"/>
  <c r="AA29" i="35"/>
  <c r="G585" i="3"/>
  <c r="BL587" i="3"/>
  <c r="AZ587" i="3" s="1"/>
  <c r="BL586" i="3"/>
  <c r="AZ586" i="3" s="1"/>
  <c r="BA585" i="3"/>
  <c r="AZ585" i="3" s="1"/>
  <c r="F25" i="37"/>
  <c r="H25" i="37"/>
  <c r="AC40" i="39"/>
  <c r="W40" i="39"/>
  <c r="AC34" i="33"/>
  <c r="AZ334" i="3"/>
  <c r="AZ303" i="3"/>
  <c r="AZ347" i="3"/>
  <c r="AZ123" i="3"/>
  <c r="AA11" i="39"/>
  <c r="AZ523" i="3"/>
  <c r="AZ535" i="3"/>
  <c r="AZ583" i="3"/>
  <c r="AZ516" i="3"/>
  <c r="AZ528" i="3"/>
  <c r="AZ548" i="3"/>
  <c r="AZ584" i="3"/>
  <c r="AZ502" i="3"/>
  <c r="AC28" i="21"/>
  <c r="AA44" i="33"/>
  <c r="AA11" i="36"/>
  <c r="S11" i="36"/>
  <c r="U45" i="33"/>
  <c r="AB45" i="33"/>
  <c r="U26" i="33"/>
  <c r="S41" i="33"/>
  <c r="U17" i="34"/>
  <c r="AB17" i="34"/>
  <c r="AC40" i="33"/>
  <c r="W40" i="33"/>
  <c r="H28" i="33"/>
  <c r="J28" i="33"/>
  <c r="H27" i="37"/>
  <c r="J27" i="37"/>
  <c r="U8" i="39"/>
  <c r="AB8" i="39"/>
  <c r="F38" i="40"/>
  <c r="J38" i="40"/>
  <c r="AA41" i="21"/>
  <c r="S41" i="21"/>
  <c r="BL581" i="3"/>
  <c r="BL572" i="3"/>
  <c r="BL571" i="3"/>
  <c r="AZ571" i="3" s="1"/>
  <c r="W27" i="35"/>
  <c r="AC27" i="35"/>
  <c r="AB31" i="36"/>
  <c r="U31" i="36"/>
  <c r="AA34" i="39"/>
  <c r="S34" i="39"/>
  <c r="AC32" i="40"/>
  <c r="W32" i="40"/>
  <c r="J39" i="40"/>
  <c r="H39" i="40"/>
  <c r="BA551" i="3"/>
  <c r="AZ551" i="3" s="1"/>
  <c r="BA550" i="3"/>
  <c r="BL548" i="3"/>
  <c r="BL511" i="3"/>
  <c r="BL539" i="3"/>
  <c r="AZ539" i="3" s="1"/>
  <c r="BL543" i="3"/>
  <c r="AZ543" i="3" s="1"/>
  <c r="BL565" i="3"/>
  <c r="F33" i="36"/>
  <c r="AC9" i="34"/>
  <c r="W9" i="34"/>
  <c r="F9" i="34"/>
  <c r="AA9" i="34" s="1"/>
  <c r="H9" i="34"/>
  <c r="J12" i="34"/>
  <c r="F12" i="34"/>
  <c r="S12" i="34" s="1"/>
  <c r="H12" i="34"/>
  <c r="G556" i="3"/>
  <c r="AZ443" i="3"/>
  <c r="AZ402" i="3"/>
  <c r="AZ406" i="3"/>
  <c r="AZ413" i="3"/>
  <c r="AZ469" i="3"/>
  <c r="AZ487" i="3"/>
  <c r="G587" i="3"/>
  <c r="B101" i="43"/>
  <c r="B79" i="43"/>
  <c r="H23" i="36"/>
  <c r="J23" i="36"/>
  <c r="AZ451" i="3"/>
  <c r="G399" i="3"/>
  <c r="BL400" i="3"/>
  <c r="AZ400" i="3" s="1"/>
  <c r="BL408" i="3"/>
  <c r="BL411" i="3"/>
  <c r="BL413" i="3"/>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BA468" i="3"/>
  <c r="BL471" i="3"/>
  <c r="BL475" i="3"/>
  <c r="BA477" i="3"/>
  <c r="AZ477"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212" i="3"/>
  <c r="BL213" i="3"/>
  <c r="BA216" i="3"/>
  <c r="AZ216" i="3" s="1"/>
  <c r="BL224" i="3"/>
  <c r="BL225" i="3"/>
  <c r="BL226" i="3"/>
  <c r="AZ226" i="3" s="1"/>
  <c r="G229" i="3"/>
  <c r="G241" i="3"/>
  <c r="G551" i="3"/>
  <c r="BL550" i="3"/>
  <c r="G542" i="3"/>
  <c r="BL398" i="3"/>
  <c r="G402" i="3"/>
  <c r="BL403" i="3"/>
  <c r="AZ403" i="3" s="1"/>
  <c r="G405" i="3"/>
  <c r="G406" i="3"/>
  <c r="BA408" i="3"/>
  <c r="BA409" i="3"/>
  <c r="AZ409" i="3" s="1"/>
  <c r="BA411" i="3"/>
  <c r="AZ411" i="3" s="1"/>
  <c r="BL414" i="3"/>
  <c r="BL415" i="3"/>
  <c r="BA417" i="3"/>
  <c r="AZ417" i="3" s="1"/>
  <c r="BL421" i="3"/>
  <c r="BL422" i="3"/>
  <c r="BL425" i="3"/>
  <c r="BL426" i="3"/>
  <c r="AZ426" i="3" s="1"/>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BA392" i="3"/>
  <c r="AZ392" i="3" s="1"/>
  <c r="BA395" i="3"/>
  <c r="AZ395" i="3" s="1"/>
  <c r="BA208" i="3"/>
  <c r="AZ208" i="3" s="1"/>
  <c r="BA211" i="3"/>
  <c r="AZ211" i="3" s="1"/>
  <c r="BL214" i="3"/>
  <c r="AZ214" i="3" s="1"/>
  <c r="BL219" i="3"/>
  <c r="BL222" i="3"/>
  <c r="BA229" i="3"/>
  <c r="AZ229" i="3" s="1"/>
  <c r="BL229" i="3"/>
  <c r="BL15" i="3"/>
  <c r="AZ15" i="3" s="1"/>
  <c r="BA398" i="3"/>
  <c r="AZ398" i="3" s="1"/>
  <c r="BA399" i="3"/>
  <c r="AZ399" i="3" s="1"/>
  <c r="BL401" i="3"/>
  <c r="AZ401" i="3" s="1"/>
  <c r="BL404" i="3"/>
  <c r="BL405" i="3"/>
  <c r="AZ405" i="3" s="1"/>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AZ454" i="3" s="1"/>
  <c r="BA457" i="3"/>
  <c r="AZ457" i="3" s="1"/>
  <c r="BA459" i="3"/>
  <c r="AZ459" i="3" s="1"/>
  <c r="BA460" i="3"/>
  <c r="AZ460" i="3" s="1"/>
  <c r="BA461" i="3"/>
  <c r="BL464" i="3"/>
  <c r="BL466" i="3"/>
  <c r="G468" i="3"/>
  <c r="AZ483" i="3"/>
  <c r="BL489" i="3"/>
  <c r="BA384" i="3"/>
  <c r="AZ384" i="3" s="1"/>
  <c r="G397" i="3"/>
  <c r="G210" i="3"/>
  <c r="G218" i="3"/>
  <c r="BL220" i="3"/>
  <c r="BL221" i="3"/>
  <c r="G222" i="3"/>
  <c r="BA225" i="3"/>
  <c r="BA228" i="3"/>
  <c r="AZ228" i="3" s="1"/>
  <c r="BL230" i="3"/>
  <c r="G231" i="3"/>
  <c r="BL231" i="3"/>
  <c r="BL242" i="3"/>
  <c r="BL16" i="3"/>
  <c r="AZ16" i="3" s="1"/>
  <c r="AZ404" i="3"/>
  <c r="AZ419" i="3"/>
  <c r="AZ422" i="3"/>
  <c r="AZ444" i="3"/>
  <c r="AZ464" i="3"/>
  <c r="AZ466" i="3"/>
  <c r="BL473" i="3"/>
  <c r="AZ473" i="3" s="1"/>
  <c r="BL474" i="3"/>
  <c r="BA482" i="3"/>
  <c r="BA484" i="3"/>
  <c r="AZ484" i="3" s="1"/>
  <c r="BA303" i="3"/>
  <c r="BA307" i="3"/>
  <c r="BL314" i="3"/>
  <c r="AZ314" i="3" s="1"/>
  <c r="BA332" i="3"/>
  <c r="AZ332" i="3" s="1"/>
  <c r="BL332" i="3"/>
  <c r="BA367" i="3"/>
  <c r="AZ367" i="3" s="1"/>
  <c r="BA370" i="3"/>
  <c r="AZ370" i="3" s="1"/>
  <c r="AZ217"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A302" i="3"/>
  <c r="G115" i="3"/>
  <c r="BA117" i="3"/>
  <c r="BA130" i="3"/>
  <c r="AZ130" i="3" s="1"/>
  <c r="BL130" i="3"/>
  <c r="G135" i="3"/>
  <c r="BA137" i="3"/>
  <c r="BL139" i="3"/>
  <c r="BL141" i="3"/>
  <c r="BL143" i="3"/>
  <c r="AZ143" i="3" s="1"/>
  <c r="BA156" i="3"/>
  <c r="AZ156" i="3" s="1"/>
  <c r="BA160" i="3"/>
  <c r="G162" i="3"/>
  <c r="BL162" i="3"/>
  <c r="AZ162" i="3" s="1"/>
  <c r="BL165" i="3"/>
  <c r="G166" i="3"/>
  <c r="BL170" i="3"/>
  <c r="G171" i="3"/>
  <c r="BL181" i="3"/>
  <c r="BA201" i="3"/>
  <c r="AZ201" i="3" s="1"/>
  <c r="AZ270" i="3"/>
  <c r="AZ284" i="3"/>
  <c r="AZ52" i="3"/>
  <c r="AZ65" i="3"/>
  <c r="C55" i="71"/>
  <c r="D54" i="71"/>
  <c r="BA388" i="3"/>
  <c r="AZ388" i="3" s="1"/>
  <c r="BA396" i="3"/>
  <c r="BA209" i="3"/>
  <c r="BL217" i="3"/>
  <c r="BA219" i="3"/>
  <c r="AZ219" i="3" s="1"/>
  <c r="BA221" i="3"/>
  <c r="BA223" i="3"/>
  <c r="AZ223" i="3" s="1"/>
  <c r="BL228" i="3"/>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32" i="3"/>
  <c r="AZ132" i="3" s="1"/>
  <c r="BA144" i="3"/>
  <c r="AZ144" i="3" s="1"/>
  <c r="BL149" i="3"/>
  <c r="AZ149" i="3" s="1"/>
  <c r="BL150" i="3"/>
  <c r="BA152" i="3"/>
  <c r="AZ152" i="3" s="1"/>
  <c r="BA154" i="3"/>
  <c r="AZ154" i="3" s="1"/>
  <c r="BA222" i="3"/>
  <c r="BA224" i="3"/>
  <c r="AZ224" i="3" s="1"/>
  <c r="BA226" i="3"/>
  <c r="BA237" i="3"/>
  <c r="AZ237" i="3" s="1"/>
  <c r="BL240" i="3"/>
  <c r="AZ240" i="3" s="1"/>
  <c r="BA242" i="3"/>
  <c r="AZ242" i="3" s="1"/>
  <c r="BL245" i="3"/>
  <c r="AZ245" i="3" s="1"/>
  <c r="BL255" i="3"/>
  <c r="G257" i="3"/>
  <c r="BL257" i="3"/>
  <c r="AZ257" i="3" s="1"/>
  <c r="BL258" i="3"/>
  <c r="G259" i="3"/>
  <c r="BA262" i="3"/>
  <c r="AZ262" i="3" s="1"/>
  <c r="G265" i="3"/>
  <c r="BL265" i="3"/>
  <c r="AZ265" i="3" s="1"/>
  <c r="BA273" i="3"/>
  <c r="AZ273" i="3" s="1"/>
  <c r="BA278" i="3"/>
  <c r="AZ278" i="3" s="1"/>
  <c r="BA280" i="3"/>
  <c r="AZ280" i="3" s="1"/>
  <c r="BL283" i="3"/>
  <c r="AZ283" i="3" s="1"/>
  <c r="BL284" i="3"/>
  <c r="BL292" i="3"/>
  <c r="BA294" i="3"/>
  <c r="AZ294" i="3" s="1"/>
  <c r="BL295" i="3"/>
  <c r="BA298" i="3"/>
  <c r="AZ298" i="3" s="1"/>
  <c r="BL301" i="3"/>
  <c r="AZ301" i="3" s="1"/>
  <c r="BL113" i="3"/>
  <c r="BL115" i="3"/>
  <c r="AZ115" i="3" s="1"/>
  <c r="BA118" i="3"/>
  <c r="AZ118" i="3" s="1"/>
  <c r="BL118" i="3"/>
  <c r="BA122" i="3"/>
  <c r="AZ122" i="3" s="1"/>
  <c r="BL125" i="3"/>
  <c r="AZ125" i="3" s="1"/>
  <c r="BL126" i="3"/>
  <c r="AZ126" i="3" s="1"/>
  <c r="BL133" i="3"/>
  <c r="AZ133" i="3" s="1"/>
  <c r="BL135" i="3"/>
  <c r="AZ135" i="3" s="1"/>
  <c r="BL138" i="3"/>
  <c r="BA142" i="3"/>
  <c r="BA157" i="3"/>
  <c r="AZ157" i="3" s="1"/>
  <c r="BA164" i="3"/>
  <c r="AZ164" i="3" s="1"/>
  <c r="BA166" i="3"/>
  <c r="AZ166" i="3" s="1"/>
  <c r="BA169" i="3"/>
  <c r="AZ169" i="3" s="1"/>
  <c r="BL171" i="3"/>
  <c r="AZ171" i="3" s="1"/>
  <c r="BL177" i="3"/>
  <c r="AZ177" i="3" s="1"/>
  <c r="BL205" i="3"/>
  <c r="BA62" i="3"/>
  <c r="AZ62" i="3" s="1"/>
  <c r="U21" i="33"/>
  <c r="AB21" i="33"/>
  <c r="T32" i="71"/>
  <c r="D32" i="71"/>
  <c r="C86" i="71"/>
  <c r="D86" i="71" s="1"/>
  <c r="D87" i="71"/>
  <c r="C36" i="71"/>
  <c r="D35" i="71"/>
  <c r="S80" i="71"/>
  <c r="B79" i="71"/>
  <c r="B78" i="71" s="1"/>
  <c r="V24" i="71"/>
  <c r="E23" i="71"/>
  <c r="E22" i="71" s="1"/>
  <c r="E21" i="71" s="1"/>
  <c r="E20" i="71" s="1"/>
  <c r="AA3" i="71"/>
  <c r="BL302" i="3"/>
  <c r="BA114" i="3"/>
  <c r="BL123" i="3"/>
  <c r="BA128" i="3"/>
  <c r="AZ128" i="3" s="1"/>
  <c r="BL134" i="3"/>
  <c r="AZ134" i="3" s="1"/>
  <c r="BL137" i="3"/>
  <c r="G143" i="3"/>
  <c r="BA146" i="3"/>
  <c r="AZ146" i="3" s="1"/>
  <c r="BA150" i="3"/>
  <c r="AZ150" i="3" s="1"/>
  <c r="G159" i="3"/>
  <c r="BL167" i="3"/>
  <c r="AZ167" i="3" s="1"/>
  <c r="G175" i="3"/>
  <c r="G176" i="3"/>
  <c r="BL178" i="3"/>
  <c r="BA180" i="3"/>
  <c r="AZ180" i="3" s="1"/>
  <c r="BL182" i="3"/>
  <c r="G183" i="3"/>
  <c r="BA185" i="3"/>
  <c r="BL191" i="3"/>
  <c r="G192" i="3"/>
  <c r="BA193" i="3"/>
  <c r="AZ193" i="3" s="1"/>
  <c r="BA196" i="3"/>
  <c r="AZ196" i="3" s="1"/>
  <c r="G203" i="3"/>
  <c r="BA205" i="3"/>
  <c r="AZ205" i="3" s="1"/>
  <c r="G20" i="3"/>
  <c r="BL20" i="3"/>
  <c r="BA21" i="3"/>
  <c r="AZ21" i="3" s="1"/>
  <c r="BA25" i="3"/>
  <c r="BA26" i="3"/>
  <c r="G28" i="3"/>
  <c r="BL28" i="3"/>
  <c r="BA29" i="3"/>
  <c r="AZ29" i="3" s="1"/>
  <c r="BA36" i="3"/>
  <c r="BL38" i="3"/>
  <c r="BA39" i="3"/>
  <c r="AZ39" i="3" s="1"/>
  <c r="BL47" i="3"/>
  <c r="AZ47" i="3" s="1"/>
  <c r="G49" i="3"/>
  <c r="BL54" i="3"/>
  <c r="BL55" i="3"/>
  <c r="AZ55" i="3" s="1"/>
  <c r="G57" i="3"/>
  <c r="G58" i="3"/>
  <c r="BA59" i="3"/>
  <c r="G61" i="3"/>
  <c r="BL61" i="3"/>
  <c r="G64" i="3"/>
  <c r="BA64" i="3"/>
  <c r="BA68" i="3"/>
  <c r="BL74" i="3"/>
  <c r="G75" i="3"/>
  <c r="BL75" i="3"/>
  <c r="AZ75" i="3" s="1"/>
  <c r="BL82" i="3"/>
  <c r="AZ82" i="3" s="1"/>
  <c r="BL83" i="3"/>
  <c r="G86" i="3"/>
  <c r="BA87" i="3"/>
  <c r="BA95" i="3"/>
  <c r="W21" i="21"/>
  <c r="T60" i="71"/>
  <c r="D43" i="71"/>
  <c r="E71" i="71"/>
  <c r="E70" i="71" s="1"/>
  <c r="C52" i="71"/>
  <c r="D51" i="71"/>
  <c r="Y29" i="71"/>
  <c r="Z29" i="71" s="1"/>
  <c r="E39" i="71"/>
  <c r="E40" i="71" s="1"/>
  <c r="U40" i="71" s="1"/>
  <c r="Y37" i="71"/>
  <c r="Z37" i="71" s="1"/>
  <c r="F66" i="71"/>
  <c r="Q67" i="71"/>
  <c r="X25" i="71"/>
  <c r="BA178" i="3"/>
  <c r="AZ178" i="3" s="1"/>
  <c r="BA184" i="3"/>
  <c r="AZ184" i="3" s="1"/>
  <c r="BL187" i="3"/>
  <c r="AZ187" i="3" s="1"/>
  <c r="BL189" i="3"/>
  <c r="AZ189" i="3" s="1"/>
  <c r="BL190" i="3"/>
  <c r="AZ190" i="3" s="1"/>
  <c r="BA192" i="3"/>
  <c r="AZ192" i="3" s="1"/>
  <c r="BL197" i="3"/>
  <c r="AZ197" i="3" s="1"/>
  <c r="BL199" i="3"/>
  <c r="BA200" i="3"/>
  <c r="AZ200" i="3" s="1"/>
  <c r="BA202" i="3"/>
  <c r="BL207" i="3"/>
  <c r="BL18" i="3"/>
  <c r="BL19" i="3"/>
  <c r="BA20" i="3"/>
  <c r="AZ20" i="3" s="1"/>
  <c r="BL25" i="3"/>
  <c r="BL27" i="3"/>
  <c r="BA28" i="3"/>
  <c r="AZ28" i="3" s="1"/>
  <c r="BA31" i="3"/>
  <c r="BA32" i="3"/>
  <c r="BA38" i="3"/>
  <c r="BA41" i="3"/>
  <c r="AZ41" i="3" s="1"/>
  <c r="BA42" i="3"/>
  <c r="BL48" i="3"/>
  <c r="BA51" i="3"/>
  <c r="BL56" i="3"/>
  <c r="AZ56" i="3" s="1"/>
  <c r="BA58" i="3"/>
  <c r="BL59" i="3"/>
  <c r="BL60" i="3"/>
  <c r="BA61" i="3"/>
  <c r="AZ61" i="3" s="1"/>
  <c r="BL69" i="3"/>
  <c r="AZ69" i="3" s="1"/>
  <c r="BL70" i="3"/>
  <c r="AZ70" i="3" s="1"/>
  <c r="BL71" i="3"/>
  <c r="P65" i="71"/>
  <c r="P66" i="71"/>
  <c r="N66" i="71"/>
  <c r="C47" i="71"/>
  <c r="D47" i="71" s="1"/>
  <c r="D46" i="71"/>
  <c r="C67" i="71"/>
  <c r="T68" i="71"/>
  <c r="O68" i="71"/>
  <c r="T76" i="71"/>
  <c r="D76" i="71"/>
  <c r="C75" i="71"/>
  <c r="Y27" i="71"/>
  <c r="Z27" i="71" s="1"/>
  <c r="Y26" i="71"/>
  <c r="Z26" i="71" s="1"/>
  <c r="C23" i="71"/>
  <c r="B22" i="71"/>
  <c r="B21" i="71" s="1"/>
  <c r="B20" i="71" s="1"/>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BL64" i="3"/>
  <c r="G65" i="3"/>
  <c r="BL65" i="3"/>
  <c r="BL66" i="3"/>
  <c r="BL67" i="3"/>
  <c r="AZ67" i="3" s="1"/>
  <c r="G69" i="3"/>
  <c r="G72" i="3"/>
  <c r="BL73" i="3"/>
  <c r="BA74" i="3"/>
  <c r="AZ74" i="3" s="1"/>
  <c r="G78" i="3"/>
  <c r="G79" i="3"/>
  <c r="G81" i="3"/>
  <c r="G89" i="3"/>
  <c r="BA90" i="3"/>
  <c r="AZ90" i="3" s="1"/>
  <c r="BL93" i="3"/>
  <c r="BA97" i="3"/>
  <c r="AZ97" i="3" s="1"/>
  <c r="BA109" i="3"/>
  <c r="F40" i="69"/>
  <c r="C40" i="69"/>
  <c r="AB21" i="37"/>
  <c r="U21" i="37"/>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BA73" i="3"/>
  <c r="BA80" i="3"/>
  <c r="BL84" i="3"/>
  <c r="BA89" i="3"/>
  <c r="G103" i="3"/>
  <c r="BA103" i="3"/>
  <c r="AZ103" i="3" s="1"/>
  <c r="BA104" i="3"/>
  <c r="BA106" i="3"/>
  <c r="BL108" i="3"/>
  <c r="AZ108" i="3" s="1"/>
  <c r="BL111" i="3"/>
  <c r="U29" i="39"/>
  <c r="AA27" i="71"/>
  <c r="S28" i="71"/>
  <c r="C83" i="71"/>
  <c r="C79" i="71"/>
  <c r="C71" i="71"/>
  <c r="C39" i="71"/>
  <c r="Y28" i="71"/>
  <c r="Z28" i="71" s="1"/>
  <c r="Y30" i="71"/>
  <c r="Z30" i="71" s="1"/>
  <c r="X28" i="71"/>
  <c r="X32" i="71"/>
  <c r="AB38" i="71"/>
  <c r="F75" i="71"/>
  <c r="F74"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S21" i="34"/>
  <c r="B88" i="43"/>
  <c r="F35" i="71"/>
  <c r="F36" i="71" s="1"/>
  <c r="V36" i="71" s="1"/>
  <c r="AA34" i="71"/>
  <c r="BL94" i="3"/>
  <c r="AZ94" i="3" s="1"/>
  <c r="BA100" i="3"/>
  <c r="AZ100" i="3" s="1"/>
  <c r="BA102" i="3"/>
  <c r="AZ102" i="3" s="1"/>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D9" i="68"/>
  <c r="C16" i="15"/>
  <c r="C16" i="67"/>
  <c r="D5" i="73"/>
  <c r="D7" i="73"/>
  <c r="D3" i="73"/>
  <c r="D4" i="73"/>
  <c r="E14" i="6" l="1"/>
  <c r="E63" i="39" s="1"/>
  <c r="AB23" i="34"/>
  <c r="U21" i="34"/>
  <c r="E13" i="6"/>
  <c r="E58" i="40" s="1"/>
  <c r="E12" i="6"/>
  <c r="E57" i="40" s="1"/>
  <c r="E10" i="6"/>
  <c r="E8" i="6"/>
  <c r="E11" i="6"/>
  <c r="E60" i="39" s="1"/>
  <c r="E59" i="40"/>
  <c r="AZ14" i="3"/>
  <c r="N370" i="46"/>
  <c r="E28" i="6"/>
  <c r="K14" i="1" s="1"/>
  <c r="F26" i="43"/>
  <c r="D17" i="53"/>
  <c r="B36" i="72" s="1"/>
  <c r="AB23" i="36"/>
  <c r="U23" i="36"/>
  <c r="AZ550" i="3"/>
  <c r="AB28" i="33"/>
  <c r="U28" i="33"/>
  <c r="W45" i="21"/>
  <c r="AC45" i="21"/>
  <c r="AC9" i="36"/>
  <c r="W9" i="36"/>
  <c r="J7" i="36"/>
  <c r="E26" i="43"/>
  <c r="H26" i="43"/>
  <c r="AZ80" i="3"/>
  <c r="AZ396" i="3"/>
  <c r="AZ232" i="3"/>
  <c r="C40" i="71"/>
  <c r="D39" i="71"/>
  <c r="C26" i="71"/>
  <c r="D26" i="71" s="1"/>
  <c r="D27" i="71"/>
  <c r="AZ51" i="3"/>
  <c r="AZ27" i="3"/>
  <c r="AZ25" i="3"/>
  <c r="AZ222" i="3"/>
  <c r="AZ271" i="3"/>
  <c r="AZ238" i="3"/>
  <c r="AZ302" i="3"/>
  <c r="AZ421" i="3"/>
  <c r="AZ368" i="3"/>
  <c r="AZ408" i="3"/>
  <c r="W12" i="34"/>
  <c r="AC12" i="34"/>
  <c r="AC38" i="40"/>
  <c r="W38" i="40"/>
  <c r="W27" i="37"/>
  <c r="AC27" i="37"/>
  <c r="AZ565" i="3"/>
  <c r="D83" i="71"/>
  <c r="C82" i="71"/>
  <c r="D82" i="71" s="1"/>
  <c r="T52" i="71"/>
  <c r="D52" i="71"/>
  <c r="J7" i="37"/>
  <c r="G26" i="43"/>
  <c r="G5" i="3"/>
  <c r="B3" i="3" s="1"/>
  <c r="E472" i="3" s="1"/>
  <c r="AZ36" i="3"/>
  <c r="AZ113" i="3"/>
  <c r="C70" i="71"/>
  <c r="D70" i="71" s="1"/>
  <c r="D71" i="71"/>
  <c r="AZ49" i="3"/>
  <c r="B19" i="71"/>
  <c r="B18" i="71" s="1"/>
  <c r="B17" i="71" s="1"/>
  <c r="B16" i="71" s="1"/>
  <c r="S20" i="71"/>
  <c r="D75" i="71"/>
  <c r="C74" i="71"/>
  <c r="D74" i="71" s="1"/>
  <c r="AZ461" i="3"/>
  <c r="AZ429" i="3"/>
  <c r="AB9" i="34"/>
  <c r="U9" i="34"/>
  <c r="S33" i="36"/>
  <c r="AA33" i="36"/>
  <c r="AZ511" i="3"/>
  <c r="U39" i="40"/>
  <c r="AB39" i="40"/>
  <c r="AA38" i="40"/>
  <c r="S38" i="40"/>
  <c r="U27" i="37"/>
  <c r="AB27" i="37"/>
  <c r="U25" i="37"/>
  <c r="AB25" i="37"/>
  <c r="AZ572" i="3"/>
  <c r="U23" i="35"/>
  <c r="AB23" i="35"/>
  <c r="N94" i="46"/>
  <c r="AZ26" i="3"/>
  <c r="AZ279" i="3"/>
  <c r="AZ213" i="3"/>
  <c r="D79" i="71"/>
  <c r="C78" i="71"/>
  <c r="D78" i="71" s="1"/>
  <c r="C22" i="71"/>
  <c r="D23" i="71"/>
  <c r="D67" i="71"/>
  <c r="C66" i="71"/>
  <c r="O67" i="71"/>
  <c r="AZ58" i="3"/>
  <c r="AZ31" i="3"/>
  <c r="AZ64" i="3"/>
  <c r="AZ59" i="3"/>
  <c r="AZ38" i="3"/>
  <c r="C56" i="71"/>
  <c r="D55" i="71"/>
  <c r="AZ137" i="3"/>
  <c r="AC23" i="36"/>
  <c r="W23" i="36"/>
  <c r="U12" i="34"/>
  <c r="AB12" i="34"/>
  <c r="AC39" i="40"/>
  <c r="W39" i="40"/>
  <c r="W28" i="33"/>
  <c r="AC28" i="33"/>
  <c r="AA25" i="37"/>
  <c r="S25" i="37"/>
  <c r="AA45" i="21"/>
  <c r="S45" i="21"/>
  <c r="AC23" i="35"/>
  <c r="W23" i="35"/>
  <c r="K1" i="73"/>
  <c r="AA26" i="37"/>
  <c r="S26" i="37"/>
  <c r="BA5" i="3"/>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H7" i="34"/>
  <c r="AB7" i="34" s="1"/>
  <c r="E67" i="39"/>
  <c r="J7" i="34"/>
  <c r="W7" i="34" s="1"/>
  <c r="F7" i="34"/>
  <c r="S7" i="34" s="1"/>
  <c r="AA26" i="35"/>
  <c r="S26" i="35"/>
  <c r="AC26" i="35"/>
  <c r="W26" i="35"/>
  <c r="AB26" i="35"/>
  <c r="U26" i="35"/>
  <c r="E61" i="39"/>
  <c r="E56" i="40"/>
  <c r="C9" i="69"/>
  <c r="C9" i="68"/>
  <c r="E72" i="43"/>
  <c r="B70" i="43" s="1"/>
  <c r="E60" i="40"/>
  <c r="E51" i="40"/>
  <c r="D5" i="43"/>
  <c r="C7" i="43"/>
  <c r="C5" i="43" s="1"/>
  <c r="D10" i="52"/>
  <c r="D125" i="9"/>
  <c r="D11" i="52" s="1"/>
  <c r="B7" i="74"/>
  <c r="C7" i="74" s="1"/>
  <c r="F67" i="39"/>
  <c r="E69"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G1" i="73"/>
  <c r="E78" i="3" l="1"/>
  <c r="E19" i="6"/>
  <c r="AB6" i="3"/>
  <c r="E337" i="3"/>
  <c r="E423" i="3"/>
  <c r="E180" i="3"/>
  <c r="E16" i="6"/>
  <c r="E56" i="39"/>
  <c r="E65" i="39" s="1"/>
  <c r="E217" i="3"/>
  <c r="E282" i="3"/>
  <c r="E62" i="39"/>
  <c r="AY6" i="3"/>
  <c r="E483" i="3"/>
  <c r="Z6" i="3"/>
  <c r="E271" i="3"/>
  <c r="E378" i="3"/>
  <c r="E94" i="3"/>
  <c r="E219" i="3"/>
  <c r="AI6" i="3"/>
  <c r="E335" i="3"/>
  <c r="E268" i="3"/>
  <c r="E485" i="3"/>
  <c r="E406" i="3"/>
  <c r="E350" i="3"/>
  <c r="E143" i="3"/>
  <c r="E505" i="3"/>
  <c r="E518" i="3"/>
  <c r="E119" i="3"/>
  <c r="E535" i="3"/>
  <c r="E201" i="3"/>
  <c r="E182" i="3"/>
  <c r="E362" i="3"/>
  <c r="E181" i="3"/>
  <c r="E216" i="3"/>
  <c r="E175" i="3"/>
  <c r="E111" i="3"/>
  <c r="E443" i="3"/>
  <c r="E248" i="3"/>
  <c r="E148" i="3"/>
  <c r="E563" i="3"/>
  <c r="E247" i="3"/>
  <c r="E70" i="3"/>
  <c r="E146" i="3"/>
  <c r="E568" i="3"/>
  <c r="E380" i="3"/>
  <c r="AS6" i="3"/>
  <c r="E527" i="3"/>
  <c r="E156" i="3"/>
  <c r="E384" i="3"/>
  <c r="E567" i="3"/>
  <c r="E117" i="3"/>
  <c r="E403" i="3"/>
  <c r="E242" i="3"/>
  <c r="E100" i="3"/>
  <c r="E135" i="3"/>
  <c r="E278" i="3"/>
  <c r="M6" i="3"/>
  <c r="E509" i="3"/>
  <c r="E572" i="3"/>
  <c r="E28" i="3"/>
  <c r="E89" i="3"/>
  <c r="E106" i="3"/>
  <c r="E133" i="3"/>
  <c r="E124" i="3"/>
  <c r="E503" i="3"/>
  <c r="E538" i="3"/>
  <c r="E508" i="3"/>
  <c r="E186" i="3"/>
  <c r="E414" i="3"/>
  <c r="E318" i="3"/>
  <c r="E193" i="3"/>
  <c r="E415" i="3"/>
  <c r="E164" i="3"/>
  <c r="E365" i="3"/>
  <c r="M14" i="1"/>
  <c r="O14" i="1" s="1"/>
  <c r="E118" i="3"/>
  <c r="E131" i="3"/>
  <c r="E275" i="3"/>
  <c r="E246" i="3"/>
  <c r="E161" i="3"/>
  <c r="E189" i="3"/>
  <c r="E311" i="3"/>
  <c r="AJ6" i="3"/>
  <c r="E377" i="3"/>
  <c r="E345" i="3"/>
  <c r="E74" i="3"/>
  <c r="E468" i="3"/>
  <c r="E228" i="3"/>
  <c r="E586" i="3"/>
  <c r="E528" i="3"/>
  <c r="E270" i="3"/>
  <c r="E343" i="3"/>
  <c r="E162" i="3"/>
  <c r="E107" i="3"/>
  <c r="E150" i="3"/>
  <c r="E253" i="3"/>
  <c r="E229" i="3"/>
  <c r="E330" i="3"/>
  <c r="D26" i="43"/>
  <c r="C25" i="43" s="1"/>
  <c r="E139" i="3"/>
  <c r="E369" i="3"/>
  <c r="E487" i="3"/>
  <c r="E132" i="3"/>
  <c r="X6" i="3"/>
  <c r="E263" i="3"/>
  <c r="E172" i="3"/>
  <c r="E215" i="3"/>
  <c r="E570" i="3"/>
  <c r="E579" i="3"/>
  <c r="E526" i="3"/>
  <c r="E273" i="3"/>
  <c r="E557" i="3"/>
  <c r="E204" i="3"/>
  <c r="E315" i="3"/>
  <c r="E587" i="3"/>
  <c r="E277" i="3"/>
  <c r="E347" i="3"/>
  <c r="E91" i="3"/>
  <c r="E261" i="3"/>
  <c r="E561" i="3"/>
  <c r="E388" i="3"/>
  <c r="E44" i="3"/>
  <c r="E27" i="3"/>
  <c r="E515" i="3"/>
  <c r="E31" i="3"/>
  <c r="E433" i="3"/>
  <c r="E45" i="3"/>
  <c r="E578" i="3"/>
  <c r="E130" i="3"/>
  <c r="E30" i="3"/>
  <c r="E580" i="3"/>
  <c r="E221" i="3"/>
  <c r="E471" i="3"/>
  <c r="E202" i="3"/>
  <c r="E457" i="3"/>
  <c r="E85" i="3"/>
  <c r="E290" i="3"/>
  <c r="V6" i="3"/>
  <c r="E121" i="3"/>
  <c r="E429" i="3"/>
  <c r="E418" i="3"/>
  <c r="E98" i="3"/>
  <c r="E287" i="3"/>
  <c r="E328" i="3"/>
  <c r="E464" i="3"/>
  <c r="E142" i="3"/>
  <c r="E240" i="3"/>
  <c r="E296" i="3"/>
  <c r="E200" i="3"/>
  <c r="E385" i="3"/>
  <c r="E191" i="3"/>
  <c r="E445" i="3"/>
  <c r="E69" i="3"/>
  <c r="E387" i="3"/>
  <c r="E514" i="3"/>
  <c r="E431" i="3"/>
  <c r="E322" i="3"/>
  <c r="E109" i="3"/>
  <c r="E211"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P6" i="3"/>
  <c r="E252" i="3"/>
  <c r="E256" i="3"/>
  <c r="E344" i="3"/>
  <c r="E177" i="3"/>
  <c r="E280" i="3"/>
  <c r="E302" i="3"/>
  <c r="E523" i="3"/>
  <c r="E29" i="3"/>
  <c r="E548" i="3"/>
  <c r="E537" i="3"/>
  <c r="E187" i="3"/>
  <c r="E138" i="3"/>
  <c r="E340" i="3"/>
  <c r="E440" i="3"/>
  <c r="E309" i="3"/>
  <c r="E571" i="3"/>
  <c r="E519" i="3"/>
  <c r="E314" i="3"/>
  <c r="E336" i="3"/>
  <c r="E61" i="3"/>
  <c r="E395" i="3"/>
  <c r="E294" i="3"/>
  <c r="E358" i="3"/>
  <c r="E516" i="3"/>
  <c r="E366" i="3"/>
  <c r="E295" i="3"/>
  <c r="E444" i="3"/>
  <c r="E448" i="3"/>
  <c r="I6" i="3"/>
  <c r="E203" i="3"/>
  <c r="E424" i="3"/>
  <c r="E128" i="3"/>
  <c r="AN6" i="3"/>
  <c r="E565" i="3"/>
  <c r="E574" i="3"/>
  <c r="E317" i="3"/>
  <c r="E397" i="3"/>
  <c r="E313" i="3"/>
  <c r="E459" i="3"/>
  <c r="E244" i="3"/>
  <c r="E299" i="3"/>
  <c r="E16" i="3"/>
  <c r="E484" i="3"/>
  <c r="E407" i="3"/>
  <c r="E151" i="3"/>
  <c r="E239" i="3"/>
  <c r="E480" i="3"/>
  <c r="E166" i="3"/>
  <c r="E581" i="3"/>
  <c r="E576" i="3"/>
  <c r="E32" i="3"/>
  <c r="E55" i="3"/>
  <c r="Q6" i="3"/>
  <c r="E434" i="3"/>
  <c r="E402" i="3"/>
  <c r="E298" i="3"/>
  <c r="O6" i="3"/>
  <c r="E126" i="3"/>
  <c r="E93" i="3"/>
  <c r="E352" i="3"/>
  <c r="E374" i="3"/>
  <c r="E90" i="3"/>
  <c r="E473" i="3"/>
  <c r="R6" i="3"/>
  <c r="E479" i="3"/>
  <c r="E499" i="3"/>
  <c r="E541" i="3"/>
  <c r="E389" i="3"/>
  <c r="E33" i="3"/>
  <c r="E75" i="3"/>
  <c r="E173" i="3"/>
  <c r="E225" i="3"/>
  <c r="E370" i="3"/>
  <c r="E393" i="3"/>
  <c r="AH6" i="3"/>
  <c r="E178" i="3"/>
  <c r="L6" i="3"/>
  <c r="E38" i="3"/>
  <c r="E339" i="3"/>
  <c r="E123" i="3"/>
  <c r="E176" i="3"/>
  <c r="E141" i="3"/>
  <c r="E155" i="3"/>
  <c r="E51" i="3"/>
  <c r="E520" i="3"/>
  <c r="E48" i="3"/>
  <c r="E297" i="3"/>
  <c r="E373" i="3"/>
  <c r="E66" i="3"/>
  <c r="E154" i="3"/>
  <c r="E127" i="3"/>
  <c r="E306" i="3"/>
  <c r="E288" i="3"/>
  <c r="E208" i="3"/>
  <c r="E207" i="3"/>
  <c r="E547" i="3"/>
  <c r="E272" i="3"/>
  <c r="E501" i="3"/>
  <c r="E97" i="3"/>
  <c r="E321"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AD6" i="3"/>
  <c r="E341" i="3"/>
  <c r="E149" i="3"/>
  <c r="E57" i="3"/>
  <c r="E24" i="3"/>
  <c r="E460" i="3"/>
  <c r="E218" i="3"/>
  <c r="E112" i="3"/>
  <c r="E137" i="3"/>
  <c r="E43" i="3"/>
  <c r="E108" i="3"/>
  <c r="E486" i="3"/>
  <c r="E326" i="3"/>
  <c r="E420" i="3"/>
  <c r="E206" i="3"/>
  <c r="E381" i="3"/>
  <c r="E192" i="3"/>
  <c r="E411" i="3"/>
  <c r="E257" i="3"/>
  <c r="E474" i="3"/>
  <c r="E136" i="3"/>
  <c r="E167" i="3"/>
  <c r="E163" i="3"/>
  <c r="E47" i="3"/>
  <c r="E19" i="3"/>
  <c r="E500" i="3"/>
  <c r="E65" i="3"/>
  <c r="E552" i="3"/>
  <c r="E50" i="3"/>
  <c r="E52" i="3"/>
  <c r="E170" i="3"/>
  <c r="E333" i="3"/>
  <c r="E463" i="3"/>
  <c r="E543" i="3"/>
  <c r="E49" i="3"/>
  <c r="E360" i="3"/>
  <c r="E235" i="3"/>
  <c r="E310" i="3"/>
  <c r="E554" i="3"/>
  <c r="E254" i="3"/>
  <c r="E304" i="3"/>
  <c r="E390" i="3"/>
  <c r="E319" i="3"/>
  <c r="E546" i="3"/>
  <c r="E379" i="3"/>
  <c r="E168" i="3"/>
  <c r="E532" i="3"/>
  <c r="E82" i="3"/>
  <c r="E488" i="3"/>
  <c r="E259" i="3"/>
  <c r="E375" i="3"/>
  <c r="E209" i="3"/>
  <c r="E312" i="3"/>
  <c r="E521" i="3"/>
  <c r="E101" i="3"/>
  <c r="E364" i="3"/>
  <c r="E392" i="3"/>
  <c r="E15" i="3"/>
  <c r="E346" i="3"/>
  <c r="E498" i="3"/>
  <c r="E223" i="3"/>
  <c r="E324" i="3"/>
  <c r="E456" i="3"/>
  <c r="E281" i="3"/>
  <c r="E103"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158" i="3"/>
  <c r="E342" i="3"/>
  <c r="E412" i="3"/>
  <c r="E115" i="3"/>
  <c r="E452" i="3"/>
  <c r="E451" i="3"/>
  <c r="E405" i="3"/>
  <c r="E140" i="3"/>
  <c r="E113" i="3"/>
  <c r="E34" i="3"/>
  <c r="E129" i="3"/>
  <c r="E42" i="3"/>
  <c r="E198" i="3"/>
  <c r="E264" i="3"/>
  <c r="E355" i="3"/>
  <c r="E67" i="3"/>
  <c r="E300" i="3"/>
  <c r="E46" i="3"/>
  <c r="E409" i="3"/>
  <c r="E363" i="3"/>
  <c r="E152" i="3"/>
  <c r="E417" i="3"/>
  <c r="I3" i="6"/>
  <c r="E466" i="3"/>
  <c r="E575" i="3"/>
  <c r="E428" i="3"/>
  <c r="E104" i="3"/>
  <c r="E13" i="3"/>
  <c r="E408" i="3"/>
  <c r="E534" i="3"/>
  <c r="E205" i="3"/>
  <c r="E102" i="3"/>
  <c r="E522" i="3"/>
  <c r="E96" i="3"/>
  <c r="AL6" i="3"/>
  <c r="E21" i="3"/>
  <c r="E81" i="3"/>
  <c r="E233" i="3"/>
  <c r="E23" i="3"/>
  <c r="E249" i="3"/>
  <c r="E64" i="3"/>
  <c r="E76" i="3"/>
  <c r="E292" i="3"/>
  <c r="E95" i="3"/>
  <c r="E435" i="3"/>
  <c r="E255" i="3"/>
  <c r="E442" i="3"/>
  <c r="E212" i="3"/>
  <c r="E401" i="3"/>
  <c r="E490" i="3"/>
  <c r="E427" i="3"/>
  <c r="E105" i="3"/>
  <c r="E83" i="3"/>
  <c r="E232" i="3"/>
  <c r="E220" i="3"/>
  <c r="E243" i="3"/>
  <c r="E26" i="3"/>
  <c r="E497" i="3"/>
  <c r="E469" i="3"/>
  <c r="E525" i="3"/>
  <c r="E22" i="3"/>
  <c r="E251" i="3"/>
  <c r="E383" i="3"/>
  <c r="E18" i="3"/>
  <c r="E332" i="3"/>
  <c r="E513" i="3"/>
  <c r="E63" i="3"/>
  <c r="E144" i="3"/>
  <c r="E492" i="3"/>
  <c r="E267" i="3"/>
  <c r="E425" i="3"/>
  <c r="E544" i="3"/>
  <c r="E241" i="3"/>
  <c r="E56" i="3"/>
  <c r="E517" i="3"/>
  <c r="E449" i="3"/>
  <c r="E510" i="3"/>
  <c r="E199"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D56" i="71"/>
  <c r="T56" i="71"/>
  <c r="O65" i="71"/>
  <c r="D66" i="71"/>
  <c r="O66" i="71"/>
  <c r="T40" i="71"/>
  <c r="D40" i="71"/>
  <c r="E3" i="6"/>
  <c r="B14" i="74" s="1"/>
  <c r="C21" i="71"/>
  <c r="D22"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BS6" i="3"/>
  <c r="AY130" i="3"/>
  <c r="AY279" i="3"/>
  <c r="AY308" i="3"/>
  <c r="AY467" i="3"/>
  <c r="AY516" i="3"/>
  <c r="BN6" i="3"/>
  <c r="AY496" i="3"/>
  <c r="AY577" i="3"/>
  <c r="AY132" i="3"/>
  <c r="AY31" i="3"/>
  <c r="AY412" i="3"/>
  <c r="AY497" i="3"/>
  <c r="AY326" i="3"/>
  <c r="AY478" i="3"/>
  <c r="AY105" i="3"/>
  <c r="AY100" i="3"/>
  <c r="AY162" i="3"/>
  <c r="AY173" i="3"/>
  <c r="AY238" i="3"/>
  <c r="AY227" i="3"/>
  <c r="AY72" i="3"/>
  <c r="AY29" i="3"/>
  <c r="AY370" i="3"/>
  <c r="AY341" i="3"/>
  <c r="AY406" i="3"/>
  <c r="AY419" i="3"/>
  <c r="AY520" i="3"/>
  <c r="AY552" i="3"/>
  <c r="AY494" i="3"/>
  <c r="AY514" i="3"/>
  <c r="AY101" i="3"/>
  <c r="AY96" i="3"/>
  <c r="AY48" i="3"/>
  <c r="AY37" i="3"/>
  <c r="AY158" i="3"/>
  <c r="AY169" i="3"/>
  <c r="AY287" i="3"/>
  <c r="AY282" i="3"/>
  <c r="AY234" i="3"/>
  <c r="AY223" i="3"/>
  <c r="AY364" i="3"/>
  <c r="AY345" i="3"/>
  <c r="AY344" i="3"/>
  <c r="AY328" i="3"/>
  <c r="AY471" i="3"/>
  <c r="AY484" i="3"/>
  <c r="AY458" i="3"/>
  <c r="AY442" i="3"/>
  <c r="AY439" i="3"/>
  <c r="AY423" i="3"/>
  <c r="AY506" i="3"/>
  <c r="AY499" i="3"/>
  <c r="AY524" i="3"/>
  <c r="AY502" i="3"/>
  <c r="AY542" i="3"/>
  <c r="BR6" i="3"/>
  <c r="AY578" i="3"/>
  <c r="BA6" i="3"/>
  <c r="AY63" i="3"/>
  <c r="AY78" i="3"/>
  <c r="AY192" i="3"/>
  <c r="AY187" i="3"/>
  <c r="AY135" i="3"/>
  <c r="AY127" i="3"/>
  <c r="AY249" i="3"/>
  <c r="AY264" i="3"/>
  <c r="AY378" i="3"/>
  <c r="AY376" i="3"/>
  <c r="AY346" i="3"/>
  <c r="AY314" i="3"/>
  <c r="AY456" i="3"/>
  <c r="AY424" i="3"/>
  <c r="AY558" i="3"/>
  <c r="AY517" i="3"/>
  <c r="BL6" i="3"/>
  <c r="AY587" i="3"/>
  <c r="AY55" i="3"/>
  <c r="AY70" i="3"/>
  <c r="AY184" i="3"/>
  <c r="AY179" i="3"/>
  <c r="AY128" i="3"/>
  <c r="AY119" i="3"/>
  <c r="AY241" i="3"/>
  <c r="AY256" i="3"/>
  <c r="AY391" i="3"/>
  <c r="AY367" i="3"/>
  <c r="AY338" i="3"/>
  <c r="AY306" i="3"/>
  <c r="AY448" i="3"/>
  <c r="AY416" i="3"/>
  <c r="BD6" i="3"/>
  <c r="BC6" i="3"/>
  <c r="AY586" i="3"/>
  <c r="AY498" i="3"/>
  <c r="AY142" i="3"/>
  <c r="AY122" i="3"/>
  <c r="AY218" i="3"/>
  <c r="AY385" i="3"/>
  <c r="AY336" i="3"/>
  <c r="AY304" i="3"/>
  <c r="AY450" i="3"/>
  <c r="AY418" i="3"/>
  <c r="AY17" i="3"/>
  <c r="AY564" i="3"/>
  <c r="AY530" i="3"/>
  <c r="AY548" i="3"/>
  <c r="AY47" i="3"/>
  <c r="AY30" i="3"/>
  <c r="AY120" i="3"/>
  <c r="AY296" i="3"/>
  <c r="AY383" i="3"/>
  <c r="AY347" i="3"/>
  <c r="AY440" i="3"/>
  <c r="AY421" i="3"/>
  <c r="AY576" i="3"/>
  <c r="AY102" i="3"/>
  <c r="AY195" i="3"/>
  <c r="AY175" i="3"/>
  <c r="AY272" i="3"/>
  <c r="AY208" i="3"/>
  <c r="AY322" i="3"/>
  <c r="AY474" i="3"/>
  <c r="AY15" i="3"/>
  <c r="AY583" i="3"/>
  <c r="AY21" i="3"/>
  <c r="AY174" i="3"/>
  <c r="AY267" i="3"/>
  <c r="AY250" i="3"/>
  <c r="AY337" i="3"/>
  <c r="AY305" i="3"/>
  <c r="AY476" i="3"/>
  <c r="AY445" i="3"/>
  <c r="AY415" i="3"/>
  <c r="AY505" i="3"/>
  <c r="AY515" i="3"/>
  <c r="AY551" i="3"/>
  <c r="AY493" i="3"/>
  <c r="AY79" i="3"/>
  <c r="AY172" i="3"/>
  <c r="AY151" i="3"/>
  <c r="AY248" i="3"/>
  <c r="AY394" i="3"/>
  <c r="AY485" i="3"/>
  <c r="AY451" i="3"/>
  <c r="AY547" i="3"/>
  <c r="AY568" i="3"/>
  <c r="AY54" i="3"/>
  <c r="AY200" i="3"/>
  <c r="AY293" i="3"/>
  <c r="AY257" i="3"/>
  <c r="AY351" i="3"/>
  <c r="AY307" i="3"/>
  <c r="AY400" i="3"/>
  <c r="AY521"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F41" i="15"/>
  <c r="M27" i="67"/>
  <c r="AY87" i="3" l="1"/>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C34" i="34"/>
  <c r="K6" i="1"/>
  <c r="C34" i="69" s="1"/>
  <c r="F27" i="6"/>
  <c r="F22" i="68"/>
  <c r="F41" i="68" s="1"/>
  <c r="F25" i="12"/>
  <c r="C26" i="12" s="1"/>
  <c r="D25" i="12" s="1"/>
  <c r="H6" i="3"/>
  <c r="AC6" i="3"/>
  <c r="F24" i="67"/>
  <c r="C24" i="67" s="1"/>
  <c r="F22" i="11"/>
  <c r="C24" i="11" s="1"/>
  <c r="F24" i="15"/>
  <c r="C24" i="15" s="1"/>
  <c r="F22" i="69"/>
  <c r="F41" i="69" s="1"/>
  <c r="D116" i="43"/>
  <c r="D21" i="71"/>
  <c r="C20" i="71"/>
  <c r="O36" i="43"/>
  <c r="Q36" i="43"/>
  <c r="N36" i="43"/>
  <c r="M36" i="43"/>
  <c r="P36" i="43"/>
  <c r="P37" i="43"/>
  <c r="M37" i="43"/>
  <c r="Q37" i="43"/>
  <c r="O37" i="43"/>
  <c r="N37" i="43"/>
  <c r="E6" i="70"/>
  <c r="C34" i="43"/>
  <c r="E34" i="43" s="1"/>
  <c r="F69" i="15"/>
  <c r="E33" i="43"/>
  <c r="S11" i="1"/>
  <c r="E11" i="70" s="1"/>
  <c r="S9" i="1"/>
  <c r="S7" i="1"/>
  <c r="E7" i="70" s="1"/>
  <c r="S10" i="1"/>
  <c r="E10" i="70" s="1"/>
  <c r="S12" i="1"/>
  <c r="C20" i="1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9"/>
  <c r="D10" i="68"/>
  <c r="C14" i="67"/>
  <c r="C17" i="67"/>
  <c r="C17" i="15"/>
  <c r="AP6" i="1" l="1"/>
  <c r="C36" i="69" s="1"/>
  <c r="H16" i="1"/>
  <c r="M6" i="1"/>
  <c r="Q16" i="1"/>
  <c r="G16" i="1"/>
  <c r="K16" i="1"/>
  <c r="F31" i="6"/>
  <c r="E27" i="6"/>
  <c r="J34" i="34"/>
  <c r="H34" i="34"/>
  <c r="F34" i="34"/>
  <c r="C23" i="68"/>
  <c r="C44" i="68"/>
  <c r="D41" i="68" s="1"/>
  <c r="C26" i="68"/>
  <c r="D22" i="68" s="1"/>
  <c r="C23" i="11"/>
  <c r="C22" i="11" s="1"/>
  <c r="C26" i="11"/>
  <c r="D22" i="11" s="1"/>
  <c r="C44" i="11"/>
  <c r="D41" i="11" s="1"/>
  <c r="C25" i="11"/>
  <c r="E6" i="3"/>
  <c r="C44" i="69"/>
  <c r="D41" i="69" s="1"/>
  <c r="C26" i="69"/>
  <c r="D22" i="69" s="1"/>
  <c r="C19" i="71"/>
  <c r="T20" i="71"/>
  <c r="D20" i="71"/>
  <c r="U20" i="71" s="1"/>
  <c r="C18" i="67"/>
  <c r="C15" i="67"/>
  <c r="C30" i="43"/>
  <c r="B2" i="43" s="1"/>
  <c r="B3" i="43" s="1"/>
  <c r="C31" i="43"/>
  <c r="C38" i="69"/>
  <c r="C35" i="69"/>
  <c r="E12" i="70"/>
  <c r="F34" i="11"/>
  <c r="F11" i="12"/>
  <c r="E9" i="70"/>
  <c r="AR9" i="1"/>
  <c r="AQ9" i="1"/>
  <c r="T9" i="1"/>
  <c r="AQ11" i="1"/>
  <c r="AR11" i="1"/>
  <c r="T11" i="1"/>
  <c r="AR12" i="1"/>
  <c r="T12" i="1"/>
  <c r="AQ12" i="1"/>
  <c r="AQ10" i="1"/>
  <c r="T10" i="1"/>
  <c r="AR10" i="1"/>
  <c r="AR7" i="1"/>
  <c r="AQ7" i="1"/>
  <c r="T7" i="1"/>
  <c r="D16" i="6"/>
  <c r="D27" i="6"/>
  <c r="D31" i="6" s="1"/>
  <c r="D8" i="74"/>
  <c r="D7" i="74"/>
  <c r="C10" i="69"/>
  <c r="C8" i="69" s="1"/>
  <c r="C5" i="69" s="1"/>
  <c r="D19" i="69"/>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U34" i="34" l="1"/>
  <c r="AB34" i="34"/>
  <c r="T49" i="34" s="1"/>
  <c r="G49" i="34" s="1"/>
  <c r="G53" i="34" s="1"/>
  <c r="H53" i="34" s="1"/>
  <c r="O6" i="1"/>
  <c r="O16" i="1" s="1"/>
  <c r="P6" i="1"/>
  <c r="M16" i="1"/>
  <c r="AC34" i="34"/>
  <c r="V49" i="34" s="1"/>
  <c r="I49" i="34" s="1"/>
  <c r="W34" i="34"/>
  <c r="K26" i="6"/>
  <c r="M26" i="6" s="1"/>
  <c r="I26" i="6" s="1"/>
  <c r="K23" i="6"/>
  <c r="M23" i="6" s="1"/>
  <c r="I23" i="6" s="1"/>
  <c r="K19" i="6"/>
  <c r="K22" i="6"/>
  <c r="M22" i="6" s="1"/>
  <c r="I22" i="6" s="1"/>
  <c r="K21" i="6"/>
  <c r="K25" i="6"/>
  <c r="M25" i="6" s="1"/>
  <c r="I25" i="6" s="1"/>
  <c r="E31" i="6"/>
  <c r="K20" i="6"/>
  <c r="M20" i="6" s="1"/>
  <c r="I20" i="6" s="1"/>
  <c r="K24" i="6"/>
  <c r="M24" i="6" s="1"/>
  <c r="I24" i="6" s="1"/>
  <c r="F10" i="39"/>
  <c r="F10" i="40"/>
  <c r="J10" i="39"/>
  <c r="J10" i="40"/>
  <c r="H10" i="40"/>
  <c r="H10" i="39"/>
  <c r="AA34" i="34"/>
  <c r="R49" i="34" s="1"/>
  <c r="S34" i="34"/>
  <c r="F27" i="69"/>
  <c r="F28" i="12"/>
  <c r="C29" i="12" s="1"/>
  <c r="D28" i="12" s="1"/>
  <c r="F27" i="68"/>
  <c r="F27" i="11"/>
  <c r="C18" i="71"/>
  <c r="D19" i="71"/>
  <c r="C19" i="67"/>
  <c r="C20" i="67" s="1"/>
  <c r="C26" i="67" s="1"/>
  <c r="C18" i="15"/>
  <c r="C15" i="15"/>
  <c r="C36" i="11"/>
  <c r="C37" i="11"/>
  <c r="C34" i="11"/>
  <c r="C23" i="12"/>
  <c r="C14" i="12"/>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47" i="69" l="1"/>
  <c r="D45" i="69" s="1"/>
  <c r="C29" i="69"/>
  <c r="D27" i="69" s="1"/>
  <c r="F45" i="69"/>
  <c r="U10" i="39"/>
  <c r="AB10" i="39"/>
  <c r="S10" i="40"/>
  <c r="AA10" i="40"/>
  <c r="S6" i="1"/>
  <c r="K27" i="6"/>
  <c r="M19" i="6"/>
  <c r="G54" i="34"/>
  <c r="H54" i="34" s="1"/>
  <c r="I53" i="34"/>
  <c r="J53" i="34" s="1"/>
  <c r="C13" i="12"/>
  <c r="P16" i="1"/>
  <c r="C11" i="12" s="1"/>
  <c r="C29" i="11"/>
  <c r="D27" i="11" s="1"/>
  <c r="C47" i="11"/>
  <c r="D45" i="11" s="1"/>
  <c r="C28" i="11"/>
  <c r="C27" i="11" s="1"/>
  <c r="AB10" i="40"/>
  <c r="U10" i="40"/>
  <c r="AA10" i="39"/>
  <c r="S10" i="39"/>
  <c r="S25" i="6"/>
  <c r="H25" i="6"/>
  <c r="R25" i="6" s="1"/>
  <c r="R12" i="1" s="1"/>
  <c r="S23" i="6"/>
  <c r="H23" i="6"/>
  <c r="R23" i="6" s="1"/>
  <c r="R10" i="1" s="1"/>
  <c r="S24" i="6"/>
  <c r="H24" i="6"/>
  <c r="R24" i="6" s="1"/>
  <c r="R11" i="1" s="1"/>
  <c r="S8" i="1"/>
  <c r="M21" i="6"/>
  <c r="I21" i="6" s="1"/>
  <c r="S26" i="6"/>
  <c r="H26" i="6"/>
  <c r="R26" i="6" s="1"/>
  <c r="L16" i="1"/>
  <c r="C34" i="68"/>
  <c r="C47" i="68"/>
  <c r="D45" i="68" s="1"/>
  <c r="C29" i="68"/>
  <c r="D27" i="68" s="1"/>
  <c r="F45" i="68"/>
  <c r="E49" i="34"/>
  <c r="R50" i="34"/>
  <c r="AC10" i="40"/>
  <c r="W10" i="40"/>
  <c r="W10" i="39"/>
  <c r="AC10" i="39"/>
  <c r="S20" i="6"/>
  <c r="H20" i="6"/>
  <c r="R20" i="6" s="1"/>
  <c r="R7" i="1" s="1"/>
  <c r="S22" i="6"/>
  <c r="H22" i="6"/>
  <c r="R22" i="6" s="1"/>
  <c r="R9" i="1" s="1"/>
  <c r="N16" i="1"/>
  <c r="C17" i="71"/>
  <c r="D18" i="71"/>
  <c r="F7" i="21"/>
  <c r="S7" i="21" s="1"/>
  <c r="J7" i="21"/>
  <c r="AC7" i="21" s="1"/>
  <c r="V48" i="21" s="1"/>
  <c r="I48" i="21" s="1"/>
  <c r="C23" i="67"/>
  <c r="C29" i="67" s="1"/>
  <c r="J59" i="67" s="1"/>
  <c r="J60" i="67" s="1"/>
  <c r="Q48" i="67" s="1"/>
  <c r="C19" i="15"/>
  <c r="C20" i="15" s="1"/>
  <c r="C26" i="15" s="1"/>
  <c r="C38" i="11"/>
  <c r="C35" i="1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1" i="11" l="1"/>
  <c r="AQ6" i="1"/>
  <c r="AR6" i="1"/>
  <c r="T6" i="1"/>
  <c r="S16" i="1"/>
  <c r="C49" i="34"/>
  <c r="D14" i="74" s="1"/>
  <c r="B10" i="74" s="1"/>
  <c r="C50" i="34"/>
  <c r="E53" i="34"/>
  <c r="F53" i="34" s="1"/>
  <c r="E54" i="34"/>
  <c r="F54" i="34" s="1"/>
  <c r="C38" i="68"/>
  <c r="C35" i="68"/>
  <c r="S21" i="6"/>
  <c r="H21" i="6"/>
  <c r="R21" i="6" s="1"/>
  <c r="R8" i="1" s="1"/>
  <c r="C15" i="12"/>
  <c r="C12" i="12"/>
  <c r="M27" i="6"/>
  <c r="I19" i="6"/>
  <c r="E8" i="70"/>
  <c r="E2" i="70" s="1"/>
  <c r="AQ8" i="1"/>
  <c r="T8" i="1"/>
  <c r="AR8" i="1"/>
  <c r="F50" i="69"/>
  <c r="F50" i="11"/>
  <c r="F50" i="68"/>
  <c r="I54" i="34"/>
  <c r="J54" i="34" s="1"/>
  <c r="D17" i="71"/>
  <c r="C16" i="71"/>
  <c r="W7" i="21"/>
  <c r="AA7" i="21"/>
  <c r="R48" i="21" s="1"/>
  <c r="R49" i="21" s="1"/>
  <c r="J7" i="35"/>
  <c r="W7" i="35" s="1"/>
  <c r="Q49" i="67"/>
  <c r="J14" i="67"/>
  <c r="J13" i="67" s="1"/>
  <c r="J23" i="67" s="1"/>
  <c r="C36" i="67"/>
  <c r="C57" i="67"/>
  <c r="C64" i="67" s="1"/>
  <c r="C13" i="67"/>
  <c r="Q70" i="67" s="1"/>
  <c r="C33" i="11"/>
  <c r="C39" i="11" s="1"/>
  <c r="C61" i="67"/>
  <c r="C23" i="15"/>
  <c r="C29" i="15" s="1"/>
  <c r="C41" i="69"/>
  <c r="C46" i="69"/>
  <c r="C45" i="69" s="1"/>
  <c r="C25" i="69"/>
  <c r="C22" i="69" s="1"/>
  <c r="C31" i="69" s="1"/>
  <c r="C25" i="68"/>
  <c r="C22" i="68" s="1"/>
  <c r="C31" i="68" s="1"/>
  <c r="L67" i="39"/>
  <c r="K69" i="39"/>
  <c r="J65" i="40"/>
  <c r="K63" i="40"/>
  <c r="I52" i="21"/>
  <c r="J52" i="21" s="1"/>
  <c r="U7" i="35"/>
  <c r="AB7" i="35"/>
  <c r="T38" i="35" s="1"/>
  <c r="G38" i="35" s="1"/>
  <c r="G52" i="21"/>
  <c r="H52" i="21" s="1"/>
  <c r="G53" i="21"/>
  <c r="H53" i="21" s="1"/>
  <c r="F7" i="35"/>
  <c r="F35" i="67"/>
  <c r="F35" i="15"/>
  <c r="M21" i="67"/>
  <c r="M21" i="15"/>
  <c r="C16" i="12" l="1"/>
  <c r="C21" i="12" s="1"/>
  <c r="C33" i="68"/>
  <c r="C42" i="68"/>
  <c r="T16" i="1"/>
  <c r="C22" i="12"/>
  <c r="C27" i="12" s="1"/>
  <c r="C25" i="12" s="1"/>
  <c r="H19" i="6"/>
  <c r="S19" i="6"/>
  <c r="S27" i="6" s="1"/>
  <c r="I27" i="6"/>
  <c r="E48" i="2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6" i="68"/>
  <c r="C45" i="68" s="1"/>
  <c r="C49" i="68" s="1"/>
  <c r="C51" i="68" s="1"/>
  <c r="C52" i="68" s="1"/>
  <c r="B2" i="68" s="1"/>
  <c r="B3" i="68" s="1"/>
  <c r="C30" i="12"/>
  <c r="C28" i="12" s="1"/>
  <c r="C32" i="12" s="1"/>
  <c r="B2" i="12" s="1"/>
  <c r="B3" i="12" s="1"/>
  <c r="R19" i="6"/>
  <c r="H27" i="6"/>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R27" i="6"/>
  <c r="R6" i="1"/>
  <c r="R16" i="1"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6"/>
  <c r="D2" i="37"/>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10" i="1"/>
  <c r="AO8" i="1"/>
  <c r="AO12" i="1"/>
  <c r="AO7"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M49" i="9" l="1"/>
  <c r="L68" i="9" s="1"/>
  <c r="M68" i="9" s="1"/>
  <c r="L66" i="9" l="1"/>
  <c r="M66" i="9" s="1"/>
  <c r="L64" i="9"/>
  <c r="M64" i="9" s="1"/>
  <c r="L63" i="9"/>
  <c r="M63" i="9" s="1"/>
  <c r="M69" i="9" s="1"/>
  <c r="N69" i="9" s="1"/>
  <c r="L67" i="9"/>
  <c r="M67" i="9" s="1"/>
  <c r="L65" i="9"/>
  <c r="M65" i="9" s="1"/>
  <c r="B5" i="74"/>
  <c r="D5" i="74" s="1"/>
  <c r="F14" i="74"/>
  <c r="D54" i="9"/>
  <c r="D8" i="52"/>
  <c r="E81" i="9"/>
  <c r="M48" i="9"/>
  <c r="B20" i="72"/>
  <c r="C73" i="9"/>
  <c r="H4" i="52"/>
  <c r="C104" i="9"/>
  <c r="B53" i="72"/>
  <c r="B30" i="72"/>
  <c r="N58" i="9"/>
  <c r="P57" i="9"/>
  <c r="C5" i="74"/>
  <c r="C81" i="9"/>
  <c r="D53" i="9"/>
  <c r="D52" i="9"/>
  <c r="C78" i="9"/>
  <c r="C105" i="9"/>
  <c r="I4" i="52"/>
  <c r="C80" i="9"/>
  <c r="E80" i="9"/>
  <c r="E4" i="52"/>
  <c r="B48" i="72"/>
  <c r="C6" i="74"/>
  <c r="C72" i="9"/>
  <c r="C79" i="9"/>
  <c r="F4" i="52"/>
  <c r="B51" i="72"/>
  <c r="D5" i="53"/>
  <c r="D6" i="53"/>
  <c r="B22" i="72"/>
  <c r="D4" i="52"/>
  <c r="B47" i="72"/>
  <c r="H119" i="9"/>
  <c r="H5" i="52"/>
  <c r="H102" i="9"/>
  <c r="D7" i="53"/>
  <c r="B21" i="72"/>
  <c r="F119" i="9"/>
  <c r="F5" i="52"/>
  <c r="C68" i="9"/>
  <c r="D13" i="53"/>
  <c r="D14" i="53"/>
  <c r="B32" i="72"/>
  <c r="D122" i="9"/>
  <c r="D123" i="9"/>
  <c r="D9" i="52"/>
  <c r="N60" i="9"/>
  <c r="D55" i="9"/>
  <c r="M53" i="9"/>
  <c r="N57" i="9"/>
  <c r="N59" i="9"/>
  <c r="N61" i="9"/>
  <c r="H107" i="9"/>
  <c r="H108" i="9"/>
  <c r="D15" i="53"/>
  <c r="B31" i="72"/>
  <c r="F118" i="9"/>
  <c r="G118" i="9"/>
  <c r="G4" i="52"/>
  <c r="B52" i="72"/>
  <c r="C64" i="9"/>
  <c r="C63" i="9"/>
  <c r="C67" i="9"/>
  <c r="D59" i="9"/>
  <c r="M55" i="9"/>
  <c r="C96" i="9"/>
  <c r="E96" i="9"/>
  <c r="E97" i="9"/>
  <c r="E118" i="9"/>
  <c r="D118" i="9"/>
  <c r="D119" i="9"/>
  <c r="D5" i="52"/>
  <c r="B49" i="72"/>
  <c r="C85" i="9"/>
  <c r="C95" i="9"/>
  <c r="C97" i="9"/>
  <c r="D58" i="9"/>
  <c r="D56" i="9"/>
  <c r="M54" i="9"/>
  <c r="I118" i="9"/>
  <c r="H118" i="9"/>
  <c r="H101" i="9"/>
  <c r="D45" i="9"/>
  <c r="C93" i="9"/>
  <c r="C8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<sst xmlns="http://schemas.openxmlformats.org/spreadsheetml/2006/main" count="7957" uniqueCount="3521">
  <si>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</si>
  <si>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</si>
  <si>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</si>
  <si>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</si>
  <si>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</si>
  <si>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</si>
  <si>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</si>
  <si>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</si>
  <si>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</si>
  <si>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</si>
  <si>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</si>
  <si>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</si>
  <si>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</si>
  <si>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</si>
  <si>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</si>
  <si>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</si>
  <si>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</si>
  <si>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</si>
  <si>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</si>
  <si>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</si>
  <si>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</si>
  <si>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</si>
  <si>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</si>
  <si>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</si>
  <si>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</si>
  <si>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</si>
  <si>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</si>
  <si>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</si>
  <si>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</si>
  <si>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</si>
  <si>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</si>
  <si>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</si>
  <si>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</si>
  <si>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</si>
  <si>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</si>
  <si>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</si>
  <si>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</si>
  <si>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</si>
  <si>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</si>
  <si>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</si>
  <si>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</si>
  <si>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</si>
  <si>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</si>
  <si>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</si>
  <si>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</si>
  <si>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</si>
  <si>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</si>
  <si>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</si>
  <si>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</si>
  <si>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</si>
  <si>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</si>
  <si>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</si>
  <si>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</si>
  <si>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</si>
  <si>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</si>
  <si>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</si>
  <si>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</si>
  <si>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</si>
  <si>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</si>
  <si>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</si>
  <si>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</si>
  <si>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</si>
  <si>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</si>
  <si>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</si>
  <si>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</si>
  <si>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</si>
  <si>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</si>
  <si>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</si>
  <si>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</si>
  <si>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</si>
  <si>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</si>
  <si>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</si>
  <si>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</si>
  <si>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</si>
  <si>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</si>
  <si>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</si>
  <si>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</si>
  <si>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</si>
  <si>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</si>
  <si>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</si>
  <si>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</si>
  <si>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</si>
  <si>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</si>
  <si>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</si>
  <si>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</si>
  <si>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</si>
  <si>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</si>
  <si>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</si>
  <si>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</si>
  <si>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</si>
  <si>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</si>
  <si>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</si>
  <si>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</si>
  <si>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</si>
  <si>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</si>
  <si>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</si>
  <si>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</si>
  <si>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</si>
  <si>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</si>
  <si>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</si>
  <si>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</si>
  <si>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</si>
  <si>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</si>
  <si>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</si>
  <si>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</si>
  <si>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</si>
  <si>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</si>
  <si>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</si>
  <si>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</si>
  <si>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</si>
  <si>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</si>
  <si>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</si>
  <si>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</si>
  <si>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</si>
  <si>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</si>
  <si>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</si>
  <si>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</si>
  <si>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</si>
  <si>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</si>
  <si>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</si>
  <si>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</si>
  <si>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</si>
  <si>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</si>
  <si>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</si>
  <si>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</si>
  <si>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</si>
  <si>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</si>
  <si>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</si>
  <si>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</si>
  <si>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</si>
  <si>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</si>
  <si>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</si>
  <si>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</si>
  <si>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</si>
  <si>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</si>
  <si>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</si>
  <si>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</si>
  <si>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</si>
  <si>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</si>
  <si>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</si>
  <si>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</si>
  <si>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</si>
  <si>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</si>
  <si>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</si>
  <si>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</si>
  <si>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</si>
  <si>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</si>
  <si>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</si>
  <si>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</si>
  <si>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</si>
  <si>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</si>
  <si>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</si>
  <si>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</si>
  <si>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</si>
  <si>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</si>
  <si>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</si>
  <si>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</si>
  <si>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</si>
  <si>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</si>
  <si>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</si>
  <si>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</si>
  <si>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</si>
  <si>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</si>
  <si>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</si>
  <si>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</si>
  <si>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</si>
  <si>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</si>
  <si>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</si>
  <si>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</si>
  <si>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</si>
  <si>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</si>
  <si>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</si>
  <si>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</si>
  <si>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</si>
  <si>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</si>
  <si>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</si>
  <si>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</si>
  <si>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</si>
  <si>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</si>
  <si>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</si>
  <si>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</si>
  <si>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</si>
  <si>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</si>
  <si>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</si>
  <si>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</si>
  <si>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</si>
  <si>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</si>
  <si>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</si>
  <si>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</si>
  <si>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</si>
  <si>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</si>
  <si>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</si>
  <si>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</si>
  <si>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</si>
  <si>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</si>
  <si>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</si>
  <si>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</si>
  <si>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</si>
  <si>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</si>
  <si>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</si>
  <si>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</si>
  <si>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</si>
  <si>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</si>
  <si>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</si>
  <si>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</si>
  <si>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</si>
  <si>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</si>
  <si>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</si>
  <si>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</si>
  <si>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</si>
  <si>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</si>
  <si>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</si>
  <si>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</si>
  <si>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</si>
  <si>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</si>
  <si>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</si>
  <si>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</si>
  <si>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</si>
  <si>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</si>
  <si>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</si>
  <si>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</si>
  <si>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</si>
  <si>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</si>
  <si>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</si>
  <si>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</si>
  <si>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</si>
  <si>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</si>
  <si>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</si>
  <si>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</si>
  <si>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</si>
  <si>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</si>
  <si>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</si>
  <si>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</si>
  <si>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</si>
  <si>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</si>
  <si>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</si>
  <si>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</si>
  <si>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</si>
  <si>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</si>
  <si>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</si>
  <si>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</si>
  <si>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</si>
  <si>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</si>
  <si>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</si>
  <si>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</si>
  <si>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</si>
  <si>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</si>
  <si>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</si>
  <si>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</si>
  <si>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</si>
  <si>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</si>
  <si>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</si>
  <si>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</si>
  <si>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</si>
  <si>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</si>
  <si>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</si>
  <si>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</si>
  <si>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</si>
  <si>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</si>
  <si>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</si>
  <si>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</si>
  <si>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</si>
  <si>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</si>
  <si>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</si>
  <si>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</si>
  <si>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</si>
  <si>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</si>
  <si>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</si>
  <si>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</si>
  <si>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</si>
  <si>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</si>
  <si>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</si>
  <si>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</si>
  <si>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</si>
  <si>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</si>
  <si>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</si>
  <si>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</si>
  <si>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</si>
  <si>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</si>
  <si>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</si>
  <si>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</si>
  <si>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</si>
  <si>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</si>
  <si>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</si>
  <si>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</si>
  <si>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</si>
  <si>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</si>
  <si>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</si>
  <si>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</si>
  <si>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</si>
  <si>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</si>
  <si>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</si>
  <si>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</si>
  <si>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</si>
  <si>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</si>
  <si>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</si>
  <si>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</si>
  <si>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</si>
  <si>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</si>
  <si>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</si>
  <si>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</si>
  <si>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</si>
  <si>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</si>
  <si>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</si>
  <si>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</si>
  <si>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</si>
  <si>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</si>
  <si>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</si>
  <si>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</si>
  <si>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</si>
  <si>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</si>
  <si>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</si>
  <si>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</si>
  <si>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</si>
  <si>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</si>
  <si>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</si>
  <si>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</si>
  <si>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</si>
  <si>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</si>
  <si>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</si>
  <si>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</si>
  <si>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</si>
  <si>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</si>
  <si>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</si>
  <si>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</si>
  <si>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</si>
  <si>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</si>
  <si>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</si>
  <si>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</si>
  <si>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</si>
  <si>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</si>
  <si>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</si>
  <si>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</si>
  <si>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</si>
  <si>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</si>
  <si>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</si>
  <si>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</si>
  <si>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</si>
  <si>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</si>
  <si>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</si>
  <si>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</si>
  <si>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</si>
  <si>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</si>
  <si>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</si>
  <si>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</si>
  <si>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</si>
  <si>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</si>
  <si>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</si>
  <si>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</si>
  <si>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</si>
  <si>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</si>
  <si>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</si>
  <si>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</si>
  <si>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</si>
  <si>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</si>
  <si>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</si>
  <si>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</si>
  <si>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</si>
  <si>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</si>
  <si>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</si>
  <si>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</si>
  <si>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</si>
  <si>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</si>
  <si>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</si>
  <si>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</si>
  <si>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</si>
  <si>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</si>
  <si>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</si>
  <si>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</si>
  <si>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</si>
  <si>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</si>
  <si>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</si>
  <si>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</si>
  <si>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</si>
  <si>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</si>
  <si>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</si>
  <si>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</si>
  <si>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</si>
  <si>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</si>
  <si>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</si>
  <si>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</si>
  <si>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</si>
  <si>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</si>
  <si>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</si>
  <si>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</si>
  <si>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</si>
  <si>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</si>
  <si>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</si>
  <si>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</si>
  <si>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</si>
  <si>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</si>
  <si>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</si>
  <si>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</si>
  <si>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</si>
  <si>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</si>
  <si>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</si>
  <si>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</si>
  <si>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</si>
  <si>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</si>
  <si>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</si>
  <si>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</si>
  <si>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</si>
  <si>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</si>
  <si>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</si>
  <si>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</si>
  <si>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</si>
  <si>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</si>
  <si>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</si>
  <si>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</si>
  <si>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</si>
  <si>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</si>
  <si>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</si>
  <si>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</si>
  <si>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</si>
  <si>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</si>
  <si>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</si>
  <si>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</si>
  <si>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</si>
  <si>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</si>
  <si>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</si>
  <si>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</si>
  <si>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</si>
  <si>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</si>
  <si>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</si>
  <si>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</si>
  <si>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</si>
  <si>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</si>
  <si>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</si>
  <si>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</si>
  <si>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</si>
  <si>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</si>
  <si>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</si>
  <si>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</si>
  <si>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</si>
  <si>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</si>
  <si>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</si>
  <si>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</si>
  <si>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</si>
  <si>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</si>
  <si>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</si>
  <si>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</si>
  <si>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</si>
  <si>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</si>
  <si>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</si>
  <si>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</si>
  <si>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</si>
  <si>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</si>
  <si>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</si>
  <si>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</si>
  <si>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</si>
  <si>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</si>
  <si>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</si>
  <si>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</si>
  <si>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</si>
  <si>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</si>
  <si>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</si>
  <si>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</si>
  <si>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</si>
  <si>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</si>
  <si>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</si>
  <si>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</si>
  <si>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</si>
  <si>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</si>
  <si>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</si>
  <si>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</si>
  <si>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</si>
  <si>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</si>
  <si>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</si>
  <si>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</si>
  <si>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</si>
  <si>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</si>
  <si>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</si>
  <si>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</si>
  <si>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</si>
  <si>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</si>
  <si>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</si>
  <si>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</si>
  <si>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</si>
  <si>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</si>
  <si>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</si>
  <si>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</si>
  <si>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</si>
  <si>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</si>
  <si>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</si>
  <si>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</si>
  <si>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</si>
  <si>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</si>
  <si>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</si>
  <si>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</si>
  <si>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</si>
  <si>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</si>
  <si>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</si>
  <si>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</si>
  <si>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</si>
  <si>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</si>
  <si>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</si>
  <si>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</si>
  <si>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</si>
  <si>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</si>
  <si>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</si>
  <si>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</si>
  <si>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</si>
  <si>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</si>
  <si>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</si>
  <si>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</si>
  <si>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</si>
  <si>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</si>
  <si>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</si>
  <si>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</si>
  <si>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</si>
  <si>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</si>
  <si>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</si>
  <si>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</si>
  <si>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</si>
  <si>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</si>
  <si>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</si>
  <si>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</si>
  <si>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</si>
  <si>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</si>
  <si>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</si>
  <si>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</si>
  <si>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</si>
  <si>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</si>
  <si>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</si>
  <si>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</si>
  <si>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</si>
  <si>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</si>
  <si>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</si>
  <si>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</si>
  <si>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</si>
  <si>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</si>
  <si>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</si>
  <si>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</si>
  <si>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</si>
  <si>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</si>
  <si>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</si>
  <si>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</si>
  <si>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</si>
  <si>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</si>
  <si>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</si>
  <si>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</si>
  <si>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</si>
  <si>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</si>
  <si>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</si>
  <si>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</si>
  <si>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</si>
  <si>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</si>
  <si>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</si>
  <si>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</si>
  <si>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</si>
  <si>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</si>
  <si>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</si>
  <si>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</si>
  <si>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</si>
  <si>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</si>
  <si>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</si>
  <si>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</si>
  <si>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</si>
  <si>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</si>
  <si>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</si>
  <si>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</si>
  <si>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</si>
  <si>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</si>
  <si>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</si>
  <si>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</si>
  <si>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</si>
  <si>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</si>
  <si>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</si>
  <si>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</si>
  <si>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</si>
  <si>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</si>
  <si>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</si>
  <si>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</si>
  <si>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</si>
  <si>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</si>
  <si>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</si>
  <si>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</si>
  <si>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</si>
  <si>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</si>
  <si>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</si>
  <si>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</si>
  <si>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</si>
  <si>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</si>
  <si>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</si>
  <si>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</si>
  <si>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</si>
  <si>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</si>
  <si>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</si>
  <si>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</si>
  <si>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</si>
  <si>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</si>
  <si>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</si>
  <si>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</si>
  <si>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</si>
  <si>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</si>
  <si>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</si>
  <si>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</si>
  <si>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</si>
  <si>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</si>
  <si>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</si>
  <si>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</si>
  <si>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</si>
  <si>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</si>
  <si>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</si>
  <si>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</si>
  <si>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</si>
  <si>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</si>
  <si>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</si>
  <si>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</si>
  <si>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</si>
  <si>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</si>
  <si>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</si>
  <si>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</si>
  <si>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</si>
  <si>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</si>
  <si>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</si>
  <si>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</si>
  <si>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</si>
  <si>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</si>
  <si>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</si>
  <si>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</si>
  <si>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</si>
  <si>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</si>
  <si>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</si>
  <si>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</si>
  <si>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</si>
  <si>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</si>
  <si>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</si>
  <si>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</si>
  <si>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</si>
  <si>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</si>
  <si>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</si>
  <si>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</si>
  <si>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</si>
  <si>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</si>
  <si>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</si>
  <si>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</si>
  <si>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</si>
  <si>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</si>
  <si>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</si>
  <si>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</si>
  <si>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</si>
  <si>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</si>
  <si>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</si>
  <si>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</si>
  <si>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</si>
  <si>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</si>
  <si>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</si>
  <si>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</si>
  <si>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</si>
  <si>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</si>
  <si>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</si>
  <si>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</si>
  <si>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</si>
  <si>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</si>
  <si>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</si>
  <si>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</si>
  <si>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</si>
  <si>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</si>
  <si>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</si>
  <si>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</si>
  <si>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</si>
  <si>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</si>
  <si>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</si>
  <si>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</si>
  <si>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</si>
  <si>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</si>
  <si>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</si>
  <si>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</si>
  <si>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</si>
  <si>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</si>
  <si>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</si>
  <si>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</si>
  <si>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</si>
  <si>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</si>
  <si>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</si>
  <si>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</si>
  <si>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</si>
  <si>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</si>
  <si>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</si>
  <si>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</si>
  <si>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</si>
  <si>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</si>
  <si>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</si>
  <si>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</si>
  <si>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</si>
  <si>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</si>
  <si>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</si>
  <si>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</si>
  <si>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</si>
  <si>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</si>
  <si>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</si>
  <si>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</si>
  <si>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</si>
  <si>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</si>
  <si>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</si>
  <si>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</si>
  <si>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</si>
  <si>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</si>
  <si>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</si>
  <si>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</si>
  <si>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</si>
  <si>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</si>
  <si>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</si>
  <si>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</si>
  <si>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</si>
  <si>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</si>
  <si>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</si>
  <si>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</si>
  <si>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</si>
  <si>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</si>
  <si>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</si>
  <si>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</si>
  <si>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</si>
  <si>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</si>
  <si>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</si>
  <si>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</si>
  <si>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</si>
  <si>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</si>
  <si>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</si>
  <si>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</si>
  <si>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</si>
  <si>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</si>
  <si>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</si>
  <si>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</si>
  <si>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</si>
  <si>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</si>
  <si>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</si>
  <si>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</si>
  <si>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</si>
  <si>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</si>
  <si>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</si>
  <si>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</si>
  <si>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</si>
  <si>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</si>
  <si>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</si>
  <si>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</si>
  <si>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</si>
  <si>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</si>
  <si>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</si>
  <si>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</si>
  <si>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</si>
  <si>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</si>
  <si>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</si>
  <si>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</si>
  <si>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</si>
  <si>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</si>
  <si>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</si>
  <si>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</si>
  <si>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</si>
  <si>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</si>
  <si>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</si>
  <si>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</si>
  <si>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</si>
  <si>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</si>
  <si>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</si>
  <si>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</si>
  <si>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</si>
  <si>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</si>
  <si>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</si>
  <si>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</si>
  <si>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</si>
  <si>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</si>
  <si>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</si>
  <si>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</si>
  <si>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</si>
  <si>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</si>
  <si>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</si>
  <si>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</si>
  <si>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</si>
  <si>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</si>
  <si>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</si>
  <si>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</si>
  <si>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</si>
  <si>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</si>
  <si>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</si>
  <si>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</si>
  <si>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</si>
  <si>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</si>
  <si>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</si>
  <si>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</si>
  <si>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</si>
  <si>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</si>
  <si>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</si>
  <si>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</si>
  <si>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</si>
  <si>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</si>
  <si>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</si>
  <si>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</si>
  <si>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</si>
  <si>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</si>
  <si>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</si>
  <si>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</si>
  <si>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</si>
  <si>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</si>
  <si>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</si>
  <si>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</si>
  <si>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</si>
  <si>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</si>
  <si>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</si>
  <si>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</si>
  <si>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</si>
  <si>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</si>
  <si>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</si>
  <si>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</si>
  <si>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</si>
  <si>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</si>
  <si>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</si>
  <si>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</si>
  <si>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</si>
  <si>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</si>
  <si>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</si>
  <si>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</si>
  <si>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</si>
  <si>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</si>
  <si>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</si>
  <si>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</si>
  <si>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</si>
  <si>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</si>
  <si>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</si>
  <si>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</si>
  <si>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</si>
  <si>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</si>
  <si>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</si>
  <si>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</si>
  <si>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</si>
  <si>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</si>
  <si>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</si>
  <si>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</si>
  <si>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</si>
  <si>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</si>
  <si>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</si>
  <si>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</si>
  <si>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</si>
  <si>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</si>
  <si>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</si>
  <si>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</si>
  <si>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</si>
  <si>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</si>
  <si>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</si>
  <si>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</si>
  <si>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</si>
  <si>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</si>
  <si>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</si>
  <si>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</si>
  <si>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</si>
  <si>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</si>
  <si>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</si>
  <si>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</si>
  <si>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</si>
  <si>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</si>
  <si>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</si>
  <si>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</si>
  <si>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</si>
  <si>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</si>
  <si>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</si>
  <si>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</si>
  <si>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</si>
  <si>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</si>
  <si>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</si>
  <si>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</si>
  <si>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</si>
  <si>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</si>
  <si>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</si>
  <si>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</si>
  <si>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</si>
  <si>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</si>
  <si>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</si>
  <si>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</si>
  <si>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</si>
  <si>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</si>
  <si>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</si>
  <si>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</si>
  <si>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</si>
  <si>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</si>
  <si>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</si>
  <si>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</si>
  <si>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</si>
  <si>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</si>
  <si>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</si>
  <si>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</si>
  <si>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</si>
  <si>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</si>
  <si>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</si>
  <si>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</si>
  <si>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</si>
  <si>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</si>
  <si>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</si>
  <si>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</si>
  <si>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</si>
  <si>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</si>
  <si>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</si>
  <si>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</si>
  <si>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</si>
  <si>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</si>
  <si>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</si>
  <si>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</si>
  <si>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</si>
  <si>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</si>
  <si>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</si>
  <si>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</si>
  <si>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</si>
  <si>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</si>
  <si>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</si>
  <si>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</si>
  <si>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</si>
  <si>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</si>
  <si>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</si>
  <si>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</si>
  <si>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</si>
  <si>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</si>
  <si>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</si>
  <si>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</si>
  <si>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</si>
  <si>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</si>
  <si>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</si>
  <si>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</si>
  <si>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</si>
  <si>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</si>
  <si>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</si>
  <si>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</si>
  <si>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</si>
  <si>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</si>
  <si>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</si>
  <si>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</si>
  <si>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</si>
  <si>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</si>
  <si>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</si>
  <si>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</si>
  <si>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</si>
  <si>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</si>
  <si>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</si>
  <si>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</si>
  <si>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</si>
  <si>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</si>
  <si>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</si>
  <si>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</si>
  <si>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</si>
  <si>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</si>
  <si>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</si>
  <si>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</si>
  <si>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</si>
  <si>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</si>
  <si>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</si>
  <si>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</si>
  <si>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</si>
  <si>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</si>
  <si>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</si>
  <si>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</si>
  <si>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</si>
  <si>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</si>
  <si>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</si>
  <si>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</si>
  <si>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</si>
  <si>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</si>
  <si>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</si>
  <si>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</si>
  <si>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</si>
  <si>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</si>
  <si>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</si>
  <si>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</si>
  <si>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</si>
  <si>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</si>
  <si>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</si>
  <si>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</si>
  <si>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</si>
  <si>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</si>
  <si>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</si>
  <si>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</si>
  <si>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</si>
  <si>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</si>
  <si>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</si>
  <si>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</si>
  <si>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</si>
  <si>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</si>
  <si>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</si>
  <si>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</si>
  <si>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</si>
  <si>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</si>
  <si>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</si>
  <si>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</si>
  <si>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</si>
  <si>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</si>
  <si>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</si>
  <si>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</si>
  <si>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</si>
  <si>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</si>
  <si>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</si>
  <si>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</si>
  <si>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</si>
  <si>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</si>
  <si>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</si>
  <si>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</si>
  <si>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</si>
  <si>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</si>
  <si>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</si>
  <si>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</si>
  <si>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</si>
  <si>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</si>
  <si>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</si>
  <si>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</si>
  <si>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</si>
  <si>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</si>
  <si>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</si>
  <si>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</si>
  <si>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</si>
  <si>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</si>
  <si>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</si>
  <si>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</si>
  <si>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</si>
  <si>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</si>
  <si>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</si>
  <si>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</si>
  <si>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</si>
  <si>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</si>
  <si>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</si>
  <si>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</si>
  <si>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</si>
  <si>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</si>
  <si>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</si>
  <si>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</si>
  <si>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</si>
  <si>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</si>
  <si>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</si>
  <si>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</si>
  <si>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</si>
  <si>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</si>
  <si>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</si>
  <si>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</si>
  <si>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</si>
  <si>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</si>
  <si>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</si>
  <si>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</si>
  <si>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</si>
  <si>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</si>
  <si>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</si>
  <si>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</si>
  <si>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</si>
  <si>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</si>
  <si>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</si>
  <si>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</si>
  <si>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</si>
  <si>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</si>
  <si>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</si>
  <si>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</si>
  <si>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</si>
  <si>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</si>
  <si>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</si>
  <si>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</si>
  <si>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</si>
  <si>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</si>
  <si>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</si>
  <si>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</si>
  <si>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</si>
  <si>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</si>
  <si>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</si>
  <si>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</si>
  <si>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</si>
  <si>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</si>
  <si>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</si>
  <si>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</si>
  <si>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</si>
  <si>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</si>
  <si>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</si>
  <si>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</si>
  <si>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</si>
  <si>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</si>
  <si>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</si>
  <si>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</si>
  <si>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</si>
  <si>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</si>
  <si>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</si>
  <si>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</si>
  <si>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</si>
  <si>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</si>
  <si>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</si>
  <si>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</si>
  <si>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</si>
  <si>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</si>
  <si>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</si>
  <si>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</si>
  <si>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</si>
  <si>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</si>
  <si>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</si>
  <si>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</si>
  <si>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</si>
  <si>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</si>
  <si>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</si>
  <si>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</si>
  <si>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</si>
  <si>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</si>
  <si>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</si>
  <si>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</si>
  <si>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</si>
  <si>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</si>
  <si>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</si>
  <si>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</si>
  <si>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</si>
  <si>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</si>
  <si>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</si>
  <si>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</si>
  <si>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</si>
  <si>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</si>
  <si>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</si>
  <si>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</si>
  <si>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</si>
  <si>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</si>
  <si>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</si>
  <si>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</si>
  <si>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</si>
  <si>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</si>
  <si>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</si>
  <si>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</si>
  <si>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</si>
  <si>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</si>
  <si>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</si>
  <si>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</si>
  <si>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</si>
  <si>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</si>
  <si>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</si>
  <si>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</si>
  <si>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</si>
  <si>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</si>
  <si>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</si>
  <si>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</si>
  <si>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</si>
  <si>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</si>
  <si>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</si>
  <si>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</si>
  <si>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</si>
  <si>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</si>
  <si>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</si>
  <si>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</si>
  <si>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</si>
  <si>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</si>
  <si>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</si>
  <si>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</si>
  <si>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</si>
  <si>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</si>
  <si>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</si>
  <si>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</si>
  <si>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</si>
  <si>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</si>
  <si>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</si>
  <si>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</si>
  <si>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</si>
  <si>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</si>
  <si>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</si>
  <si>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</si>
  <si>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</si>
  <si>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</si>
  <si>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</si>
  <si>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</si>
  <si>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</si>
  <si>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</si>
  <si>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</si>
  <si>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</si>
  <si>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</si>
  <si>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</si>
  <si>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</si>
  <si>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</si>
  <si>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</si>
  <si>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</si>
  <si>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</si>
  <si>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</si>
  <si>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</si>
  <si>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</si>
  <si>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</si>
  <si>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</si>
  <si>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</si>
  <si>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</si>
  <si>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</si>
  <si>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</si>
  <si>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</si>
  <si>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</si>
  <si>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</si>
  <si>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</si>
  <si>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</si>
  <si>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</si>
  <si>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</si>
  <si>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</si>
  <si>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</si>
  <si>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</si>
  <si>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</si>
  <si>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</si>
  <si>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</si>
  <si>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</si>
  <si>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</si>
  <si>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</si>
  <si>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</si>
  <si>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</si>
  <si>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</si>
  <si>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</si>
  <si>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</si>
  <si>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</si>
  <si>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</si>
  <si>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</si>
  <si>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</si>
  <si>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</si>
  <si>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</si>
  <si>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</si>
  <si>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</si>
  <si>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</si>
  <si>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</si>
  <si>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</si>
  <si>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</si>
  <si>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</si>
  <si>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</si>
  <si>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</si>
  <si>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</si>
  <si>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</si>
  <si>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</si>
  <si>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</si>
  <si>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</si>
  <si>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</si>
  <si>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</si>
  <si>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</si>
  <si>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</si>
  <si>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</si>
  <si>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</si>
  <si>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</si>
  <si>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</si>
  <si>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</si>
  <si>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</si>
  <si>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</si>
  <si>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</si>
  <si>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</si>
  <si>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</si>
  <si>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</si>
  <si>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</si>
  <si>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</si>
  <si>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</si>
  <si>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</si>
  <si>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</si>
  <si>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</si>
  <si>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</si>
  <si>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</si>
  <si>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</si>
  <si>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</si>
  <si>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</si>
  <si>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</si>
  <si>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</si>
  <si>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</si>
  <si>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</si>
  <si>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</si>
  <si>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</si>
  <si>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</si>
  <si>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</si>
  <si>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</si>
  <si>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</si>
  <si>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</si>
  <si>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</si>
  <si>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</si>
  <si>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</si>
  <si>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</si>
  <si>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</si>
  <si>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</si>
  <si>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</si>
  <si>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</si>
  <si>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</si>
  <si>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</si>
  <si>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</si>
  <si>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</si>
  <si>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</si>
  <si>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</si>
  <si>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</si>
  <si>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</si>
  <si>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</si>
  <si>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</si>
  <si>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</si>
  <si>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</si>
  <si>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</si>
  <si>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</si>
  <si>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</si>
  <si>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</si>
  <si>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</si>
  <si>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</si>
  <si>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</si>
  <si>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</si>
  <si>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</si>
  <si>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</si>
  <si>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</si>
  <si>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</si>
  <si>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</si>
  <si>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</si>
  <si>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</si>
  <si>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</si>
  <si>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</si>
  <si>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</si>
  <si>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</si>
  <si>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</si>
  <si>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</si>
  <si>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</si>
  <si>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</si>
  <si>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</si>
  <si>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</si>
  <si>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</si>
  <si>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</si>
  <si>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</si>
  <si>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</si>
  <si>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</si>
  <si>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</si>
  <si>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</si>
  <si>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</si>
  <si>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</si>
  <si>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</si>
  <si>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</si>
  <si>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</si>
  <si>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</si>
  <si>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</si>
  <si>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</si>
  <si>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</si>
  <si>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</si>
  <si>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</si>
  <si>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</si>
  <si>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</si>
  <si>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</si>
  <si>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</si>
  <si>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</si>
  <si>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</si>
  <si>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</si>
  <si>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</si>
  <si>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</si>
  <si>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</si>
  <si>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</si>
  <si>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</si>
  <si>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</si>
  <si>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</si>
  <si>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</si>
  <si>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</si>
  <si>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</si>
  <si>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</si>
  <si>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</si>
  <si>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</si>
  <si>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</si>
  <si>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</si>
  <si>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</si>
  <si>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</si>
  <si>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</si>
  <si>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</si>
  <si>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</si>
  <si>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</si>
  <si>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</si>
  <si>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</si>
  <si>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</si>
  <si>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</si>
  <si>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</si>
  <si>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</si>
  <si>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</si>
  <si>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</si>
  <si>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</si>
  <si>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</si>
  <si>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</si>
  <si>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</si>
  <si>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</si>
  <si>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</si>
  <si>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</si>
  <si>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</si>
  <si>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</si>
  <si>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</si>
  <si>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</si>
  <si>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</si>
  <si>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</si>
  <si>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</si>
  <si>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</si>
  <si>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</si>
  <si>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</si>
  <si>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</si>
  <si>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</si>
  <si>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</si>
  <si>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</si>
  <si>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</si>
  <si>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</si>
  <si>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</si>
  <si>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</si>
  <si>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</si>
  <si>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</si>
  <si>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</si>
  <si>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</si>
  <si>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</si>
  <si>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</si>
  <si>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</si>
  <si>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</si>
  <si>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</si>
  <si>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</si>
  <si>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</si>
  <si>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</si>
  <si>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</si>
  <si>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</si>
  <si>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</si>
  <si>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</si>
  <si>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</si>
  <si>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</si>
  <si>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</si>
  <si>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</si>
  <si>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</si>
  <si>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</si>
  <si>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</si>
  <si>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</si>
  <si>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</si>
  <si>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</si>
  <si>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</si>
  <si>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</si>
  <si>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</si>
  <si>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</si>
  <si>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</si>
  <si>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</si>
  <si>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</si>
  <si>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</si>
  <si>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</si>
  <si>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</si>
  <si>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</si>
  <si>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</si>
  <si>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</si>
  <si>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</si>
  <si>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</si>
  <si>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</si>
  <si>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</si>
  <si>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</si>
  <si>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</si>
  <si>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</si>
  <si>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</si>
  <si>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</si>
  <si>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</si>
  <si>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</si>
  <si>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</si>
  <si>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</si>
  <si>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</si>
  <si>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</si>
  <si>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</si>
  <si>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</si>
  <si>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</si>
  <si>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</si>
  <si>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</si>
  <si>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</si>
  <si>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</si>
  <si>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</si>
  <si>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</si>
  <si>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</si>
  <si>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</si>
  <si>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</si>
  <si>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</si>
  <si>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</si>
  <si>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</si>
  <si>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</si>
  <si>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</si>
  <si>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</si>
  <si>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</si>
  <si>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</si>
  <si>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</si>
  <si>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</si>
  <si>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</si>
  <si>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</si>
  <si>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</si>
  <si>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</si>
  <si>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</si>
  <si>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</si>
  <si>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</si>
  <si>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</si>
  <si>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</si>
  <si>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</si>
  <si>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</si>
  <si>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</si>
  <si>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</si>
  <si>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</si>
  <si>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</si>
  <si>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</si>
  <si>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</si>
  <si>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</si>
  <si>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</si>
  <si>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</si>
  <si>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</si>
  <si>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</si>
  <si>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</si>
  <si>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</si>
  <si>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</si>
  <si>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</si>
  <si>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</si>
  <si>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</si>
  <si>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</si>
  <si>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</si>
  <si>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</si>
  <si>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</si>
  <si>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</si>
  <si>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</si>
  <si>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</si>
  <si>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</si>
  <si>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</si>
  <si>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</si>
  <si>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</si>
  <si>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</si>
  <si>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</si>
  <si>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</si>
  <si>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</si>
  <si>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</si>
  <si>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</si>
  <si>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</si>
  <si>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</si>
  <si>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</si>
  <si>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</si>
  <si>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</si>
  <si>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</si>
  <si>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</si>
  <si>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</si>
  <si>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</si>
  <si>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</si>
  <si>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</si>
  <si>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</si>
  <si>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</si>
  <si>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</si>
  <si>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</si>
  <si>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</si>
  <si>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</si>
  <si>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</si>
  <si>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</si>
  <si>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</si>
  <si>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</si>
  <si>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</si>
  <si>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</si>
  <si>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</si>
  <si>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</si>
  <si>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</si>
  <si>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</si>
  <si>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</si>
  <si>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</si>
  <si>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</si>
  <si>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</si>
  <si>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</si>
  <si>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</si>
  <si>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</si>
  <si>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</si>
  <si>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</si>
  <si>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</si>
  <si>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</si>
  <si>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</si>
  <si>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</si>
  <si>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</si>
  <si>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</si>
  <si>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</si>
  <si>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</si>
  <si>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</si>
  <si>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</si>
  <si>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</si>
  <si>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</si>
  <si>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</si>
  <si>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</si>
  <si>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</si>
  <si>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</si>
  <si>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</si>
  <si>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</si>
  <si>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</si>
  <si>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</si>
  <si>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</si>
  <si>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</si>
  <si>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</si>
  <si>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</si>
  <si>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</si>
  <si>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</si>
  <si>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</si>
  <si>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</si>
  <si>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</si>
  <si>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</si>
  <si>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</si>
  <si>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</si>
  <si>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</si>
  <si>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</si>
  <si>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</si>
  <si>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</si>
  <si>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</si>
  <si>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</si>
  <si>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</si>
  <si>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</si>
  <si>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</si>
  <si>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</si>
  <si>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</si>
  <si>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</si>
  <si>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</si>
  <si>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</si>
  <si>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</si>
  <si>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</si>
  <si>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</si>
  <si>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</si>
  <si>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</si>
  <si>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</si>
  <si>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</si>
  <si>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</si>
  <si>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</si>
  <si>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</si>
  <si>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</si>
  <si>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</si>
  <si>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</si>
  <si>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</si>
  <si>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</si>
  <si>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</si>
  <si>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</si>
  <si>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</si>
  <si>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</si>
  <si>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</si>
  <si>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</si>
  <si>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</si>
  <si>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</si>
  <si>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</si>
  <si>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</si>
  <si>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</si>
  <si>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</si>
  <si>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</si>
  <si>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</si>
  <si>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</si>
  <si>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</si>
  <si>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</si>
  <si>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</si>
  <si>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</si>
  <si>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</si>
  <si>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</si>
  <si>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</si>
  <si>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</si>
  <si>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</si>
  <si>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</si>
  <si>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</si>
  <si>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</si>
  <si>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</si>
  <si>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</si>
  <si>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</si>
  <si>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</si>
  <si>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</si>
  <si>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</si>
  <si>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</si>
  <si>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</si>
  <si>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</si>
  <si>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</si>
  <si>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</si>
  <si>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</si>
  <si>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</si>
  <si>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</si>
  <si>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</si>
  <si>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</si>
  <si>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</si>
  <si>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</si>
  <si>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</si>
  <si>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</si>
  <si>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</si>
  <si>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</si>
  <si>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</si>
  <si>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</si>
  <si>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</si>
  <si>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</si>
  <si>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</si>
  <si>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</si>
  <si>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</si>
  <si>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</si>
  <si>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</si>
  <si>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</si>
  <si>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</si>
  <si>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</si>
  <si>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</si>
  <si>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</si>
  <si>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</si>
  <si>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</si>
  <si>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</si>
  <si>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</si>
  <si>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</si>
  <si>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</si>
  <si>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</si>
  <si>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</si>
  <si>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</si>
  <si>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</si>
  <si>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</si>
  <si>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</si>
  <si>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</si>
  <si>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</si>
  <si>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</si>
  <si>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</si>
  <si>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</si>
  <si>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</si>
  <si>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</si>
  <si>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</si>
  <si>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</si>
  <si>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</si>
  <si>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</si>
  <si>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</si>
  <si>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</si>
  <si>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</si>
  <si>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</si>
  <si>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</si>
  <si>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</si>
  <si>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</si>
  <si>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</si>
  <si>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</si>
  <si>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</si>
  <si>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</si>
  <si>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</si>
  <si>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</si>
  <si>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</si>
  <si>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</si>
  <si>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</si>
  <si>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</si>
  <si>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</si>
  <si>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</si>
  <si>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</si>
  <si>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</si>
  <si>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</si>
  <si>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</si>
  <si>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</si>
  <si>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</si>
  <si>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</si>
  <si>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</si>
  <si>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</si>
  <si>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</si>
  <si>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</si>
  <si>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</si>
  <si>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</si>
  <si>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</si>
  <si>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</si>
  <si>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</si>
  <si>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</si>
  <si>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</si>
  <si>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</si>
  <si>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</si>
  <si>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</si>
  <si>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</si>
  <si>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</si>
  <si>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</si>
  <si>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</si>
  <si>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</si>
  <si>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</si>
  <si>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</si>
  <si>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</si>
  <si>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</si>
  <si>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</si>
  <si>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</si>
  <si>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</si>
  <si>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</si>
  <si>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</si>
  <si>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</si>
  <si>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</si>
  <si>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</si>
  <si>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</si>
  <si>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</si>
  <si>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</si>
  <si>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</si>
  <si>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</si>
  <si>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</si>
  <si>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</si>
  <si>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</si>
  <si>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</si>
  <si>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</si>
  <si>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</si>
  <si>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</si>
  <si>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</si>
  <si>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</si>
  <si>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</si>
  <si>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</si>
  <si>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</si>
  <si>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</si>
  <si>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</si>
  <si>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</si>
  <si>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</si>
  <si>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</si>
  <si>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</si>
  <si>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</si>
  <si>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</si>
  <si>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</si>
  <si>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</si>
  <si>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</si>
  <si>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</si>
  <si>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</si>
  <si>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</si>
  <si>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</si>
  <si>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</si>
  <si>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</si>
  <si>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</si>
  <si>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</si>
  <si>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</si>
  <si>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</si>
  <si>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</si>
  <si>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</si>
  <si>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</si>
  <si>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</si>
  <si>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</si>
  <si>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</si>
  <si>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</si>
  <si>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</si>
  <si>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</si>
  <si>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</si>
  <si>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</si>
  <si>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</si>
  <si>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</si>
  <si>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</si>
  <si>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</si>
  <si>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</si>
  <si>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</si>
  <si>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</si>
  <si>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</si>
  <si>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</si>
  <si>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</si>
  <si>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</si>
  <si>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</si>
  <si>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</si>
  <si>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</si>
  <si>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</si>
  <si>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</si>
  <si>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</si>
  <si>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</si>
  <si>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</si>
  <si>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</si>
  <si>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</si>
  <si>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</si>
  <si>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</si>
  <si>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</si>
  <si>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</si>
  <si>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</si>
  <si>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</si>
  <si>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</si>
  <si>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</si>
  <si>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</si>
  <si>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</si>
  <si>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</si>
  <si>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</si>
  <si>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</si>
  <si>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</si>
  <si>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</si>
  <si>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</si>
  <si>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</si>
  <si>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</si>
  <si>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</si>
  <si>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</si>
  <si>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</si>
  <si>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</si>
  <si>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</si>
  <si>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</si>
  <si>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</si>
  <si>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</si>
  <si>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</si>
  <si>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</si>
  <si>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</si>
  <si>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</si>
  <si>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</si>
  <si>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</si>
  <si>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</si>
  <si>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</si>
  <si>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</si>
  <si>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</si>
  <si>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</si>
  <si>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</si>
  <si>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</si>
  <si>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</si>
  <si>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</si>
  <si>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</si>
  <si>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</si>
  <si>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</si>
  <si>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</si>
  <si>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</si>
  <si>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</si>
  <si>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</si>
  <si>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</si>
  <si>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</si>
  <si>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</si>
  <si>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</si>
  <si>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</si>
  <si>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</si>
  <si>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</si>
  <si>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</si>
  <si>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</si>
  <si>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</si>
  <si>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</si>
  <si>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</si>
  <si>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</si>
  <si>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</si>
  <si>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</si>
  <si>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</si>
  <si>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</si>
  <si>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</si>
  <si>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</si>
  <si>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</si>
  <si>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</si>
  <si>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</si>
  <si>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</si>
  <si>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</si>
  <si>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</si>
  <si>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</si>
  <si>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</si>
  <si>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</si>
  <si>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</si>
  <si>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</si>
  <si>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</si>
  <si>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</si>
  <si>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</si>
  <si>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</si>
  <si>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</si>
  <si>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</si>
  <si>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</si>
  <si>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</si>
  <si>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</si>
  <si>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</si>
  <si>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</si>
  <si>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</si>
  <si>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</si>
  <si>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</si>
  <si>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</si>
  <si>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</si>
  <si>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</si>
  <si>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</si>
  <si>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</si>
  <si>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</si>
  <si>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</si>
  <si>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</si>
  <si>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</si>
  <si>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</si>
  <si>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</si>
  <si>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</si>
  <si>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</si>
  <si>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</si>
  <si>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</si>
  <si>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</si>
  <si>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</si>
  <si>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</si>
  <si>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</si>
  <si>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</si>
  <si>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</si>
  <si>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</si>
  <si>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</si>
  <si>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</si>
  <si>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</si>
  <si>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</si>
  <si>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</si>
  <si>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</si>
  <si>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</si>
  <si>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</si>
  <si>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</si>
  <si>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</si>
  <si>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</si>
  <si>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</si>
  <si>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</si>
  <si>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</si>
  <si>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</si>
  <si>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</si>
  <si>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</si>
  <si>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</si>
  <si>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</si>
  <si>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</si>
  <si>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</si>
  <si>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</si>
  <si>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</si>
  <si>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</si>
  <si>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</si>
  <si>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</si>
  <si>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</si>
  <si>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</si>
  <si>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</si>
  <si>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</si>
  <si>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</si>
  <si>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</si>
  <si>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</si>
  <si>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</si>
  <si>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</si>
  <si>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</si>
  <si>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</si>
  <si>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</si>
  <si>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</si>
  <si>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</si>
  <si>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</si>
  <si>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</si>
  <si>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</si>
  <si>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</si>
  <si>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</si>
  <si>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</si>
  <si>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</si>
  <si>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</si>
  <si>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</si>
  <si>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</si>
  <si>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</si>
  <si>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</si>
  <si>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</si>
  <si>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</si>
  <si>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</si>
  <si>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</si>
  <si>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</si>
  <si>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</si>
  <si>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</si>
  <si>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</si>
  <si>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</si>
  <si>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</si>
  <si>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</si>
  <si>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</si>
  <si>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</si>
  <si>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</si>
  <si>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</si>
  <si>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</si>
  <si>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</si>
  <si>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</si>
  <si>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</si>
  <si>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</si>
  <si>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</si>
  <si>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</si>
  <si>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</si>
  <si>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</si>
  <si>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</si>
  <si>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</si>
  <si>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</si>
  <si>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</si>
  <si>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</si>
  <si>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</si>
  <si>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</si>
  <si>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</si>
  <si>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</si>
  <si>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</si>
  <si>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</si>
  <si>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</si>
  <si>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</si>
  <si>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</si>
  <si>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</si>
  <si>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</si>
  <si>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</si>
  <si>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</si>
  <si>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</si>
  <si>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</si>
  <si>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</si>
  <si>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</si>
  <si>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</si>
  <si>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</si>
  <si>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</si>
  <si>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</si>
  <si>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</si>
  <si>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</si>
  <si>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</si>
  <si>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</si>
  <si>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</si>
  <si>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</si>
  <si>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</si>
  <si>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</si>
  <si>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</si>
  <si>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</si>
  <si>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</si>
  <si>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</si>
  <si>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</si>
  <si>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</si>
  <si>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</si>
  <si>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</si>
  <si>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</si>
  <si>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</si>
  <si>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</si>
  <si>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</si>
  <si>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</si>
  <si>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</si>
  <si>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</si>
  <si>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</si>
  <si>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</si>
  <si>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</si>
  <si>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</si>
  <si>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</si>
  <si>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</si>
  <si>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</si>
  <si>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</si>
  <si>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</si>
  <si>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</si>
  <si>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</si>
  <si>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</si>
  <si>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</si>
  <si>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</si>
  <si>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</si>
  <si>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</si>
  <si>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</si>
  <si>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</si>
  <si>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</si>
  <si>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</si>
  <si>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</si>
  <si>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</si>
  <si>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</si>
  <si>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</si>
  <si>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</si>
  <si>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</si>
  <si>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</si>
  <si>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</si>
  <si>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</si>
  <si>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</si>
  <si>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</si>
  <si>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</si>
  <si>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</si>
  <si>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</si>
  <si>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</si>
  <si>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</si>
  <si>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</si>
  <si>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</si>
  <si>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</si>
  <si>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</si>
  <si>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</si>
  <si>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</si>
  <si>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</si>
  <si>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</si>
  <si>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</si>
  <si>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</si>
  <si>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</si>
  <si>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</si>
  <si>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</si>
  <si>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</si>
  <si>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</si>
  <si>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</si>
  <si>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</si>
  <si>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</si>
  <si>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</si>
  <si>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</si>
  <si>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</si>
  <si>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</si>
  <si>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</si>
  <si>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</si>
  <si>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</si>
  <si>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</si>
  <si>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</si>
  <si>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</si>
  <si>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</si>
  <si>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</si>
  <si>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</si>
  <si>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</si>
  <si>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</si>
  <si>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</si>
  <si>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</si>
  <si>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</si>
  <si>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</si>
  <si>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</si>
  <si>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</si>
  <si>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</si>
  <si>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</si>
  <si>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</si>
  <si>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</si>
  <si>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</si>
  <si>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</si>
  <si>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</si>
  <si>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</si>
  <si>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</si>
  <si>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</si>
  <si>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</si>
  <si>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</si>
  <si>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</si>
  <si>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</si>
  <si>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</si>
  <si>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</si>
  <si>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</si>
  <si>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</si>
  <si>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</si>
  <si>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</si>
  <si>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</si>
  <si>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</si>
  <si>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</si>
  <si>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</si>
  <si>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</si>
  <si>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</si>
  <si>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</si>
  <si>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</si>
  <si>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</si>
  <si>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</si>
  <si>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</si>
  <si>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</si>
  <si>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</si>
  <si>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</si>
  <si>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</si>
  <si>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</si>
  <si>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</si>
  <si>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</si>
  <si>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</si>
  <si>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</si>
  <si>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</si>
  <si>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</si>
  <si>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</si>
  <si>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</si>
  <si>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</si>
  <si>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</si>
  <si>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</si>
  <si>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</si>
  <si>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</si>
  <si>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</si>
  <si>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</si>
  <si>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</si>
  <si>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</si>
  <si>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</si>
  <si>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</si>
  <si>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</si>
  <si>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</si>
  <si>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</si>
  <si>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</si>
  <si>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</si>
  <si>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</si>
  <si>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</si>
  <si>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</si>
  <si>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</si>
  <si>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</si>
  <si>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</si>
  <si>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</si>
  <si>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</si>
  <si>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</si>
  <si>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</si>
  <si>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</si>
  <si>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</si>
  <si>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</si>
  <si>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</si>
  <si>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</si>
  <si>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</si>
  <si>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</si>
  <si>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</si>
  <si>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</si>
  <si>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</si>
  <si>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</si>
  <si>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</si>
  <si>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</si>
  <si>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</si>
  <si>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</si>
  <si>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</si>
  <si>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</si>
  <si>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</si>
  <si>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</si>
  <si>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</si>
  <si>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</si>
  <si>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</si>
  <si>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</si>
  <si>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</si>
  <si>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</si>
  <si>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</si>
  <si>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</si>
  <si>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</si>
  <si>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</si>
  <si>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</si>
  <si>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</si>
  <si>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</si>
  <si>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</si>
  <si>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</si>
  <si>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</si>
  <si>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</si>
  <si>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</si>
  <si>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</si>
  <si>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</si>
  <si>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</si>
  <si>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</si>
  <si>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</si>
  <si>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</si>
  <si>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</si>
  <si>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</si>
  <si>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</si>
  <si>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</si>
  <si>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</si>
  <si>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</si>
  <si>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</si>
  <si>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</si>
  <si>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</si>
  <si>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</si>
  <si>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</si>
  <si>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</si>
  <si>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</si>
  <si>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</si>
  <si>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</si>
  <si>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</si>
  <si>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</si>
  <si>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</si>
  <si>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</si>
  <si>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</si>
  <si>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</si>
  <si>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</si>
  <si>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</si>
  <si>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</si>
  <si>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</si>
  <si>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</si>
  <si>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</si>
  <si>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</si>
  <si>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</si>
  <si>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</si>
  <si>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</si>
  <si>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</si>
  <si>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</si>
  <si>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</si>
  <si>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</si>
  <si>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</si>
  <si>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</si>
  <si>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</si>
  <si>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</si>
  <si>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</si>
  <si>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</si>
  <si>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</si>
  <si>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</si>
  <si>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</si>
  <si>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</si>
  <si>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</si>
  <si>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</si>
  <si>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</si>
  <si>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</si>
  <si>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</si>
  <si>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</si>
  <si>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</si>
  <si>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</si>
  <si>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</si>
  <si>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</si>
  <si>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</si>
  <si>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</si>
  <si>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</si>
  <si>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</si>
  <si>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</si>
  <si>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</si>
  <si>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</si>
  <si>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</si>
  <si>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</si>
  <si>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</si>
  <si>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</si>
  <si>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</si>
  <si>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</si>
  <si>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</si>
  <si>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</si>
  <si>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</si>
  <si>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</si>
  <si>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</si>
  <si>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</si>
  <si>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</si>
  <si>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</si>
  <si>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</si>
  <si>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</si>
  <si>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</si>
  <si>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</si>
  <si>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</si>
  <si>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</si>
  <si>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</si>
  <si>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</si>
  <si>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</si>
  <si>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</si>
  <si>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</si>
  <si>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</si>
  <si>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</si>
  <si>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</si>
  <si>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</si>
  <si>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</si>
  <si>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</si>
  <si>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</si>
  <si>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</si>
  <si>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</si>
  <si>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</si>
  <si>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</si>
  <si>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</si>
  <si>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</si>
  <si>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</si>
  <si>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</si>
  <si>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</si>
  <si>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</si>
  <si>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</si>
  <si>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</si>
  <si>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</si>
  <si>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</si>
  <si>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</si>
  <si>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</si>
  <si>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</si>
  <si>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</si>
  <si>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</si>
  <si>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</si>
  <si>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</si>
  <si>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</si>
  <si>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</si>
  <si>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</si>
  <si>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</si>
  <si>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</si>
  <si>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</si>
  <si>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</si>
  <si>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</si>
  <si>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</si>
  <si>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</si>
  <si>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</si>
  <si>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</si>
  <si>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</si>
  <si>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</si>
  <si>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</si>
  <si>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</si>
  <si>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</si>
  <si>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</si>
  <si>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</si>
  <si>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</si>
  <si>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</si>
  <si>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</si>
  <si>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</si>
  <si>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</si>
  <si>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</si>
  <si>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</si>
  <si>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</si>
  <si>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</si>
  <si>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</si>
  <si>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</si>
  <si>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</si>
  <si>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</si>
  <si>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</si>
  <si>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</si>
  <si>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</si>
  <si>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</si>
  <si>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</si>
  <si>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</si>
  <si>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</si>
  <si>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</si>
  <si>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</si>
  <si>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</si>
  <si>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</si>
  <si>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</si>
  <si>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</si>
  <si>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</si>
  <si>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</si>
  <si>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</si>
  <si>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</si>
  <si>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</si>
  <si>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</si>
  <si>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</si>
  <si>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</si>
  <si>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</si>
  <si>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</si>
  <si>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</si>
  <si>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</si>
  <si>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</si>
  <si>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</si>
  <si>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</si>
  <si>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</si>
  <si>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</si>
  <si>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</si>
  <si>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</si>
  <si>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</si>
  <si>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</si>
  <si>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</si>
  <si>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</si>
  <si>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</si>
  <si>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</si>
  <si>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</si>
  <si>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</si>
  <si>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</si>
  <si>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</si>
  <si>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</si>
  <si>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</si>
  <si>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</si>
  <si>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</si>
  <si>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</si>
  <si>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</si>
  <si>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</si>
  <si>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</si>
  <si>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</si>
  <si>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</si>
  <si>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</si>
  <si>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</si>
  <si>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</si>
  <si>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</si>
  <si>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</si>
  <si>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</si>
  <si>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</si>
  <si>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</si>
  <si>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</si>
  <si>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</si>
  <si>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</si>
  <si>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</si>
  <si>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</si>
  <si>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</si>
  <si>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</si>
  <si>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</si>
  <si>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</si>
  <si>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</si>
  <si>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</si>
  <si>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</si>
  <si>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</si>
  <si>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</si>
  <si>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</si>
  <si>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</si>
  <si>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</si>
  <si>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</si>
  <si>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</si>
  <si>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</si>
  <si>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</si>
  <si>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</si>
  <si>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</si>
  <si>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</si>
  <si>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</si>
  <si>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</si>
  <si>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</si>
  <si>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</si>
  <si>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</si>
  <si>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</si>
  <si>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</si>
  <si>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</si>
  <si>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</si>
  <si>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</si>
  <si>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</si>
  <si>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</si>
  <si>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</si>
  <si>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</si>
  <si>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</si>
  <si>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</si>
  <si>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</si>
  <si>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</si>
  <si>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</si>
  <si>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</si>
  <si>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</si>
  <si>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</si>
  <si>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</si>
  <si>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</si>
  <si>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</si>
  <si>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</si>
  <si>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</si>
  <si>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</si>
  <si>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</si>
  <si>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</si>
  <si>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</si>
  <si>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</si>
  <si>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</si>
  <si>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</si>
  <si>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</si>
  <si>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</si>
  <si>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</si>
  <si>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</si>
  <si>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</si>
  <si>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</si>
  <si>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</si>
  <si>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</si>
  <si>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</si>
  <si>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</si>
  <si>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</si>
  <si>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</si>
  <si>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</si>
  <si>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</si>
  <si>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</si>
  <si>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</si>
  <si>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</si>
  <si>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</si>
  <si>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</si>
  <si>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</si>
  <si>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</si>
  <si>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</si>
  <si>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</si>
  <si>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</si>
  <si>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</si>
  <si>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</si>
  <si>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</si>
  <si>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</si>
  <si>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</si>
  <si>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</si>
  <si>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</si>
  <si>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</si>
  <si>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</si>
  <si>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</si>
  <si>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</si>
  <si>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</si>
  <si>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</si>
  <si>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</si>
  <si>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</si>
  <si>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</si>
  <si>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</si>
  <si>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</si>
  <si>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</si>
  <si>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</si>
  <si>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</si>
  <si>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</si>
  <si>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</si>
  <si>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</si>
  <si>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</si>
  <si>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</si>
  <si>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</si>
  <si>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</si>
  <si>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</si>
  <si>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</si>
  <si>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</si>
  <si>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</si>
  <si>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</si>
  <si>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</si>
  <si>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</si>
  <si>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</si>
  <si>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</si>
  <si>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</si>
  <si>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</si>
  <si>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</si>
  <si>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</si>
  <si>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</si>
  <si>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</si>
  <si>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</si>
  <si>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</si>
  <si>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</si>
  <si>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</si>
  <si>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</si>
  <si>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</si>
  <si>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</si>
  <si>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</si>
  <si>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</si>
  <si>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</si>
  <si>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</si>
  <si>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</si>
  <si>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</si>
  <si>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</si>
  <si>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</si>
  <si>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</si>
  <si>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</si>
  <si>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</si>
  <si>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</si>
  <si>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</si>
  <si>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</si>
  <si>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</si>
  <si>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</si>
  <si>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</si>
  <si>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</si>
  <si>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</si>
  <si>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</si>
  <si>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</si>
  <si>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</si>
  <si>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</si>
  <si>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</si>
  <si>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</si>
  <si>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</si>
  <si>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</si>
  <si>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</si>
  <si>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</si>
  <si>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</si>
  <si>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</si>
  <si>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</si>
  <si>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</si>
  <si>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</si>
  <si>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</si>
  <si>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</si>
  <si>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</si>
  <si>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</si>
  <si>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</si>
  <si>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</si>
  <si>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</si>
  <si>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</si>
  <si>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</si>
  <si>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</si>
  <si>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</si>
  <si>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</si>
  <si>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</si>
  <si>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</si>
  <si>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</si>
  <si>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</si>
  <si>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</si>
  <si>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</si>
  <si>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</si>
  <si>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</si>
  <si>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</si>
  <si>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</si>
  <si>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</si>
  <si>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</si>
  <si>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</si>
  <si>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</si>
  <si>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</si>
  <si>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</si>
  <si>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</si>
  <si>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</si>
  <si>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</si>
  <si>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</si>
  <si>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</si>
  <si>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</si>
  <si>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</si>
  <si>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</si>
  <si>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</si>
  <si>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</si>
  <si>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</si>
  <si>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</si>
  <si>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</si>
  <si>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</si>
  <si>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</si>
  <si>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</si>
  <si>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</si>
  <si>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</si>
  <si>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</si>
  <si>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</si>
  <si>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</si>
  <si>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</si>
  <si>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</si>
  <si>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</si>
  <si>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</si>
  <si>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</si>
  <si>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</si>
  <si>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</si>
  <si>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</si>
  <si>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</si>
  <si>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</si>
  <si>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</si>
  <si>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</si>
  <si>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</si>
  <si>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</si>
  <si>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</si>
  <si>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</si>
  <si>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</si>
  <si>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</si>
  <si>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</si>
  <si>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</si>
  <si>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</si>
  <si>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</si>
  <si>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</si>
  <si>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</si>
  <si>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</si>
  <si>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</si>
  <si>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</si>
  <si>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</si>
  <si>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</si>
  <si>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</si>
  <si>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</si>
  <si>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</si>
  <si>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</si>
  <si>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</si>
  <si>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</si>
  <si>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</si>
  <si>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</si>
  <si>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</si>
  <si>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</si>
  <si>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</si>
  <si>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</si>
  <si>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</si>
  <si>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</si>
  <si>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</si>
  <si>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</si>
  <si>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</si>
  <si>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</si>
  <si>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</si>
  <si>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</si>
  <si>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</si>
  <si>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</si>
  <si>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</si>
  <si>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</si>
  <si>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</si>
  <si>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</si>
  <si>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</si>
  <si>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</si>
  <si>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</si>
  <si>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</si>
  <si>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</si>
  <si>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</si>
  <si>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</si>
  <si>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</si>
  <si>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</si>
  <si>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</si>
  <si>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</si>
  <si>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</si>
  <si>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</si>
  <si>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</si>
  <si>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</si>
  <si>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</si>
  <si>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</si>
  <si>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</si>
  <si>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</si>
  <si>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</si>
  <si>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</si>
  <si>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</si>
  <si>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</si>
  <si>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</si>
  <si>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</si>
  <si>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</si>
  <si>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</si>
  <si>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</si>
  <si>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</si>
  <si>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</si>
  <si>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</si>
  <si>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</si>
  <si>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</si>
  <si>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</si>
  <si>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</si>
  <si>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</si>
  <si>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</si>
  <si>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</si>
  <si>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</si>
  <si>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</si>
  <si>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</si>
  <si>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</si>
  <si>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</si>
  <si>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</si>
  <si>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</si>
  <si>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</si>
  <si>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</si>
  <si>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</si>
  <si>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</si>
  <si>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</si>
  <si>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</si>
  <si>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</si>
  <si>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</si>
  <si>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</si>
  <si>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</si>
  <si>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</si>
  <si>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</si>
  <si>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</si>
  <si>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</si>
  <si>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</si>
  <si>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</si>
  <si>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</si>
  <si>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</si>
  <si>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</si>
  <si>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</si>
  <si>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</si>
  <si>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</si>
  <si>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</si>
  <si>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</si>
  <si>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</si>
  <si>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</si>
  <si>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</si>
  <si>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</si>
  <si>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</si>
  <si>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</si>
  <si>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</si>
  <si>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</si>
  <si>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</si>
  <si>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</si>
  <si>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</si>
  <si>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</si>
  <si>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</si>
  <si>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</si>
  <si>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</si>
  <si>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</si>
  <si>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</si>
  <si>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</si>
  <si>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</si>
  <si>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</si>
  <si>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</si>
  <si>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</si>
  <si>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</si>
  <si>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</si>
  <si>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</si>
  <si>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</si>
  <si>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</si>
  <si>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</si>
  <si>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</si>
  <si>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</si>
  <si>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</si>
  <si>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</si>
  <si>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</si>
  <si>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</si>
  <si>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</si>
  <si>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</si>
  <si>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</si>
  <si>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</si>
  <si>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</si>
  <si>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</si>
  <si>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</si>
  <si>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</si>
  <si>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</si>
  <si>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</si>
  <si>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</si>
  <si>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</si>
  <si>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</si>
  <si>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</si>
  <si>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</si>
  <si>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</si>
  <si>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</si>
  <si>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</si>
  <si>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</si>
  <si>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</si>
  <si>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</si>
  <si>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</si>
  <si>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</si>
  <si>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</si>
  <si>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</si>
  <si>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</si>
  <si>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</si>
  <si>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</si>
  <si>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</si>
  <si>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</si>
  <si>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</si>
  <si>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</si>
  <si>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</si>
  <si>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</si>
  <si>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</si>
  <si>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</si>
  <si>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</si>
  <si>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</si>
  <si>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</si>
  <si>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</si>
  <si>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</si>
  <si>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</si>
  <si>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</si>
  <si>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</si>
  <si>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</si>
  <si>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</si>
  <si>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</si>
  <si>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</si>
  <si>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</si>
  <si>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</si>
  <si>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</si>
  <si>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</si>
  <si>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</si>
  <si>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</si>
  <si>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</si>
  <si>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</si>
  <si>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</si>
  <si>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</si>
  <si>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</si>
  <si>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</si>
  <si>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</si>
  <si>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</si>
  <si>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</si>
  <si>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</si>
  <si>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</si>
  <si>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</si>
  <si>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</si>
  <si>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</si>
  <si>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</si>
  <si>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</si>
  <si>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</si>
  <si>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</si>
  <si>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</si>
  <si>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</si>
  <si>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</si>
  <si>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</si>
  <si>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</si>
  <si>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</si>
  <si>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</si>
  <si>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</si>
  <si>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</si>
  <si>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</si>
  <si>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</si>
  <si>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</si>
  <si>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</si>
  <si>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</si>
  <si>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</si>
  <si>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</si>
  <si>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</si>
  <si>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</si>
  <si>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</si>
  <si>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</si>
  <si>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</si>
  <si>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</si>
  <si>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</si>
  <si>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</si>
  <si>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</si>
  <si>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</si>
  <si>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</si>
  <si>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</si>
  <si>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</si>
  <si>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</si>
  <si>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</si>
  <si>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</si>
  <si>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</si>
  <si>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</si>
  <si>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</si>
  <si>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</si>
  <si>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</si>
  <si>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</si>
  <si>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</si>
  <si>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</si>
  <si>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</si>
  <si>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</si>
  <si>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</si>
  <si>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</si>
  <si>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</si>
  <si>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</si>
  <si>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</si>
  <si>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</si>
  <si>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</si>
  <si>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</si>
  <si>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</si>
  <si>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</si>
  <si>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</si>
  <si>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</si>
  <si>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</si>
  <si>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</si>
  <si>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</si>
  <si>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</si>
  <si>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</si>
  <si>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</si>
  <si>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</si>
  <si>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</si>
  <si>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</si>
  <si>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</si>
  <si>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</si>
  <si>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</si>
  <si>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</si>
  <si>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</si>
  <si>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</si>
  <si>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</si>
  <si>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</si>
  <si>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</si>
  <si>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</si>
  <si>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</si>
  <si>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</si>
  <si>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</si>
  <si>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</si>
  <si>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</si>
  <si>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</si>
  <si>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</si>
  <si>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</si>
  <si>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</si>
  <si>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</si>
  <si>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</si>
  <si>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</si>
  <si>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</si>
  <si>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</si>
  <si>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</si>
  <si>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</si>
  <si>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</si>
  <si>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</si>
  <si>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</si>
  <si>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</si>
  <si>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</si>
  <si>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</si>
  <si>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</si>
  <si>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</si>
  <si>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</si>
  <si>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</si>
  <si>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</si>
  <si>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</si>
  <si>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</si>
  <si>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</si>
  <si>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</si>
  <si>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</si>
  <si>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</si>
  <si>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</si>
  <si>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</si>
  <si>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</si>
  <si>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</si>
  <si>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</si>
  <si>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</si>
  <si>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</si>
  <si>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</si>
  <si>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</si>
  <si>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</si>
  <si>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</si>
  <si>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</si>
  <si>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</si>
  <si>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</si>
  <si>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</si>
  <si>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</si>
  <si>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</si>
  <si>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</si>
  <si>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</si>
  <si>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</si>
  <si>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</si>
  <si>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</si>
  <si>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</si>
  <si>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</si>
  <si>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</si>
  <si>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</si>
  <si>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</si>
  <si>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</si>
  <si>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</si>
  <si>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</si>
  <si>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</si>
  <si>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</si>
  <si>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</si>
  <si>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</si>
  <si>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</si>
  <si>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</si>
  <si>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</si>
  <si>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</si>
  <si>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</si>
  <si>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</si>
  <si>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</si>
  <si>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</si>
  <si>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</si>
  <si>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</si>
  <si>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</si>
  <si>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</si>
  <si>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</si>
  <si>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</si>
  <si>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</si>
  <si>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</si>
  <si>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</si>
  <si>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</si>
  <si>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</si>
  <si>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</si>
  <si>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</si>
  <si>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</si>
  <si>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</si>
  <si>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</si>
  <si>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</si>
  <si>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</si>
  <si>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</si>
  <si>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</si>
  <si>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</si>
  <si>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</si>
  <si>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</si>
  <si>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</si>
  <si>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</si>
  <si>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</si>
  <si>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</si>
  <si>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</si>
  <si>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</si>
  <si>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</si>
  <si>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</si>
  <si>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</si>
  <si>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</si>
  <si>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</si>
  <si>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</si>
  <si>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</si>
  <si>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</si>
  <si>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</si>
  <si>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</si>
  <si>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</si>
  <si>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</si>
  <si>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</si>
  <si>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</si>
  <si>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</si>
  <si>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</si>
  <si>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</si>
  <si>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</si>
  <si>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</si>
  <si>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</si>
  <si>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</si>
  <si>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</si>
  <si>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</si>
  <si>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</si>
  <si>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</si>
  <si>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</si>
  <si>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</si>
  <si>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</si>
  <si>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</si>
  <si>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</si>
  <si>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</si>
  <si>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</si>
  <si>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</si>
  <si>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</si>
  <si>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</si>
  <si>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</si>
  <si>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</si>
  <si>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</si>
  <si>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</si>
  <si>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</si>
  <si>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</si>
  <si>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</si>
  <si>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</si>
  <si>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</si>
  <si>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</si>
  <si>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</si>
  <si>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</si>
  <si>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</si>
  <si>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</si>
  <si>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</si>
  <si>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</si>
  <si>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</si>
  <si>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</si>
  <si>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</si>
  <si>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</si>
  <si>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</si>
  <si>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</si>
  <si>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</si>
  <si>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</si>
  <si>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</si>
  <si>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</si>
  <si>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</si>
  <si>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</si>
  <si>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</si>
  <si>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</si>
  <si>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</si>
  <si>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</si>
  <si>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</si>
  <si>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</si>
  <si>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</si>
  <si>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</si>
  <si>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</si>
  <si>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</si>
  <si>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</si>
  <si>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</si>
  <si>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</si>
  <si>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</si>
  <si>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</si>
  <si>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</si>
  <si>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</si>
  <si>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</si>
  <si>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</si>
  <si>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</si>
  <si>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</si>
  <si>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</si>
  <si>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</si>
  <si>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</si>
  <si>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</si>
  <si>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</si>
  <si>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</si>
  <si>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</si>
  <si>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</si>
  <si>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</si>
  <si>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</si>
  <si>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</si>
  <si>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</si>
  <si>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</si>
  <si>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</si>
  <si>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</si>
  <si>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</si>
  <si>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</si>
  <si>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</si>
  <si>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</si>
  <si>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</si>
  <si>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</si>
  <si>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</si>
  <si>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</si>
  <si>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</si>
  <si>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</si>
  <si>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</si>
  <si>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</si>
  <si>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</si>
  <si>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</si>
  <si>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</si>
  <si>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</si>
  <si>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</si>
  <si>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</si>
  <si>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</si>
  <si>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</si>
  <si>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</si>
  <si>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</si>
  <si>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</si>
  <si>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</si>
  <si>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</si>
  <si>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</si>
  <si>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</si>
  <si>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</si>
  <si>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</si>
  <si>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</si>
  <si>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</si>
  <si>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</si>
  <si>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</si>
  <si>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</si>
  <si>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</si>
  <si>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</si>
  <si>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</si>
  <si>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</si>
  <si>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</si>
  <si>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</si>
  <si>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</si>
  <si>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</si>
  <si>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</si>
  <si>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</si>
  <si>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</si>
  <si>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</si>
  <si>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</si>
  <si>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</si>
  <si>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</si>
  <si>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</si>
  <si>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</si>
  <si>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</si>
  <si>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</si>
  <si>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</si>
  <si>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</si>
  <si>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</si>
  <si>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</si>
  <si>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</si>
  <si>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</si>
  <si>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</si>
  <si>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</si>
  <si>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</si>
  <si>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</si>
  <si>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</si>
  <si>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</si>
  <si>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</si>
  <si>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</si>
  <si>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</si>
  <si>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</si>
  <si>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</si>
  <si>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</si>
  <si>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</si>
  <si>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</si>
  <si>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</si>
  <si>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</si>
  <si>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</si>
  <si>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</si>
  <si>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</si>
  <si>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</si>
  <si>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</si>
  <si>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</si>
  <si>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</si>
  <si>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</si>
  <si>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</si>
  <si>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</si>
  <si>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</si>
  <si>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</si>
  <si>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</si>
  <si>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</si>
  <si>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</si>
  <si>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</si>
  <si>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</si>
  <si>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</si>
  <si>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</si>
  <si>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</si>
  <si>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</si>
  <si>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</si>
  <si>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</si>
  <si>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</si>
  <si>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</si>
  <si>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</si>
  <si>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</si>
  <si>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</si>
  <si>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</si>
  <si>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</si>
  <si>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</si>
  <si>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</si>
  <si>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</si>
  <si>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</si>
  <si>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</si>
  <si>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</si>
  <si>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</si>
  <si>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</si>
  <si>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</si>
  <si>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</si>
  <si>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</si>
  <si>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</si>
  <si>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</si>
  <si>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</si>
  <si>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</si>
  <si>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</si>
  <si>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</si>
  <si>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</si>
  <si>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</si>
  <si>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</si>
  <si>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</si>
  <si>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</si>
  <si>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</si>
  <si>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</si>
  <si>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</si>
  <si>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</si>
  <si>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</si>
  <si>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</si>
  <si>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</si>
  <si>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</si>
  <si>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</si>
  <si>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</si>
  <si>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</si>
  <si>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</si>
  <si>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</si>
  <si>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</si>
  <si>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</si>
  <si>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</si>
  <si>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</si>
  <si>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</si>
  <si>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</si>
  <si>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</si>
  <si>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</si>
  <si>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</si>
  <si>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</si>
  <si>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</si>
  <si>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</si>
  <si>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</si>
  <si>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</si>
  <si>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</si>
  <si>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</si>
  <si>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</si>
  <si>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</si>
  <si>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</si>
  <si>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</si>
  <si>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</si>
  <si>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</si>
  <si>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</si>
  <si>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</si>
  <si>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</si>
  <si>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</si>
  <si>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</si>
  <si>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</si>
  <si>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</si>
  <si>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</si>
  <si>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</si>
  <si>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</si>
  <si>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</si>
  <si>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</si>
  <si>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</si>
  <si>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</si>
  <si>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</si>
  <si>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</si>
  <si>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</si>
  <si>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</si>
  <si>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</si>
  <si>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</si>
  <si>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</si>
  <si>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</si>
  <si>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</si>
  <si>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</si>
  <si>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</si>
  <si>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</si>
  <si>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</si>
  <si>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</si>
  <si>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</si>
  <si>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</si>
  <si>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</si>
  <si>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</si>
  <si>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</si>
  <si>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</si>
  <si>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</si>
  <si>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</si>
  <si>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</si>
  <si>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</si>
  <si>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</si>
  <si>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</si>
  <si>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</si>
  <si>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</si>
  <si>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</si>
  <si>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</si>
  <si>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</si>
  <si>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</si>
  <si>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</si>
  <si>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</si>
  <si>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</si>
  <si>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</si>
  <si>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</si>
  <si>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</si>
  <si>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</si>
  <si>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</si>
  <si>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</si>
  <si>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</si>
  <si>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</si>
  <si>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</si>
  <si>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</si>
  <si>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</si>
  <si>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</si>
  <si>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</si>
  <si>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</si>
  <si>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</si>
  <si>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</si>
  <si>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</si>
  <si>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</si>
  <si>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t>是</t>
  </si>
  <si>
    <t>地上</t>
  </si>
  <si>
    <t>办公</t>
    <phoneticPr fontId="7" type="noConversion"/>
  </si>
  <si>
    <t>租金</t>
  </si>
  <si>
    <t>正常</t>
  </si>
  <si>
    <t>报价</t>
  </si>
  <si>
    <t>报价</t>
    <phoneticPr fontId="31" type="noConversion"/>
  </si>
  <si>
    <t>办公</t>
    <phoneticPr fontId="31" type="noConversion"/>
  </si>
  <si>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</si>
  <si>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</si>
  <si>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</si>
  <si>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</si>
  <si>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</si>
  <si>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</si>
  <si>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</si>
  <si>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</si>
  <si>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</si>
  <si>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独立办公区域</t>
    <phoneticPr fontId="3" type="noConversion"/>
  </si>
  <si>
    <t>单套办公</t>
    <phoneticPr fontId="3" type="noConversion"/>
  </si>
  <si>
    <t>钢混</t>
    <phoneticPr fontId="3" type="noConversion"/>
  </si>
  <si>
    <t>混合</t>
    <phoneticPr fontId="3" type="noConversion"/>
  </si>
  <si>
    <t>专业</t>
  </si>
  <si>
    <t>专业</t>
    <phoneticPr fontId="31" type="noConversion"/>
  </si>
  <si>
    <t>自管</t>
  </si>
  <si>
    <t>自管</t>
    <phoneticPr fontId="31" type="noConversion"/>
  </si>
  <si>
    <t>七通</t>
  </si>
  <si>
    <t>七通</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</si>
  <si>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</si>
  <si>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</si>
  <si>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</si>
  <si>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</si>
  <si>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</si>
  <si>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</si>
  <si>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</si>
  <si>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</si>
  <si>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</si>
  <si>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t>精装修</t>
    <phoneticPr fontId="3" type="noConversion"/>
  </si>
  <si>
    <t>普装</t>
    <phoneticPr fontId="3" type="noConversion"/>
  </si>
  <si>
    <t>简装</t>
    <phoneticPr fontId="3" type="noConversion"/>
  </si>
  <si>
    <t>原始残留装修</t>
    <phoneticPr fontId="3" type="noConversion"/>
  </si>
  <si>
    <t>沙河地铁站</t>
    <phoneticPr fontId="3" type="noConversion"/>
  </si>
  <si>
    <t>新元科技园</t>
    <phoneticPr fontId="3" type="noConversion"/>
  </si>
  <si>
    <t>较好</t>
  </si>
  <si>
    <t>位置</t>
    <phoneticPr fontId="134" type="noConversion"/>
  </si>
  <si>
    <t>面积</t>
    <phoneticPr fontId="134" type="noConversion"/>
  </si>
  <si>
    <t>路庄桥</t>
    <phoneticPr fontId="134" type="noConversion"/>
  </si>
  <si>
    <t>单层，层高4米</t>
    <phoneticPr fontId="134" type="noConversion"/>
  </si>
  <si>
    <t>一层无地下室</t>
    <phoneticPr fontId="134" type="noConversion"/>
  </si>
  <si>
    <t>含税含取暖物业费</t>
    <phoneticPr fontId="134" type="noConversion"/>
  </si>
  <si>
    <t>开票</t>
    <phoneticPr fontId="134" type="noConversion"/>
  </si>
  <si>
    <t>物业费</t>
    <phoneticPr fontId="134" type="noConversion"/>
  </si>
  <si>
    <t>6个点</t>
    <phoneticPr fontId="134" type="noConversion"/>
  </si>
  <si>
    <t>房租</t>
    <phoneticPr fontId="134" type="noConversion"/>
  </si>
  <si>
    <t>9个点</t>
    <phoneticPr fontId="134" type="noConversion"/>
  </si>
  <si>
    <t>取暖</t>
    <phoneticPr fontId="134" type="noConversion"/>
  </si>
  <si>
    <t>自己烧的燃气</t>
    <phoneticPr fontId="134" type="noConversion"/>
  </si>
  <si>
    <t>物业</t>
    <phoneticPr fontId="134" type="noConversion"/>
  </si>
  <si>
    <t>自己的物业</t>
    <phoneticPr fontId="134" type="noConversion"/>
  </si>
  <si>
    <t>燃气</t>
    <phoneticPr fontId="134" type="noConversion"/>
  </si>
  <si>
    <t>无</t>
    <phoneticPr fontId="134" type="noConversion"/>
  </si>
  <si>
    <t>有院有停车位</t>
    <phoneticPr fontId="134" type="noConversion"/>
  </si>
  <si>
    <t>全南向</t>
    <phoneticPr fontId="134" type="noConversion"/>
  </si>
  <si>
    <t>园区对外开门</t>
    <phoneticPr fontId="134" type="noConversion"/>
  </si>
  <si>
    <t>百沙路</t>
    <phoneticPr fontId="134" type="noConversion"/>
  </si>
  <si>
    <t>不含票、取暖、物业</t>
    <phoneticPr fontId="134" type="noConversion"/>
  </si>
  <si>
    <t>有院，差不多两间大卧室大</t>
    <phoneticPr fontId="134" type="noConversion"/>
  </si>
  <si>
    <t>昌平县城距西关环岛4公里</t>
    <phoneticPr fontId="134" type="noConversion"/>
  </si>
  <si>
    <t>万/年</t>
    <phoneticPr fontId="134" type="noConversion"/>
  </si>
  <si>
    <t>全不含</t>
    <phoneticPr fontId="134" type="noConversion"/>
  </si>
  <si>
    <t>院有4亩</t>
    <phoneticPr fontId="134" type="noConversion"/>
  </si>
  <si>
    <t>村里宅基地，上家租户是建筑公司</t>
    <phoneticPr fontId="134" type="noConversion"/>
  </si>
  <si>
    <t>沙河科技园区</t>
    <phoneticPr fontId="134" type="noConversion"/>
  </si>
  <si>
    <t>2.3-2.5</t>
    <phoneticPr fontId="134" type="noConversion"/>
  </si>
  <si>
    <t>含物业、发票</t>
    <phoneticPr fontId="134" type="noConversion"/>
  </si>
  <si>
    <t>写字楼</t>
    <phoneticPr fontId="134" type="noConversion"/>
  </si>
  <si>
    <t>正常层高</t>
    <phoneticPr fontId="134" type="noConversion"/>
  </si>
  <si>
    <t>沙河地铁站</t>
    <phoneticPr fontId="134" type="noConversion"/>
  </si>
  <si>
    <t>市政供暖、供暖自己交</t>
    <phoneticPr fontId="134" type="noConversion"/>
  </si>
  <si>
    <t>1983创意产业园</t>
    <phoneticPr fontId="134" type="noConversion"/>
  </si>
  <si>
    <t>500（3个地方加一起）</t>
    <phoneticPr fontId="134" type="noConversion"/>
  </si>
  <si>
    <t>含物业发票</t>
    <phoneticPr fontId="134" type="noConversion"/>
  </si>
  <si>
    <t>赋腾科技园</t>
    <phoneticPr fontId="134" type="noConversion"/>
  </si>
  <si>
    <t>2.2-2.5</t>
    <phoneticPr fontId="134" type="noConversion"/>
  </si>
  <si>
    <t>物业0.2-0.3元/平方米/天</t>
    <phoneticPr fontId="134" type="noConversion"/>
  </si>
  <si>
    <t>市政供暖，0.25元/平方米</t>
    <phoneticPr fontId="134" type="noConversion"/>
  </si>
  <si>
    <t>停车收费</t>
    <phoneticPr fontId="134" type="noConversion"/>
  </si>
  <si>
    <t>240元/月，按年租200元/月</t>
    <phoneticPr fontId="134" type="noConversion"/>
  </si>
  <si>
    <t>2.2-3</t>
    <phoneticPr fontId="134" type="noConversion"/>
  </si>
  <si>
    <t>取暖集体供暖</t>
    <phoneticPr fontId="134" type="noConversion"/>
  </si>
  <si>
    <t>新元科技园</t>
    <phoneticPr fontId="134" type="noConversion"/>
  </si>
  <si>
    <t>独栋</t>
    <phoneticPr fontId="134" type="noConversion"/>
  </si>
  <si>
    <t>2层办公楼</t>
    <phoneticPr fontId="134" type="noConversion"/>
  </si>
  <si>
    <t>空调取暖</t>
    <phoneticPr fontId="134" type="noConversion"/>
  </si>
  <si>
    <t>物业费6元/平方米/月</t>
    <phoneticPr fontId="134" type="noConversion"/>
  </si>
  <si>
    <t>含税租金</t>
    <phoneticPr fontId="134" type="noConversion"/>
  </si>
  <si>
    <t>含税租金</t>
    <phoneticPr fontId="134" type="noConversion"/>
  </si>
  <si>
    <t>支路</t>
  </si>
  <si>
    <t>主干道</t>
  </si>
  <si>
    <t>展思门路支路</t>
    <phoneticPr fontId="24" type="noConversion"/>
  </si>
  <si>
    <t>马满路</t>
    <phoneticPr fontId="31" type="noConversion"/>
  </si>
  <si>
    <t>自然环境：东沙河滨水公园、朝宗桥公园；人文环境：北京师范大学（昌平校园）、北京信息科技大学（沙河校区）、北京航空航天大学（沙河校区）、中国矿业大学（北京）沙河校区</t>
    <phoneticPr fontId="31" type="noConversion"/>
  </si>
  <si>
    <t>自然环境：沙河大学城主题公园；人文环境：北京邮电大学（沙河校区）、北京航空航天大学（沙河校区）</t>
    <phoneticPr fontId="31" type="noConversion"/>
  </si>
  <si>
    <t>中国农业银行（北京沙河支行）、招商银行（沙河高教园支行）、北京农商银行（沙河支行）；昌沙中医医院、京康医院、北京市昌平区沙河中西医结合医院；北京幼师实验幼儿园，北京市昌平区巩华学校、昌平区沙河中心于辛庄小学、北京中科青云实验学校（沙河校区）；文创商业街、隆兴购物广场</t>
    <phoneticPr fontId="31" type="noConversion"/>
  </si>
  <si>
    <r>
      <rPr>
        <sz val="11"/>
        <rFont val="宋体"/>
        <family val="3"/>
        <charset val="134"/>
      </rPr>
      <t>紧邻马满路、</t>
    </r>
    <r>
      <rPr>
        <sz val="11"/>
        <rFont val="Arial"/>
        <family val="2"/>
      </rPr>
      <t>G6</t>
    </r>
    <r>
      <rPr>
        <sz val="11"/>
        <rFont val="宋体"/>
        <family val="3"/>
        <charset val="134"/>
      </rPr>
      <t>辅路，距京藏高速约</t>
    </r>
    <r>
      <rPr>
        <sz val="11"/>
        <rFont val="Arial"/>
        <family val="2"/>
      </rPr>
      <t>200</t>
    </r>
    <r>
      <rPr>
        <sz val="11"/>
        <rFont val="宋体"/>
        <family val="3"/>
        <charset val="134"/>
      </rPr>
      <t>米，</t>
    </r>
    <r>
      <rPr>
        <sz val="11"/>
        <rFont val="Arial"/>
        <family val="2"/>
      </rPr>
      <t>2</t>
    </r>
    <r>
      <rPr>
        <sz val="11"/>
        <rFont val="宋体"/>
        <family val="3"/>
        <charset val="134"/>
      </rPr>
      <t>公里范围内无地铁、公交昌</t>
    </r>
    <r>
      <rPr>
        <sz val="11"/>
        <rFont val="Arial"/>
        <family val="2"/>
      </rPr>
      <t>58</t>
    </r>
    <r>
      <rPr>
        <sz val="11"/>
        <rFont val="宋体"/>
        <family val="3"/>
        <charset val="134"/>
      </rPr>
      <t>路支线、</t>
    </r>
    <r>
      <rPr>
        <sz val="11"/>
        <rFont val="Arial"/>
        <family val="2"/>
      </rPr>
      <t>345</t>
    </r>
    <r>
      <rPr>
        <sz val="11"/>
        <rFont val="宋体"/>
        <family val="3"/>
        <charset val="134"/>
      </rPr>
      <t>路、</t>
    </r>
    <r>
      <rPr>
        <sz val="11"/>
        <rFont val="Arial"/>
        <family val="2"/>
      </rPr>
      <t>878</t>
    </r>
    <r>
      <rPr>
        <sz val="11"/>
        <rFont val="宋体"/>
        <family val="3"/>
        <charset val="134"/>
      </rPr>
      <t>路、</t>
    </r>
    <r>
      <rPr>
        <sz val="11"/>
        <rFont val="Arial"/>
        <family val="2"/>
      </rPr>
      <t>922</t>
    </r>
    <r>
      <rPr>
        <sz val="11"/>
        <rFont val="宋体"/>
        <family val="3"/>
        <charset val="134"/>
      </rPr>
      <t>路等多条公交路线，园区内部可停车</t>
    </r>
    <phoneticPr fontId="31" type="noConversion"/>
  </si>
  <si>
    <r>
      <rPr>
        <sz val="11"/>
        <rFont val="宋体"/>
        <family val="3"/>
        <charset val="134"/>
      </rPr>
      <t>临支路，</t>
    </r>
    <r>
      <rPr>
        <sz val="11"/>
        <rFont val="Arial"/>
        <family val="2"/>
      </rPr>
      <t>2</t>
    </r>
    <r>
      <rPr>
        <sz val="11"/>
        <rFont val="宋体"/>
        <family val="3"/>
        <charset val="134"/>
      </rPr>
      <t>公里范围内有主干道百沙路，</t>
    </r>
    <r>
      <rPr>
        <sz val="11"/>
        <rFont val="Arial"/>
        <family val="2"/>
      </rPr>
      <t>2</t>
    </r>
    <r>
      <rPr>
        <sz val="11"/>
        <rFont val="宋体"/>
        <family val="3"/>
        <charset val="134"/>
      </rPr>
      <t>公里范围内有地铁昌平线</t>
    </r>
    <r>
      <rPr>
        <sz val="11"/>
        <rFont val="Arial"/>
        <family val="2"/>
      </rPr>
      <t>-</t>
    </r>
    <r>
      <rPr>
        <sz val="11"/>
        <rFont val="宋体"/>
        <family val="3"/>
        <charset val="134"/>
      </rPr>
      <t>沙河站、有</t>
    </r>
    <r>
      <rPr>
        <sz val="11"/>
        <rFont val="Arial"/>
        <family val="2"/>
      </rPr>
      <t>670</t>
    </r>
    <r>
      <rPr>
        <sz val="11"/>
        <rFont val="宋体"/>
        <family val="3"/>
        <charset val="134"/>
      </rPr>
      <t>、</t>
    </r>
    <r>
      <rPr>
        <sz val="11"/>
        <rFont val="Arial"/>
        <family val="2"/>
      </rPr>
      <t>945</t>
    </r>
    <r>
      <rPr>
        <sz val="11"/>
        <rFont val="宋体"/>
        <family val="3"/>
        <charset val="134"/>
      </rPr>
      <t>、</t>
    </r>
    <r>
      <rPr>
        <sz val="11"/>
        <rFont val="Arial"/>
        <family val="2"/>
      </rPr>
      <t>C116</t>
    </r>
    <r>
      <rPr>
        <sz val="11"/>
        <rFont val="宋体"/>
        <family val="3"/>
        <charset val="134"/>
      </rPr>
      <t>、昌</t>
    </r>
    <r>
      <rPr>
        <sz val="11"/>
        <rFont val="Arial"/>
        <family val="2"/>
      </rPr>
      <t>19</t>
    </r>
    <r>
      <rPr>
        <sz val="11"/>
        <rFont val="宋体"/>
        <family val="3"/>
        <charset val="134"/>
      </rPr>
      <t>路等多条公交线路。内部可停车</t>
    </r>
    <phoneticPr fontId="31" type="noConversion"/>
  </si>
  <si>
    <r>
      <rPr>
        <sz val="11"/>
        <rFont val="宋体"/>
        <family val="3"/>
        <charset val="134"/>
      </rPr>
      <t>临支路，</t>
    </r>
    <r>
      <rPr>
        <sz val="11"/>
        <rFont val="Arial"/>
        <family val="2"/>
      </rPr>
      <t>2</t>
    </r>
    <r>
      <rPr>
        <sz val="11"/>
        <rFont val="宋体"/>
        <family val="3"/>
        <charset val="134"/>
      </rPr>
      <t>公里范围内有G6辅路、京藏高速；2公里范围内无地铁、有345、878、922、昌19等多条公交线路</t>
    </r>
    <phoneticPr fontId="31" type="noConversion"/>
  </si>
  <si>
    <t>北京农商银行（沙河支行）、中国邮政储蓄银行（北京昌平区沙河支行）；北京大卫中医医院、北京市昌平区沙河中西医结合医院；机关幼儿园（新辰分园）、北航附小昌平学校（路松街校区）、北京市实验外国语学校（昌平校区）；华联超市（能源东路店）</t>
    <phoneticPr fontId="31" type="noConversion"/>
  </si>
  <si>
    <t>中国银行（沙河支行）、中国工商银行（北京沙河支行）、中国邮政储蓄银行（北京昌平区沙河支行）；北京大卫中医医院、北京市昌平区沙河医院；沙河中心幼儿园（南河槽大街）、北航附小昌平学校（路松街校区）、巩华中心第二小学、北京市实验外国语学校（昌平校区）；华联超市（沙河分店）</t>
    <phoneticPr fontId="31" type="noConversion"/>
  </si>
  <si>
    <t>独立办公区域</t>
  </si>
  <si>
    <r>
      <t>至3</t>
    </r>
    <r>
      <rPr>
        <sz val="11"/>
        <color theme="1"/>
        <rFont val="宋体"/>
        <family val="3"/>
        <charset val="134"/>
        <scheme val="minor"/>
      </rPr>
      <t>500</t>
    </r>
    <phoneticPr fontId="134" type="noConversion"/>
  </si>
  <si>
    <t>混合</t>
  </si>
  <si>
    <t>简装</t>
  </si>
  <si>
    <t>无等级</t>
    <phoneticPr fontId="31" type="noConversion"/>
  </si>
  <si>
    <t>单套办公</t>
  </si>
  <si>
    <t>新元科技园建成年代</t>
    <phoneticPr fontId="31" type="noConversion"/>
  </si>
  <si>
    <t>直线</t>
    <phoneticPr fontId="31" type="noConversion"/>
  </si>
  <si>
    <t>金河水务（办公楼）、新昌科技园、全旭达创业园</t>
    <phoneticPr fontId="31" type="noConversion"/>
  </si>
  <si>
    <t>新昌科技园、全旭达创业园、山水泰禾创业园</t>
    <phoneticPr fontId="31" type="noConversion"/>
  </si>
  <si>
    <t>国际能源电力创新中心、昌平沙河工业园区</t>
    <phoneticPr fontId="31" type="noConversion"/>
  </si>
  <si>
    <t>办公面积</t>
    <phoneticPr fontId="3" type="noConversion"/>
  </si>
  <si>
    <t>灭失面积</t>
    <phoneticPr fontId="3" type="noConversion"/>
  </si>
  <si>
    <t>昌平区沙河镇扶京门路14号</t>
    <phoneticPr fontId="6" type="noConversion"/>
  </si>
  <si>
    <t>否</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</si>
  <si>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商圈，周边办公楼项目较多，入驻率高，办公集聚程度较好：无</t>
    </r>
    <phoneticPr fontId="24" type="noConversion"/>
  </si>
  <si>
    <t>估价对象周边道路状况：紧邻扶京门路、安济桥路，距G6辅路、京藏高速约250米、公共交通通达情况：距昌平线巩华城站2公里，2公里范围内有昌20、519、887、883路等多条公交线路、停车便捷程度：内部可停车，综合评价交通便捷度较好。</t>
    <phoneticPr fontId="40" type="noConversion"/>
  </si>
  <si>
    <t>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t>
    <phoneticPr fontId="40" type="noConversion"/>
  </si>
  <si>
    <t>区域自然环境：东沙河滨水公园、沙河大学城主题公园；人文环境：北京邮电大学（沙河校区）、北京航空航天大学（沙河校区）、北京师范大学（昌平校园）；综合评价环境状况一般</t>
    <phoneticPr fontId="40" type="noConversion"/>
  </si>
  <si>
    <t>较差</t>
  </si>
  <si>
    <t>扶京门路</t>
    <phoneticPr fontId="31" type="noConversion"/>
  </si>
  <si>
    <t>扶京门路14号</t>
    <phoneticPr fontId="3" type="noConversion"/>
  </si>
  <si>
    <t>原始残留装修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</si>
</sst>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0" fillId="9" borderId="0" xfId="0" applyFill="1" applyAlignment="1">
      <alignment wrapText="1"/>
    </xf>
    <xf numFmtId="0" fontId="0" fillId="9" borderId="0" xfId="0" applyFill="1" applyAlignment="1"/>
    <xf numFmtId="0" fontId="0" fillId="5" borderId="0" xfId="0" applyFill="1" applyAlignment="1">
      <alignment wrapText="1"/>
    </xf>
    <xf numFmtId="0" fontId="0" fillId="5" borderId="0" xfId="0" applyFill="1" applyAlignment="1"/>
    <xf numFmtId="0" fontId="0" fillId="0" borderId="0" xfId="0" applyAlignment="1">
      <alignment wrapText="1"/>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49" fontId="271"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224"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9" fontId="160" fillId="12" borderId="0" xfId="12" applyNumberFormat="1" applyFont="1" applyFill="1" applyAlignment="1" applyProtection="1">
      <alignment horizontal="left" vertical="center" wrapText="1"/>
      <protection locked="0"/>
    </xf>
    <xf numFmtId="49" fontId="77" fillId="0" borderId="1" xfId="0" applyNumberFormat="1" applyFont="1" applyBorder="1" applyAlignment="1" applyProtection="1">
      <alignment horizontal="center" vertical="center" wrapText="1"/>
      <protection locked="0"/>
    </xf>
    <xf numFmtId="49" fontId="77" fillId="0" borderId="1" xfId="0" applyNumberFormat="1" applyFont="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94" fillId="9" borderId="54" xfId="0" applyFont="1" applyFill="1" applyBorder="1" applyAlignment="1" applyProtection="1">
      <alignment horizontal="center" vertical="center" wrapText="1"/>
      <protection locked="0"/>
    </xf>
    <xf numFmtId="0" fontId="51" fillId="9" borderId="7" xfId="0" applyFont="1" applyFill="1" applyBorder="1" applyAlignment="1" applyProtection="1">
      <alignment horizontal="center" vertical="center" wrapText="1"/>
      <protection locked="0"/>
    </xf>
    <xf numFmtId="0" fontId="58" fillId="22" borderId="11" xfId="0" applyFont="1" applyFill="1" applyBorder="1" applyAlignment="1" applyProtection="1">
      <alignment horizontal="center" vertical="center" wrapText="1"/>
      <protection locked="0"/>
    </xf>
    <xf numFmtId="0" fontId="51" fillId="22" borderId="7" xfId="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51" fillId="22" borderId="23"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306758</xdr:colOff>
      <xdr:row>8</xdr:row>
      <xdr:rowOff>38100</xdr:rowOff>
    </xdr:from>
    <xdr:to>
      <xdr:col>17</xdr:col>
      <xdr:colOff>410618</xdr:colOff>
      <xdr:row>26</xdr:row>
      <xdr:rowOff>60960</xdr:rowOff>
    </xdr:to>
    <xdr:pic>
      <xdr:nvPicPr>
        <xdr:cNvPr id="2" name="图片 1">
          <a:extLst>
            <a:ext uri="{FF2B5EF4-FFF2-40B4-BE49-F238E27FC236}">
              <a16:creationId xmlns="" xmlns:a16="http://schemas.microsoft.com/office/drawing/2014/main" id="{7B150A74-8FED-896B-DB76-4ADE7CC649DB}"/>
            </a:ext>
          </a:extLst>
        </xdr:cNvPr>
        <xdr:cNvPicPr>
          <a:picLocks noChangeAspect="1"/>
        </xdr:cNvPicPr>
      </xdr:nvPicPr>
      <xdr:blipFill>
        <a:blip xmlns:r="http://schemas.openxmlformats.org/officeDocument/2006/relationships" r:embed="rId1"/>
        <a:stretch>
          <a:fillRect/>
        </a:stretch>
      </xdr:blipFill>
      <xdr:spPr>
        <a:xfrm>
          <a:off x="5793158" y="1501140"/>
          <a:ext cx="4980660" cy="3680460"/>
        </a:xfrm>
        <a:prstGeom prst="rect">
          <a:avLst/>
        </a:prstGeom>
      </xdr:spPr>
    </xdr:pic>
    <xdr:clientData/>
  </xdr:twoCellAnchor>
  <xdr:twoCellAnchor editAs="oneCell">
    <xdr:from>
      <xdr:col>11</xdr:col>
      <xdr:colOff>0</xdr:colOff>
      <xdr:row>28</xdr:row>
      <xdr:rowOff>0</xdr:rowOff>
    </xdr:from>
    <xdr:to>
      <xdr:col>20</xdr:col>
      <xdr:colOff>370743</xdr:colOff>
      <xdr:row>53</xdr:row>
      <xdr:rowOff>46933</xdr:rowOff>
    </xdr:to>
    <xdr:pic>
      <xdr:nvPicPr>
        <xdr:cNvPr id="3" name="图片 2">
          <a:extLst>
            <a:ext uri="{FF2B5EF4-FFF2-40B4-BE49-F238E27FC236}">
              <a16:creationId xmlns="" xmlns:a16="http://schemas.microsoft.com/office/drawing/2014/main" id="{0CB0271A-6E9F-D245-CCEF-6C78FDC0428E}"/>
            </a:ext>
          </a:extLst>
        </xdr:cNvPr>
        <xdr:cNvPicPr>
          <a:picLocks noChangeAspect="1"/>
        </xdr:cNvPicPr>
      </xdr:nvPicPr>
      <xdr:blipFill>
        <a:blip xmlns:r="http://schemas.openxmlformats.org/officeDocument/2006/relationships" r:embed="rId2"/>
        <a:stretch>
          <a:fillRect/>
        </a:stretch>
      </xdr:blipFill>
      <xdr:spPr>
        <a:xfrm>
          <a:off x="6705600" y="5669280"/>
          <a:ext cx="5857143" cy="5533333"/>
        </a:xfrm>
        <a:prstGeom prst="rect">
          <a:avLst/>
        </a:prstGeom>
      </xdr:spPr>
    </xdr:pic>
    <xdr:clientData/>
  </xdr:twoCellAnchor>
  <xdr:twoCellAnchor editAs="oneCell">
    <xdr:from>
      <xdr:col>0</xdr:col>
      <xdr:colOff>34101</xdr:colOff>
      <xdr:row>56</xdr:row>
      <xdr:rowOff>160020</xdr:rowOff>
    </xdr:from>
    <xdr:to>
      <xdr:col>13</xdr:col>
      <xdr:colOff>122467</xdr:colOff>
      <xdr:row>89</xdr:row>
      <xdr:rowOff>52335</xdr:rowOff>
    </xdr:to>
    <xdr:pic>
      <xdr:nvPicPr>
        <xdr:cNvPr id="4" name="图片 3">
          <a:extLst>
            <a:ext uri="{FF2B5EF4-FFF2-40B4-BE49-F238E27FC236}">
              <a16:creationId xmlns="" xmlns:a16="http://schemas.microsoft.com/office/drawing/2014/main" id="{E5FE9189-F2AF-9A05-27CB-9E00DED5FDCF}"/>
            </a:ext>
          </a:extLst>
        </xdr:cNvPr>
        <xdr:cNvPicPr>
          <a:picLocks noChangeAspect="1"/>
        </xdr:cNvPicPr>
      </xdr:nvPicPr>
      <xdr:blipFill>
        <a:blip xmlns:r="http://schemas.openxmlformats.org/officeDocument/2006/relationships" r:embed="rId3"/>
        <a:stretch>
          <a:fillRect/>
        </a:stretch>
      </xdr:blipFill>
      <xdr:spPr>
        <a:xfrm>
          <a:off x="34101" y="11864340"/>
          <a:ext cx="8013166" cy="5927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北京市昌平区沙河镇扶京门路14号预评估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受贵公司委托，我公司对北京市昌平区沙河镇扶京门路14号进行了预评估。</v>
      </c>
    </row>
    <row r="7" spans="1:2">
      <c r="A7" s="1119" t="s">
        <v>566</v>
      </c>
      <c r="B7" s="1120" t="str">
        <f>'预评函-1'!A7</f>
        <v>估价对象为北京市昌平区沙河镇扶京门路14号房地产，为所有。根据《国有土地使用证》[]，估价对象（分摊）出让国有建设用地使用权面积为0平方米，建筑面积为89.54平方米。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估价对象为北京市昌平区沙河镇扶京门路14号房地产,属开发建设的，该项目尚在开发建设中。根据《国有土地使用证》[]，估价对象（分摊）出让国有建设用地使用权面积为0平方米，规划建筑面积为89.54平方米。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2024年11月5日（评估专业人员实地查勘之日）</v>
      </c>
    </row>
    <row r="13" spans="1:2">
      <c r="A13" s="1119" t="s">
        <v>529</v>
      </c>
      <c r="B13" s="1120" t="str">
        <f>'预评函-1'!A18</f>
        <v>本次估价的“房地产价值”是指在正常市场情况下，在价值时点2024年11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北京市昌平区沙河镇扶京门路14号房地产</v>
      </c>
    </row>
    <row r="42" spans="1:2">
      <c r="A42" s="1119" t="s">
        <v>590</v>
      </c>
      <c r="B42" s="1120" t="str">
        <f>'预评函-3'!B2</f>
        <v>建筑面积</v>
      </c>
    </row>
    <row r="43" spans="1:2">
      <c r="A43" s="1119" t="s">
        <v>591</v>
      </c>
      <c r="B43" s="1120">
        <f>'预评函-3'!B4</f>
        <v>89.54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2291</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扶京门路14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0" t="s">
        <v>2580</v>
      </c>
      <c r="J2" s="3220"/>
      <c r="K2" s="3220"/>
      <c r="L2" s="3220"/>
      <c r="M2" s="3220"/>
      <c r="N2" s="3220"/>
      <c r="O2" s="3220"/>
      <c r="P2" s="3220"/>
      <c r="Q2" s="3220"/>
      <c r="R2" s="3220"/>
    </row>
    <row r="3" spans="1:18">
      <c r="A3" s="2761" t="s">
        <v>2501</v>
      </c>
      <c r="B3" s="2762">
        <f>项目基本情况!D3</f>
        <v>45601</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12.12</v>
      </c>
      <c r="D6" s="2766">
        <f>IF(ISERROR(ROUND(POWER(1+E6,A6-C6)*(POWER(1+E6,C6)-1)/(POWER(1+E6,A6)-1),3)),0,ROUND(POWER(1+E6,A6-C6)*(POWER(1+E6,C6)-1)/(POWER(1+E6,A6)-1),4))</f>
        <v>0.44030000000000002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4.25" thickBot="1">
      <c r="A18" s="2771" t="s">
        <v>2516</v>
      </c>
      <c r="B18" s="2772">
        <f>ROUND(B17*F11/F12,2)</f>
        <v>5541.87</v>
      </c>
      <c r="C18" s="2772">
        <f>ROUND(F11/F12,4)</f>
        <v>1.1521999999999999</v>
      </c>
      <c r="D18" s="2773"/>
      <c r="E18" s="2773"/>
      <c r="F18" s="2774"/>
    </row>
    <row r="19" spans="1:13" ht="14.25" thickBot="1"/>
    <row r="20" spans="1:13" s="2807" customFormat="1" ht="14.2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4.2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1" sqref="D1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8" t="str">
        <f>IF(B10="北京市","北京市",C10)&amp;F10&amp;IF(结果表!G1="在建","出让国有建设用地使用权及在建建筑物",IF(结果表!G1="土地","出让国有建设用地使用权",))&amp;B9&amp;"预评估"</f>
        <v>北京市昌平区沙河镇扶京门路14号预评估</v>
      </c>
      <c r="C1" s="3229"/>
      <c r="D1" s="3229"/>
      <c r="E1" s="3229"/>
      <c r="F1" s="3229"/>
      <c r="G1" s="3229"/>
      <c r="H1" s="3229"/>
      <c r="I1" s="323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北京市昌平区沙河镇扶京门路14号</v>
      </c>
      <c r="T1" s="1618"/>
      <c r="U1" s="1618"/>
      <c r="V1" s="1618"/>
      <c r="W1" s="1618"/>
      <c r="X1" s="1618"/>
      <c r="Y1" s="1618"/>
      <c r="Z1" s="1618"/>
      <c r="AA1" s="1618"/>
      <c r="AB1" s="1618"/>
    </row>
    <row r="2" spans="1:30">
      <c r="A2" s="2182" t="s">
        <v>2169</v>
      </c>
      <c r="B2" s="122"/>
      <c r="D2" s="2446"/>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北京市昌平区沙河镇扶京门路14号房地产</v>
      </c>
      <c r="T2" s="1618"/>
      <c r="U2" s="1618"/>
      <c r="V2" s="1618"/>
      <c r="W2" s="1618"/>
      <c r="X2" s="1618"/>
      <c r="Y2" s="1618"/>
      <c r="Z2" s="1618"/>
      <c r="AA2" s="1618"/>
      <c r="AB2" s="1618"/>
    </row>
    <row r="3" spans="1:30">
      <c r="A3" s="294" t="s">
        <v>2170</v>
      </c>
      <c r="B3" s="2185">
        <v>45601</v>
      </c>
      <c r="C3" s="2186" t="s">
        <v>2171</v>
      </c>
      <c r="D3" s="2185">
        <f>B3</f>
        <v>45601</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c r="C8" s="2201"/>
      <c r="D8" s="3231" t="s">
        <v>2177</v>
      </c>
      <c r="E8" s="2202"/>
      <c r="F8" s="2203"/>
      <c r="G8" s="2441"/>
      <c r="H8" s="2441"/>
      <c r="I8" s="2441"/>
      <c r="J8" s="2245"/>
      <c r="K8" s="2399"/>
      <c r="L8" s="2398"/>
      <c r="M8" s="2398"/>
      <c r="N8" s="2245"/>
      <c r="O8" s="1670"/>
      <c r="P8" s="2245"/>
      <c r="Q8" s="2245"/>
      <c r="R8" s="2245"/>
    </row>
    <row r="9" spans="1:30" ht="13.5" thickBot="1">
      <c r="A9" s="2204" t="s">
        <v>2178</v>
      </c>
      <c r="B9" s="2205"/>
      <c r="C9" s="2206"/>
      <c r="D9" s="3232"/>
      <c r="E9" s="2205"/>
      <c r="F9" s="2207"/>
      <c r="G9" s="2442"/>
      <c r="H9" s="2442"/>
      <c r="I9" s="2442"/>
      <c r="J9" s="2245"/>
      <c r="K9" s="2401"/>
      <c r="L9" s="2398"/>
      <c r="M9" s="2398"/>
      <c r="N9" s="2245"/>
      <c r="O9" s="1670"/>
      <c r="P9" s="2245"/>
      <c r="Q9" s="2245"/>
      <c r="R9" s="2245"/>
    </row>
    <row r="10" spans="1:30" ht="13.5" thickTop="1">
      <c r="A10" s="2208" t="s">
        <v>2179</v>
      </c>
      <c r="B10" s="2209" t="s">
        <v>3388</v>
      </c>
      <c r="C10" s="2210"/>
      <c r="D10" s="2193"/>
      <c r="E10" s="2211" t="s">
        <v>2180</v>
      </c>
      <c r="F10" s="3172" t="s">
        <v>3511</v>
      </c>
      <c r="G10" s="2443"/>
      <c r="H10" s="2444"/>
      <c r="I10" s="2445"/>
      <c r="J10" s="2245"/>
      <c r="K10" s="2401"/>
      <c r="L10" s="2398"/>
      <c r="M10" s="2398"/>
      <c r="N10" s="2245"/>
      <c r="O10" s="1670"/>
      <c r="P10" s="2245"/>
      <c r="Q10" s="2245"/>
      <c r="R10" s="2245"/>
    </row>
    <row r="11" spans="1:30">
      <c r="A11" s="2212" t="s">
        <v>2181</v>
      </c>
      <c r="B11" s="2213" t="s">
        <v>3389</v>
      </c>
      <c r="C11" s="2214"/>
      <c r="D11" s="2215"/>
      <c r="E11" s="2182"/>
      <c r="F11" s="2182"/>
      <c r="G11" s="2182"/>
      <c r="H11" s="2182"/>
      <c r="I11" s="2182"/>
      <c r="J11" s="2800"/>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9" t="s">
        <v>2576</v>
      </c>
      <c r="J12" s="2801"/>
      <c r="K12" s="2398"/>
      <c r="L12" s="2398"/>
      <c r="M12" s="2245"/>
      <c r="N12" s="1670"/>
      <c r="O12" s="2245"/>
      <c r="P12" s="2245"/>
      <c r="Q12" s="2245"/>
      <c r="AD12" s="1618"/>
    </row>
    <row r="13" spans="1:30">
      <c r="A13" s="3120" t="s">
        <v>3332</v>
      </c>
      <c r="B13" s="2218" t="s">
        <v>2190</v>
      </c>
      <c r="C13" s="803"/>
      <c r="D13" s="803"/>
      <c r="E13" s="803"/>
      <c r="F13" s="803"/>
      <c r="G13" s="803"/>
      <c r="H13" s="803"/>
      <c r="I13" s="803"/>
      <c r="J13" s="2801"/>
      <c r="K13" s="2398"/>
      <c r="L13" s="2398"/>
      <c r="M13" s="2245"/>
      <c r="N13" s="1670"/>
      <c r="O13" s="2245"/>
      <c r="P13" s="2245"/>
      <c r="Q13" s="2245"/>
      <c r="AD13" s="1618"/>
    </row>
    <row r="14" spans="1:30">
      <c r="A14" s="1018"/>
      <c r="B14" s="2218" t="s">
        <v>2191</v>
      </c>
      <c r="C14" s="2219"/>
      <c r="D14" s="2219"/>
      <c r="E14" s="2219"/>
      <c r="F14" s="2219"/>
      <c r="G14" s="2219"/>
      <c r="H14" s="2219"/>
      <c r="I14" s="2219"/>
      <c r="J14" s="2802"/>
      <c r="K14" s="2398"/>
      <c r="L14" s="2398"/>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2193</v>
      </c>
      <c r="B16" s="3238"/>
      <c r="C16" s="3239"/>
      <c r="D16" s="3240"/>
      <c r="E16" s="2222" t="s">
        <v>2194</v>
      </c>
      <c r="F16" s="3241"/>
      <c r="G16" s="3242"/>
      <c r="H16" s="3242"/>
      <c r="I16" s="3243"/>
      <c r="J16" s="2245"/>
      <c r="K16" s="2402"/>
      <c r="L16" s="1670"/>
      <c r="M16" s="1670"/>
      <c r="N16" s="2245"/>
      <c r="O16" s="1670"/>
      <c r="P16" s="2245"/>
      <c r="Q16" s="2245"/>
      <c r="R16" s="2245"/>
    </row>
    <row r="17" spans="1:28">
      <c r="A17" s="305" t="s">
        <v>2195</v>
      </c>
      <c r="B17" s="294" t="s">
        <v>2196</v>
      </c>
      <c r="C17" s="8">
        <f>'数据-汇总表'!E3</f>
        <v>89.54</v>
      </c>
      <c r="D17" s="1256" t="s">
        <v>2197</v>
      </c>
      <c r="E17" s="3244" t="s">
        <v>2198</v>
      </c>
      <c r="F17" s="3245"/>
      <c r="G17" s="3245"/>
      <c r="H17" s="3245"/>
      <c r="I17" s="3246"/>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47" t="s">
        <v>2202</v>
      </c>
      <c r="F18" s="3248"/>
      <c r="G18" s="3248"/>
      <c r="H18" s="3248"/>
      <c r="I18" s="3249"/>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234" t="s">
        <v>2206</v>
      </c>
      <c r="C20" s="3235"/>
      <c r="D20" s="3236" t="s">
        <v>2207</v>
      </c>
      <c r="E20" s="3237"/>
      <c r="F20" s="2429" t="s">
        <v>1056</v>
      </c>
      <c r="G20" s="2441"/>
      <c r="H20" s="2441"/>
      <c r="I20" s="2441"/>
      <c r="J20" s="2245"/>
      <c r="K20" s="32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22"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22"/>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22"/>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23"/>
      <c r="B30" s="294" t="s">
        <v>2218</v>
      </c>
      <c r="C30" s="3224"/>
      <c r="D30" s="3225"/>
      <c r="E30" s="2441"/>
      <c r="F30" s="2441"/>
      <c r="G30" s="2441"/>
      <c r="H30" s="2441"/>
      <c r="I30" s="2441"/>
      <c r="J30" s="2245"/>
      <c r="K30" s="2401"/>
      <c r="L30" s="2398"/>
      <c r="M30" s="2398"/>
      <c r="N30" s="2245"/>
      <c r="O30" s="1670"/>
      <c r="P30" s="2245"/>
      <c r="Q30" s="2245"/>
      <c r="R30" s="2245"/>
      <c r="S30" s="2245"/>
      <c r="T30" s="2245"/>
      <c r="U30" s="2245"/>
      <c r="V30" s="2245"/>
    </row>
    <row r="31" spans="1:28">
      <c r="A31" s="3226"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27"/>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27"/>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5"/>
      <c r="V34" s="2245"/>
    </row>
    <row r="35" spans="1:30">
      <c r="A35" s="2236"/>
      <c r="B35" s="3221" t="s">
        <v>2229</v>
      </c>
      <c r="C35" s="3221"/>
      <c r="D35" s="3221"/>
      <c r="E35" s="3221"/>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5"/>
      <c r="V35" s="2245"/>
    </row>
    <row r="36" spans="1:30">
      <c r="A36" s="2183"/>
      <c r="B36" s="8" t="s">
        <v>2185</v>
      </c>
      <c r="C36" s="8" t="s">
        <v>2186</v>
      </c>
      <c r="D36" s="8" t="s">
        <v>2184</v>
      </c>
      <c r="E36" s="8" t="s">
        <v>2189</v>
      </c>
      <c r="F36" s="2799" t="s">
        <v>2579</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102.22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102.22</v>
      </c>
      <c r="H5" s="13">
        <f t="shared" ref="H5:AT5" si="0">SUM(H13:H656)</f>
        <v>102.22</v>
      </c>
      <c r="I5" s="13">
        <f t="shared" si="0"/>
        <v>102.22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89.54</v>
      </c>
      <c r="BA5" s="15">
        <f t="shared" si="1"/>
        <v>89.54</v>
      </c>
      <c r="BB5" s="15">
        <f t="shared" si="1"/>
        <v>89.54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3145"/>
      <c r="C13" s="3170" t="s">
        <v>3509</v>
      </c>
      <c r="D13" s="1513" t="s">
        <v>3390</v>
      </c>
      <c r="E13" s="13">
        <f>IF($C$3="是",ROUND($A$3*G13/$B$3,2),ROUND($A$3*(G13-AT13)/$B$3,2))</f>
        <v>0</v>
      </c>
      <c r="F13" s="29"/>
      <c r="G13" s="30">
        <f>H13+AC13+AT13</f>
        <v>89.54</v>
      </c>
      <c r="H13" s="17">
        <f>SUMIF(I$12:AB$12,"总值",I13:AB13)</f>
        <v>89.54</v>
      </c>
      <c r="I13" s="1514">
        <v>89.54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办公面积</v>
      </c>
      <c r="AY13" s="1260">
        <f>ROUND($AY$6*AZ13/$AZ$5,2)</f>
        <v>0</v>
      </c>
      <c r="AZ13" s="13">
        <f>BA13+BL13</f>
        <v>89.54</v>
      </c>
      <c r="BA13" s="13">
        <f>SUM(BB13:BK13)</f>
        <v>89.54</v>
      </c>
      <c r="BB13" s="13">
        <f>IF($D13="是",I13-J13,0)</f>
        <v>89.54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3145"/>
      <c r="C14" s="3171" t="s">
        <v>3510</v>
      </c>
      <c r="D14" s="1513" t="s">
        <v>3512</v>
      </c>
      <c r="E14" s="13">
        <f>IF($C$3="是",ROUND($A$3*G14/$B$3,2),ROUND($A$3*(G14-AT14)/$B$3,2))</f>
        <v>0</v>
      </c>
      <c r="F14" s="29"/>
      <c r="G14" s="30">
        <f>H14+AC14+AT14</f>
        <v>12.68</v>
      </c>
      <c r="H14" s="17">
        <f>SUMIF(I$12:AB$12,"总值",I14:AB14)</f>
        <v>12.68</v>
      </c>
      <c r="I14" s="1514">
        <v>12.68</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灭失面积</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3145"/>
      <c r="C15" s="3143"/>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3145"/>
      <c r="C16" s="3143"/>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3145"/>
      <c r="C17" s="3143"/>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44"/>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9" t="s">
        <v>1131</v>
      </c>
      <c r="B2" s="3259"/>
      <c r="C2" s="3259"/>
      <c r="D2" s="748" t="s">
        <v>1107</v>
      </c>
      <c r="E2" s="1523" t="s">
        <v>1108</v>
      </c>
      <c r="F2" s="2438"/>
      <c r="G2" s="2431"/>
      <c r="H2" s="2432"/>
      <c r="I2" s="2146" t="s">
        <v>1132</v>
      </c>
      <c r="J2" s="2438"/>
      <c r="K2" s="2438"/>
      <c r="L2" s="2438"/>
      <c r="M2" s="2438"/>
      <c r="N2" s="2439"/>
      <c r="O2" s="2438"/>
      <c r="P2" s="2438"/>
    </row>
    <row r="3" spans="1:16" ht="15.75" thickBot="1">
      <c r="A3" s="3260" t="s">
        <v>1105</v>
      </c>
      <c r="B3" s="3260"/>
      <c r="C3" s="3260"/>
      <c r="D3" s="41">
        <f>'数据-基础表'!AY6</f>
        <v>0</v>
      </c>
      <c r="E3" s="41">
        <f>'数据-基础表'!AZ5</f>
        <v>89.54</v>
      </c>
      <c r="F3" s="2438"/>
      <c r="G3" s="42"/>
      <c r="H3" s="43" t="s">
        <v>1106</v>
      </c>
      <c r="I3" s="802" t="e">
        <f>ROUND('数据-基础表'!B3/'数据-基础表'!A3,2)</f>
        <v>#DIV/0!</v>
      </c>
      <c r="J3" s="2438"/>
      <c r="K3" s="2438"/>
      <c r="L3" s="2438"/>
      <c r="M3" s="2438"/>
      <c r="N3" s="2439"/>
      <c r="O3" s="2438"/>
      <c r="P3" s="2438"/>
    </row>
    <row r="4" spans="1:16" ht="15">
      <c r="A4" s="3261"/>
      <c r="B4" s="3262"/>
      <c r="C4" s="326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4" t="s">
        <v>1110</v>
      </c>
      <c r="C5" s="3264"/>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4" t="s">
        <v>1111</v>
      </c>
      <c r="C6" s="3264"/>
      <c r="D6" s="43">
        <f>ROUND($D$3*E6/$E$3,2)</f>
        <v>0</v>
      </c>
      <c r="E6" s="44">
        <f>E3-E5</f>
        <v>89.54</v>
      </c>
      <c r="F6" s="2438"/>
      <c r="G6" s="1529" t="s">
        <v>1112</v>
      </c>
      <c r="H6" s="45" t="s">
        <v>1113</v>
      </c>
      <c r="I6" s="2434" t="e">
        <f>ROUND(F31/D31,2)</f>
        <v>#DIV/0!</v>
      </c>
      <c r="J6" s="2438"/>
      <c r="K6" s="2438"/>
      <c r="L6" s="2438"/>
      <c r="M6" s="2438"/>
      <c r="N6" s="2438"/>
      <c r="O6" s="2438"/>
      <c r="P6" s="2438"/>
    </row>
    <row r="7" spans="1:16" ht="15.75" thickBot="1">
      <c r="A7" s="3256"/>
      <c r="B7" s="3257"/>
      <c r="C7" s="3258"/>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89.54</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89.54</v>
      </c>
      <c r="F16" s="2438"/>
      <c r="G16" s="2438"/>
      <c r="H16" s="1531" t="s">
        <v>1135</v>
      </c>
      <c r="I16" s="1532"/>
      <c r="J16" s="1071"/>
      <c r="K16" s="3253" t="s">
        <v>1135</v>
      </c>
      <c r="L16" s="3254"/>
      <c r="M16" s="3254"/>
      <c r="N16" s="3254"/>
      <c r="O16" s="3254"/>
      <c r="P16" s="3255"/>
    </row>
    <row r="17" spans="1:19" ht="15">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3392</v>
      </c>
      <c r="D19" s="43">
        <f>ROUND($D$3*E19/$E$3,2)</f>
        <v>0</v>
      </c>
      <c r="E19" s="51">
        <f t="shared" ref="E19:E26" si="1">SUM(F19:G19)</f>
        <v>89.54</v>
      </c>
      <c r="F19" s="2556">
        <f>'数据-基础表'!G13</f>
        <v>89.54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89.54</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89.54</v>
      </c>
      <c r="F27" s="1072">
        <f>IF(SUM(F19:F26)=E8,SUM(F19:F26),"地上面积有误")</f>
        <v>89.54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89.54</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89.54</v>
      </c>
      <c r="F31" s="644">
        <f>F27+F30</f>
        <v>89.54</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45601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89.54</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89.54</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c r="C19" s="2559" t="s">
        <v>2301</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c r="C20" s="2560" t="s">
        <v>2299</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c r="C33" s="2563" t="s">
        <v>3376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2293</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3377</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c r="C37" s="2563" t="s">
        <v>2295</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c r="C38" s="2563" t="s">
        <v>2295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c r="C44" s="2563" t="s">
        <v>2304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265" t="s">
        <v>2284</v>
      </c>
      <c r="B1" s="3266"/>
      <c r="C1" s="3266"/>
      <c r="D1" s="3266"/>
      <c r="E1" s="3266"/>
      <c r="F1" s="3266"/>
      <c r="G1" s="326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2252</v>
      </c>
      <c r="C3" s="2265" t="s">
        <v>2282</v>
      </c>
      <c r="D3" s="2266"/>
      <c r="E3" s="2248" t="s">
        <v>2281</v>
      </c>
      <c r="F3" s="2267" t="s">
        <v>2253</v>
      </c>
      <c r="G3" s="2268" t="s">
        <v>2283</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3168" t="s">
        <v>3513</v>
      </c>
      <c r="D5" s="2266"/>
      <c r="E5" s="2270"/>
      <c r="F5" s="315" t="s">
        <v>2259</v>
      </c>
      <c r="G5" s="2271" t="s">
        <v>2260</v>
      </c>
      <c r="H5" s="751"/>
      <c r="I5" s="751"/>
      <c r="J5" s="751"/>
      <c r="K5" s="751"/>
      <c r="L5" s="751"/>
      <c r="M5" s="751"/>
      <c r="N5" s="751"/>
      <c r="O5" s="751"/>
      <c r="P5" s="751"/>
      <c r="Q5" s="751"/>
    </row>
    <row r="6" spans="1:29" ht="96">
      <c r="A6" s="2248"/>
      <c r="B6" s="315" t="s">
        <v>2261</v>
      </c>
      <c r="C6" s="3156" t="s">
        <v>3514</v>
      </c>
      <c r="D6" s="2266"/>
      <c r="E6" s="2270"/>
      <c r="F6" s="315" t="s">
        <v>2262</v>
      </c>
      <c r="G6" s="2271" t="s">
        <v>2263</v>
      </c>
      <c r="H6" s="751"/>
      <c r="I6" s="751"/>
      <c r="J6" s="751"/>
      <c r="K6" s="751"/>
      <c r="L6" s="751"/>
      <c r="M6" s="751"/>
      <c r="N6" s="751"/>
      <c r="O6" s="751"/>
      <c r="P6" s="751"/>
      <c r="Q6" s="751"/>
    </row>
    <row r="7" spans="1:29" ht="168.75" thickBot="1">
      <c r="A7" s="2248"/>
      <c r="B7" s="315" t="s">
        <v>2259</v>
      </c>
      <c r="C7" s="3156" t="s">
        <v>3515</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72">
      <c r="A9" s="2248"/>
      <c r="B9" s="315" t="s">
        <v>2266</v>
      </c>
      <c r="C9" s="3157" t="s">
        <v>3516</v>
      </c>
      <c r="D9" s="2266"/>
      <c r="E9" s="2245"/>
      <c r="F9" s="121"/>
      <c r="G9" s="121"/>
      <c r="H9" s="751"/>
      <c r="I9" s="751"/>
      <c r="J9" s="751"/>
      <c r="K9" s="751"/>
      <c r="L9" s="751"/>
      <c r="M9" s="751"/>
      <c r="N9" s="751"/>
      <c r="O9" s="751"/>
      <c r="P9" s="751"/>
      <c r="Q9" s="751"/>
    </row>
    <row r="10" spans="1:29" ht="15" thickBot="1">
      <c r="A10" s="2249"/>
      <c r="B10" s="2275" t="s">
        <v>2267</v>
      </c>
      <c r="C10" s="3158" t="s">
        <v>3488</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2285</v>
      </c>
      <c r="B13" s="2279"/>
      <c r="C13" s="2279"/>
      <c r="D13" s="2278"/>
      <c r="E13" s="2279"/>
      <c r="F13" s="2279"/>
      <c r="G13" s="2279"/>
    </row>
    <row r="14" spans="1:29" ht="15" thickBot="1">
      <c r="A14" s="2284"/>
      <c r="B14" s="2284"/>
      <c r="C14" s="2285" t="s">
        <v>2268</v>
      </c>
      <c r="D14" s="2266"/>
      <c r="E14" s="2286"/>
      <c r="F14" s="2286"/>
      <c r="G14" s="2262" t="s">
        <v>2269</v>
      </c>
    </row>
    <row r="15" spans="1:29" ht="51">
      <c r="A15" s="2250" t="s">
        <v>2270</v>
      </c>
      <c r="B15" s="2287" t="s">
        <v>2252</v>
      </c>
      <c r="C15" s="2288" t="str">
        <f>C3</f>
        <v>估价对象周边居住用地比例、居住小区规模和社区发展完善程度，综合评价居住社区成熟度一般</v>
      </c>
      <c r="D15" s="2266"/>
      <c r="E15" s="2251" t="s">
        <v>2271</v>
      </c>
      <c r="F15" s="2287" t="s">
        <v>2272</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6"/>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估价对象位于XX商圈，周边办公楼项目较多，入驻率高，办公集聚程度较好：无</v>
      </c>
      <c r="D17" s="2245"/>
      <c r="E17" s="2253"/>
      <c r="F17" s="2292" t="s">
        <v>2273</v>
      </c>
      <c r="G17" s="2294"/>
    </row>
    <row r="18" spans="1:17" ht="102">
      <c r="A18" s="2252"/>
      <c r="B18" s="2292" t="s">
        <v>2261</v>
      </c>
      <c r="C18" s="2293" t="str">
        <f>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8" s="2245"/>
      <c r="E18" s="2253"/>
      <c r="F18" s="2292" t="s">
        <v>2264</v>
      </c>
      <c r="G18" s="2293" t="str">
        <f>G7</f>
        <v>该园区内是否有污染型企业，绿化情况，卫生条件，整体环境状况判断</v>
      </c>
    </row>
    <row r="19" spans="1:17" ht="25.5">
      <c r="A19" s="2252"/>
      <c r="B19" s="2292" t="s">
        <v>2274</v>
      </c>
      <c r="C19" s="2294"/>
      <c r="D19" s="2266"/>
      <c r="E19" s="2253"/>
      <c r="F19" s="315" t="s">
        <v>2259</v>
      </c>
      <c r="G19" s="2293" t="str">
        <f>G5</f>
        <v>估价对象所在区域公共配套设施齐备情况</v>
      </c>
    </row>
    <row r="20" spans="1:17" ht="76.5">
      <c r="A20" s="2252"/>
      <c r="B20" s="2292" t="s">
        <v>2275</v>
      </c>
      <c r="C20" s="2291" t="str">
        <f>C9</f>
        <v>区域自然环境：东沙河滨水公园、沙河大学城主题公园；人文环境：北京邮电大学（沙河校区）、北京航空航天大学（沙河校区）、北京师范大学（昌平校园）；综合评价环境状况一般</v>
      </c>
      <c r="D20" s="2245"/>
      <c r="E20" s="2253"/>
      <c r="F20" s="315" t="s">
        <v>2262</v>
      </c>
      <c r="G20" s="2293" t="str">
        <f>G6</f>
        <v>估价对象所在区域基础设施水平</v>
      </c>
    </row>
    <row r="21" spans="1:17" ht="178.5">
      <c r="A21" s="2252"/>
      <c r="B21" s="315" t="s">
        <v>2259</v>
      </c>
      <c r="C21" s="2293" t="str">
        <f>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21" s="2266"/>
      <c r="E21" s="2253"/>
      <c r="F21" s="2292" t="s">
        <v>2276</v>
      </c>
      <c r="G21" s="2295"/>
    </row>
    <row r="22" spans="1:17" ht="13.5" customHeight="1">
      <c r="A22" s="2252"/>
      <c r="B22" s="315" t="s">
        <v>2262</v>
      </c>
      <c r="C22" s="2293" t="str">
        <f>C8</f>
        <v>估价对象所在区域基础设施水平</v>
      </c>
      <c r="D22" s="2266"/>
      <c r="E22" s="2253"/>
      <c r="F22" s="2292" t="s">
        <v>2267</v>
      </c>
      <c r="G22" s="2294"/>
    </row>
    <row r="23" spans="1:17" s="751" customFormat="1" ht="15" thickBot="1">
      <c r="A23" s="2252"/>
      <c r="B23" s="2292" t="s">
        <v>2276</v>
      </c>
      <c r="C23" s="2295"/>
      <c r="D23" s="1614"/>
      <c r="E23" s="2254"/>
      <c r="F23" s="2296" t="s">
        <v>2277</v>
      </c>
      <c r="G23" s="2297"/>
      <c r="H23" s="2276"/>
      <c r="I23" s="2276"/>
      <c r="J23" s="2276"/>
      <c r="K23" s="2276"/>
      <c r="L23" s="2276"/>
      <c r="M23" s="2276"/>
      <c r="N23" s="2276"/>
      <c r="O23" s="2276"/>
      <c r="P23" s="2276"/>
      <c r="Q23" s="2276"/>
    </row>
    <row r="24" spans="1:17" s="751" customFormat="1" ht="15" thickBot="1">
      <c r="A24" s="2255"/>
      <c r="B24" s="2296" t="s">
        <v>2278</v>
      </c>
      <c r="C24" s="2298" t="str">
        <f>C10</f>
        <v>展思门路支路</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9" sqref="I9"/>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89.54</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45601</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SUM(D14:D23)</f>
        <v>1.6</v>
      </c>
      <c r="C5" s="2299">
        <f ca="1">IF(B5=D14,结果表!H102,ROUND(B5*10000/$B$1,0))</f>
        <v>0</v>
      </c>
      <c r="D5" s="2299" t="e">
        <f>ROUND(B5*10000/$B$2,0)</f>
        <v>#DIV/0!</v>
      </c>
      <c r="E5" s="2460"/>
      <c r="F5" s="2461"/>
      <c r="G5" s="2461"/>
      <c r="H5" s="2461"/>
      <c r="I5" s="2461"/>
      <c r="J5" s="2461"/>
      <c r="K5" s="2461"/>
    </row>
    <row r="6" spans="1:11" ht="16.5">
      <c r="A6" s="2299" t="s">
        <v>656</v>
      </c>
      <c r="B6" s="2299">
        <f>SUM(G14:G23)</f>
        <v>0</v>
      </c>
      <c r="C6" s="2299">
        <f ca="1">IF(B6=G14,结果表!H108,ROUND(B6*10000/$B$1,0))</f>
        <v>0</v>
      </c>
      <c r="D6" s="2299" t="e">
        <f>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0"/>
      <c r="G8" s="3169"/>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75</v>
      </c>
      <c r="C10" s="2299" t="s">
        <v>3356</v>
      </c>
      <c r="D10" s="2299" t="s">
        <v>3357</v>
      </c>
      <c r="E10" s="3135">
        <f>D14</f>
        <v>1.6</v>
      </c>
      <c r="F10" s="3139" t="s">
        <v>3358</v>
      </c>
      <c r="G10" s="3136">
        <v>7.0000000000000007E-2</v>
      </c>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'数据-汇总表'!E3</f>
        <v>89.54</v>
      </c>
      <c r="C14" s="2305"/>
      <c r="D14" s="2305">
        <f>'比较法-办公扶京门路'!C49</f>
        <v>1.6</v>
      </c>
      <c r="E14" s="2305"/>
      <c r="F14" s="2305" t="e">
        <f>ROUND(D14*10000/C14,0)</f>
        <v>#DIV/0!</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24" sqref="L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1" t="str">
        <f>项目基本情况!S2</f>
        <v>北京市昌平区沙河镇扶京门路14号房地产</v>
      </c>
      <c r="B2" s="3302"/>
      <c r="C2" s="3302"/>
      <c r="D2" s="3302"/>
      <c r="E2" s="3302"/>
      <c r="F2" s="3302"/>
      <c r="G2" s="3302"/>
      <c r="H2" s="3302"/>
      <c r="I2" s="3303"/>
    </row>
    <row r="3" spans="1:12" ht="12.75">
      <c r="A3" s="3305" t="s">
        <v>1264</v>
      </c>
      <c r="B3" s="3306"/>
      <c r="C3" s="3306"/>
      <c r="D3" s="3306"/>
      <c r="E3" s="3306"/>
      <c r="F3" s="3306"/>
      <c r="G3" s="3306"/>
      <c r="H3" s="3306"/>
      <c r="I3" s="3306"/>
    </row>
    <row r="4" spans="1:12" ht="14.25">
      <c r="A4" s="1624" t="s">
        <v>1265</v>
      </c>
      <c r="B4" s="1625" t="s">
        <v>1266</v>
      </c>
      <c r="C4" s="1626"/>
      <c r="D4" s="1626"/>
      <c r="E4" s="3307" t="s">
        <v>1267</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1" t="s">
        <v>1268</v>
      </c>
      <c r="B5" s="3268">
        <v>25</v>
      </c>
      <c r="C5" s="3284"/>
      <c r="D5" s="3304"/>
      <c r="E5" s="123" t="s">
        <v>1269</v>
      </c>
      <c r="F5" s="1627"/>
      <c r="G5" s="1627"/>
      <c r="H5" s="1627"/>
      <c r="I5" s="1281"/>
    </row>
    <row r="6" spans="1:12" ht="12.75">
      <c r="A6" s="3281"/>
      <c r="B6" s="3268"/>
      <c r="C6" s="3285"/>
      <c r="D6" s="3304"/>
      <c r="E6" s="123" t="s">
        <v>1270</v>
      </c>
      <c r="F6" s="1627"/>
      <c r="G6" s="1627"/>
      <c r="H6" s="1627"/>
      <c r="I6" s="1281"/>
    </row>
    <row r="7" spans="1:12" ht="12.75">
      <c r="A7" s="3281"/>
      <c r="B7" s="3268"/>
      <c r="C7" s="3286"/>
      <c r="D7" s="3304"/>
      <c r="E7" s="123" t="s">
        <v>1271</v>
      </c>
      <c r="F7" s="1627"/>
      <c r="G7" s="1627"/>
      <c r="H7" s="1627"/>
      <c r="I7" s="1281"/>
    </row>
    <row r="8" spans="1:12" ht="12.75">
      <c r="A8" s="3281" t="s">
        <v>1272</v>
      </c>
      <c r="B8" s="3268">
        <v>15</v>
      </c>
      <c r="C8" s="3284"/>
      <c r="D8" s="3304"/>
      <c r="E8" s="123" t="s">
        <v>1273</v>
      </c>
      <c r="F8" s="1627"/>
      <c r="G8" s="1627"/>
      <c r="H8" s="1627"/>
      <c r="I8" s="1281"/>
    </row>
    <row r="9" spans="1:12" ht="12.75">
      <c r="A9" s="3281"/>
      <c r="B9" s="3268"/>
      <c r="C9" s="3286"/>
      <c r="D9" s="3304"/>
      <c r="E9" s="123" t="s">
        <v>1274</v>
      </c>
      <c r="F9" s="1627"/>
      <c r="G9" s="1627"/>
      <c r="H9" s="1627"/>
      <c r="I9" s="1281"/>
    </row>
    <row r="10" spans="1:12" ht="12.75">
      <c r="A10" s="3281" t="s">
        <v>1275</v>
      </c>
      <c r="B10" s="3268">
        <v>15</v>
      </c>
      <c r="C10" s="3284"/>
      <c r="D10" s="3304"/>
      <c r="E10" s="123" t="s">
        <v>1276</v>
      </c>
      <c r="F10" s="1627"/>
      <c r="G10" s="1627"/>
      <c r="H10" s="1627"/>
      <c r="I10" s="1281"/>
    </row>
    <row r="11" spans="1:12" ht="12.75">
      <c r="A11" s="3281"/>
      <c r="B11" s="3268"/>
      <c r="C11" s="3286"/>
      <c r="D11" s="3304"/>
      <c r="E11" s="123" t="s">
        <v>1277</v>
      </c>
      <c r="F11" s="1627"/>
      <c r="G11" s="1627"/>
      <c r="H11" s="1627"/>
      <c r="I11" s="1281"/>
    </row>
    <row r="12" spans="1:12" ht="12.75">
      <c r="A12" s="3281" t="s">
        <v>1278</v>
      </c>
      <c r="B12" s="3268">
        <v>15</v>
      </c>
      <c r="C12" s="3284"/>
      <c r="D12" s="3304"/>
      <c r="E12" s="123" t="s">
        <v>1279</v>
      </c>
      <c r="F12" s="1627"/>
      <c r="G12" s="1627"/>
      <c r="H12" s="1627"/>
      <c r="I12" s="1281"/>
    </row>
    <row r="13" spans="1:12" ht="12.75">
      <c r="A13" s="3281"/>
      <c r="B13" s="3268"/>
      <c r="C13" s="3286"/>
      <c r="D13" s="3304"/>
      <c r="E13" s="123" t="s">
        <v>1280</v>
      </c>
      <c r="F13" s="1627"/>
      <c r="G13" s="1627"/>
      <c r="H13" s="1627"/>
      <c r="I13" s="1281"/>
    </row>
    <row r="14" spans="1:12" ht="12.75">
      <c r="A14" s="3281" t="s">
        <v>1281</v>
      </c>
      <c r="B14" s="3268">
        <v>30</v>
      </c>
      <c r="C14" s="3284"/>
      <c r="D14" s="3304"/>
      <c r="E14" s="123" t="s">
        <v>1282</v>
      </c>
      <c r="F14" s="1627"/>
      <c r="G14" s="1627"/>
      <c r="H14" s="1627"/>
      <c r="I14" s="1281"/>
    </row>
    <row r="15" spans="1:12" ht="12.75">
      <c r="A15" s="3281"/>
      <c r="B15" s="3268"/>
      <c r="C15" s="3285"/>
      <c r="D15" s="3304"/>
      <c r="E15" s="123" t="s">
        <v>1283</v>
      </c>
      <c r="F15" s="1627"/>
      <c r="G15" s="1627"/>
      <c r="H15" s="1627"/>
      <c r="I15" s="1281"/>
    </row>
    <row r="16" spans="1:12" ht="12.75">
      <c r="A16" s="3281"/>
      <c r="B16" s="3268"/>
      <c r="C16" s="3286"/>
      <c r="D16" s="3304"/>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91" t="s">
        <v>2131</v>
      </c>
      <c r="F18" s="3292"/>
      <c r="G18" s="3292"/>
      <c r="H18" s="3292"/>
      <c r="I18" s="3292"/>
      <c r="K18" s="294" t="s">
        <v>1289</v>
      </c>
      <c r="L18" s="294">
        <f>IF(C1="",'数据-汇总表'!E3,SUMIF(项目类型,C1,'数据-汇总表'!E17:E26)+SUMIF(项目类型,C1,'数据-汇总表'!I17:I26))</f>
        <v>89.54</v>
      </c>
      <c r="M18" s="294">
        <f>IF(C1="",'数据-汇总表'!E3,SUMIF(项目类型,C1,'数据-汇总表'!E17:E26))</f>
        <v>89.54</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75" t="s">
        <v>1299</v>
      </c>
      <c r="B24" s="1631" t="s">
        <v>1291</v>
      </c>
      <c r="C24" s="128">
        <f>IF(B30=0,0,D30)</f>
        <v>0</v>
      </c>
      <c r="D24" s="1637"/>
      <c r="E24" s="121"/>
      <c r="F24" s="121"/>
      <c r="G24" s="121"/>
      <c r="H24" s="121"/>
      <c r="I24" s="121"/>
    </row>
    <row r="25" spans="1:36" ht="14.25">
      <c r="A25" s="327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5" t="s">
        <v>1312</v>
      </c>
      <c r="B36" s="1652" t="s">
        <v>1313</v>
      </c>
      <c r="C36" s="137"/>
      <c r="D36" s="1653"/>
      <c r="E36" s="1567"/>
      <c r="F36" s="1654"/>
      <c r="G36" s="121"/>
      <c r="H36" s="121"/>
      <c r="I36" s="121"/>
    </row>
    <row r="37" spans="1:15" ht="15.75" thickBot="1">
      <c r="A37" s="3296"/>
      <c r="B37" s="1555" t="s">
        <v>1314</v>
      </c>
      <c r="C37" s="139"/>
      <c r="D37" s="1071"/>
      <c r="E37" s="1071"/>
      <c r="F37" s="1654"/>
      <c r="G37" s="121"/>
      <c r="H37" s="121"/>
      <c r="I37" s="121"/>
    </row>
    <row r="38" spans="1:15" ht="15.75" thickBot="1">
      <c r="A38" s="329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2" t="s">
        <v>1326</v>
      </c>
      <c r="B45" s="3273"/>
      <c r="C45" s="3274"/>
      <c r="D45" s="147" t="e">
        <f ca="1">ROUND(H101*F45,0)</f>
        <v>#REF!</v>
      </c>
      <c r="E45" s="148" t="s">
        <v>1327</v>
      </c>
      <c r="F45" s="149">
        <v>1</v>
      </c>
      <c r="G45" s="150" t="s">
        <v>1328</v>
      </c>
      <c r="H45" s="121"/>
      <c r="I45" s="121"/>
      <c r="J45" s="3350" t="s">
        <v>1329</v>
      </c>
      <c r="K45" s="3350"/>
      <c r="L45" s="3350"/>
      <c r="M45" s="3350"/>
      <c r="N45" s="3350"/>
      <c r="O45" s="3350"/>
    </row>
    <row r="46" spans="1:15" ht="14.25" customHeight="1">
      <c r="A46" s="3269" t="s">
        <v>1330</v>
      </c>
      <c r="B46" s="3270"/>
      <c r="C46" s="3270"/>
      <c r="D46" s="3270"/>
      <c r="E46" s="3270"/>
      <c r="F46" s="3270"/>
      <c r="G46" s="3271"/>
      <c r="H46" s="1668"/>
      <c r="I46" s="151"/>
      <c r="J46" s="2309">
        <v>1</v>
      </c>
      <c r="K46" s="3331" t="s">
        <v>1331</v>
      </c>
      <c r="L46" s="3331"/>
      <c r="M46" s="3351"/>
      <c r="N46" s="3351"/>
      <c r="O46" s="3351"/>
    </row>
    <row r="47" spans="1:15" ht="12" customHeight="1">
      <c r="A47" s="152" t="s">
        <v>1332</v>
      </c>
      <c r="B47" s="153"/>
      <c r="C47" s="154"/>
      <c r="D47" s="1024" t="s">
        <v>1333</v>
      </c>
      <c r="E47" s="294" t="s">
        <v>1334</v>
      </c>
      <c r="F47" s="155" t="s">
        <v>1335</v>
      </c>
      <c r="G47" s="2332" t="s">
        <v>1336</v>
      </c>
      <c r="H47" s="2333"/>
      <c r="I47" s="151"/>
      <c r="J47" s="2309">
        <v>2</v>
      </c>
      <c r="K47" s="3331" t="s">
        <v>1337</v>
      </c>
      <c r="L47" s="3331"/>
      <c r="M47" s="3352">
        <f>'数据-取费表'!B2</f>
        <v>45601</v>
      </c>
      <c r="N47" s="3352"/>
      <c r="O47" s="3352"/>
    </row>
    <row r="48" spans="1:15" ht="25.5">
      <c r="A48" s="3300" t="s">
        <v>1338</v>
      </c>
      <c r="B48" s="3283"/>
      <c r="C48" s="3283"/>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331" t="s">
        <v>1340</v>
      </c>
      <c r="L48" s="3331"/>
      <c r="M48" s="3353" t="e">
        <f ca="1">H101</f>
        <v>#REF!</v>
      </c>
      <c r="N48" s="3353"/>
      <c r="O48" s="3353"/>
    </row>
    <row r="49" spans="1:35" ht="25.5" customHeight="1">
      <c r="A49" s="2152" t="s">
        <v>1341</v>
      </c>
      <c r="B49" s="3267" t="s">
        <v>1342</v>
      </c>
      <c r="C49" s="3267"/>
      <c r="D49" s="1478">
        <v>0</v>
      </c>
      <c r="E49" s="316" t="s">
        <v>1343</v>
      </c>
      <c r="F49" s="2233" t="s">
        <v>28</v>
      </c>
      <c r="G49" s="3337"/>
      <c r="H49" s="2134" t="s">
        <v>2134</v>
      </c>
      <c r="I49" s="2135"/>
      <c r="J49" s="2309">
        <v>4</v>
      </c>
      <c r="K49" s="3331" t="str">
        <f>IF(项目基本情况!E8="房地产抵押价值","房地产抵押价值","抵押担保权已注销时的房地产抵押价值")</f>
        <v>抵押担保权已注销时的房地产抵押价值</v>
      </c>
      <c r="L49" s="3331"/>
      <c r="M49" s="3353" t="str">
        <f>IF(项目基本情况!E8="房地产抵押价值",H107,H109)</f>
        <v>——</v>
      </c>
      <c r="N49" s="3353"/>
      <c r="O49" s="3353"/>
    </row>
    <row r="50" spans="1:35" ht="25.5" customHeight="1">
      <c r="A50" s="2337"/>
      <c r="B50" s="3267" t="s">
        <v>1344</v>
      </c>
      <c r="C50" s="3267"/>
      <c r="D50" s="2189"/>
      <c r="E50" s="323"/>
      <c r="F50" s="2233"/>
      <c r="G50" s="3338"/>
      <c r="H50" s="2136" t="s">
        <v>2135</v>
      </c>
      <c r="I50" s="2135"/>
      <c r="J50" s="3350" t="s">
        <v>1345</v>
      </c>
      <c r="K50" s="3350"/>
      <c r="L50" s="3350"/>
      <c r="M50" s="3350"/>
      <c r="N50" s="3350"/>
      <c r="O50" s="3350"/>
    </row>
    <row r="51" spans="1:35" ht="20.45" customHeight="1">
      <c r="A51" s="2338"/>
      <c r="B51" s="3267" t="s">
        <v>1346</v>
      </c>
      <c r="C51" s="3267"/>
      <c r="D51" s="1024"/>
      <c r="E51" s="319"/>
      <c r="F51" s="2233"/>
      <c r="G51" s="3339"/>
      <c r="H51" s="2136" t="s">
        <v>2136</v>
      </c>
      <c r="I51" s="2135"/>
      <c r="J51" s="2310" t="s">
        <v>1347</v>
      </c>
      <c r="K51" s="3331" t="s">
        <v>1348</v>
      </c>
      <c r="L51" s="3331"/>
      <c r="M51" s="2310" t="s">
        <v>1349</v>
      </c>
      <c r="N51" s="2310" t="s">
        <v>1350</v>
      </c>
      <c r="O51" s="2310" t="s">
        <v>1351</v>
      </c>
    </row>
    <row r="52" spans="1:35" ht="24" customHeight="1">
      <c r="A52" s="2153" t="s">
        <v>1352</v>
      </c>
      <c r="B52" s="3267" t="s">
        <v>1353</v>
      </c>
      <c r="C52" s="3267"/>
      <c r="D52" s="1024" t="e">
        <f ca="1">ROUND(D45*'数据-取费表'!B41/(1+'数据-取费表'!C42),0)</f>
        <v>#REF!</v>
      </c>
      <c r="E52" s="1256" t="s">
        <v>1354</v>
      </c>
      <c r="F52" s="2339">
        <f>'数据-取费表'!B41</f>
        <v>0</v>
      </c>
      <c r="G52" s="2340"/>
      <c r="H52" s="2330"/>
      <c r="I52" s="1669"/>
      <c r="J52" s="2309">
        <v>1</v>
      </c>
      <c r="K52" s="3332" t="s">
        <v>1355</v>
      </c>
      <c r="L52" s="3332"/>
      <c r="M52" s="2311" t="b">
        <f>D48</f>
        <v>0</v>
      </c>
      <c r="N52" s="2309" t="str">
        <f>E48</f>
        <v>销售额×税（费）率</v>
      </c>
      <c r="O52" s="2312">
        <f>F48</f>
        <v>0</v>
      </c>
    </row>
    <row r="53" spans="1:35" ht="12" customHeight="1">
      <c r="A53" s="2153" t="s">
        <v>1356</v>
      </c>
      <c r="B53" s="3293" t="s">
        <v>2289</v>
      </c>
      <c r="C53" s="3294"/>
      <c r="D53" s="1024" t="e">
        <f ca="1">ROUND(D45*'数据-取费表'!B41/(1+'数据-取费表'!C42),0)</f>
        <v>#REF!</v>
      </c>
      <c r="E53" s="1256" t="s">
        <v>1354</v>
      </c>
      <c r="F53" s="2339">
        <f>'数据-取费表'!B41</f>
        <v>0</v>
      </c>
      <c r="G53" s="2340"/>
      <c r="H53" s="2330"/>
      <c r="I53" s="1669"/>
      <c r="J53" s="2309">
        <v>2</v>
      </c>
      <c r="K53" s="3332" t="s">
        <v>1357</v>
      </c>
      <c r="L53" s="3332"/>
      <c r="M53" s="2311" t="e">
        <f t="shared" ref="M53:O54" ca="1" si="0">D55</f>
        <v>#REF!</v>
      </c>
      <c r="N53" s="2309" t="str">
        <f t="shared" si="0"/>
        <v>销售额×税（费）率</v>
      </c>
      <c r="O53" s="2312" t="str">
        <f t="shared" si="0"/>
        <v>免征</v>
      </c>
    </row>
    <row r="54" spans="1:35" ht="12" customHeight="1">
      <c r="A54" s="2153" t="s">
        <v>1358</v>
      </c>
      <c r="B54" s="3293" t="s">
        <v>2290</v>
      </c>
      <c r="C54" s="3294"/>
      <c r="D54" s="1024" t="e">
        <f ca="1">C68</f>
        <v>#REF!</v>
      </c>
      <c r="E54" s="319" t="s">
        <v>1359</v>
      </c>
      <c r="F54" s="2339">
        <f>'数据-取费表'!B41</f>
        <v>0</v>
      </c>
      <c r="G54" s="2340"/>
      <c r="H54" s="2341"/>
      <c r="I54" s="1669"/>
      <c r="J54" s="2309">
        <v>3</v>
      </c>
      <c r="K54" s="3332" t="s">
        <v>1360</v>
      </c>
      <c r="L54" s="3332"/>
      <c r="M54" s="2311" t="e">
        <f t="shared" ca="1" si="0"/>
        <v>#REF!</v>
      </c>
      <c r="N54" s="2309" t="str">
        <f t="shared" si="0"/>
        <v>增值额×税（费）率</v>
      </c>
      <c r="O54" s="2313" t="str">
        <f t="shared" si="0"/>
        <v>免征</v>
      </c>
    </row>
    <row r="55" spans="1:35" ht="24" customHeight="1">
      <c r="A55" s="3282" t="s">
        <v>1361</v>
      </c>
      <c r="B55" s="3283"/>
      <c r="C55" s="3283"/>
      <c r="D55" s="12" t="e">
        <f ca="1">IF(H55="个人住宅",0,ROUND(D45*I55,0))</f>
        <v>#REF!</v>
      </c>
      <c r="E55" s="1256" t="s">
        <v>1362</v>
      </c>
      <c r="F55" s="2339" t="str">
        <f>IF(H55="正常",I55,"免征")</f>
        <v>免征</v>
      </c>
      <c r="G55" s="2340"/>
      <c r="H55" s="2336"/>
      <c r="I55" s="157">
        <f>'数据-取费表'!B49</f>
        <v>0</v>
      </c>
      <c r="J55" s="2309">
        <f>IF(H59="非个人房产","",4)</f>
        <v>4</v>
      </c>
      <c r="K55" s="3332" t="str">
        <f>IF(H59="非个人房产","——","个人所得税")</f>
        <v>个人所得税</v>
      </c>
      <c r="L55" s="3332"/>
      <c r="M55" s="2314" t="e">
        <f ca="1">D59</f>
        <v>#REF!</v>
      </c>
      <c r="N55" s="1883" t="str">
        <f>E59</f>
        <v>差额计税</v>
      </c>
      <c r="O55" s="2315">
        <f>F59</f>
        <v>0.01</v>
      </c>
    </row>
    <row r="56" spans="1:35" ht="24.75">
      <c r="A56" s="3282" t="s">
        <v>1363</v>
      </c>
      <c r="B56" s="3283"/>
      <c r="C56" s="3283"/>
      <c r="D56" s="12" t="e">
        <f ca="1">IF(H56="个人住宅",D57,D58)</f>
        <v>#REF!</v>
      </c>
      <c r="E56" s="1256" t="s">
        <v>1364</v>
      </c>
      <c r="F56" s="2339" t="str">
        <f>IF(H56="正常",F58,"免征")</f>
        <v>免征</v>
      </c>
      <c r="G56" s="2342" t="s">
        <v>1365</v>
      </c>
      <c r="H56" s="2343"/>
      <c r="I56" s="1670"/>
      <c r="J56" s="2309" t="str">
        <f>IF(项目基本情况!K6="上海银行",IF(J55="",4,J55+1),"")</f>
        <v/>
      </c>
      <c r="K56" s="3355" t="str">
        <f>IF(项目基本情况!K6="上海银行","其他处置费用","")</f>
        <v/>
      </c>
      <c r="L56" s="3356"/>
      <c r="M56" s="2311" t="str">
        <f>IF(项目基本情况!K6="上海银行",M69,"")</f>
        <v/>
      </c>
      <c r="N56" s="3355" t="str">
        <f>IF(项目基本情况!K6="上海银行","包含处置中涉及的律师、诉讼、拍卖、评估等费用","")</f>
        <v/>
      </c>
      <c r="O56" s="3358"/>
    </row>
    <row r="57" spans="1:35" ht="12.75">
      <c r="A57" s="2153" t="s">
        <v>1341</v>
      </c>
      <c r="B57" s="3293" t="s">
        <v>1366</v>
      </c>
      <c r="C57" s="3294"/>
      <c r="D57" s="1478">
        <v>0</v>
      </c>
      <c r="E57" s="316" t="s">
        <v>1343</v>
      </c>
      <c r="F57" s="294"/>
      <c r="G57" s="2340"/>
      <c r="H57" s="2344"/>
      <c r="I57" s="1670"/>
      <c r="J57" s="3332">
        <f>IF(AND(J55="",J56=""),4,IF(项目基本情况!K6="上海银行",结果表!J56+1,结果表!J55+1))</f>
        <v>5</v>
      </c>
      <c r="K57" s="3332" t="s">
        <v>1367</v>
      </c>
      <c r="L57" s="2316" t="s">
        <v>1368</v>
      </c>
      <c r="M57" s="2317"/>
      <c r="N57" s="2318">
        <f ca="1">SUMIF(M52:M56,"&lt;9e307")</f>
        <v>0</v>
      </c>
      <c r="O57" s="2319"/>
      <c r="P57" s="2463" t="e">
        <f ca="1">N57/M49</f>
        <v>#VALUE!</v>
      </c>
    </row>
    <row r="58" spans="1:35" ht="24.75">
      <c r="A58" s="2153" t="s">
        <v>1352</v>
      </c>
      <c r="B58" s="3293" t="s">
        <v>1369</v>
      </c>
      <c r="C58" s="3267"/>
      <c r="D58" s="12" t="e">
        <f ca="1">IF(H58="转让取得",C81,C97)</f>
        <v>#REF!</v>
      </c>
      <c r="E58" s="1256" t="s">
        <v>1364</v>
      </c>
      <c r="F58" s="294" t="s">
        <v>28</v>
      </c>
      <c r="G58" s="2340"/>
      <c r="H58" s="2343"/>
      <c r="I58" s="1670"/>
      <c r="J58" s="3332"/>
      <c r="K58" s="3332"/>
      <c r="L58" s="2316" t="s">
        <v>1370</v>
      </c>
      <c r="M58" s="2320"/>
      <c r="N58" s="2321" t="str">
        <f ca="1">NUMBERSTRING(INT(N57*10000),2)&amp;"元整"</f>
        <v>零元整</v>
      </c>
      <c r="O58" s="2322"/>
    </row>
    <row r="59" spans="1:35" ht="24.75" thickBot="1">
      <c r="A59" s="3335" t="s">
        <v>1371</v>
      </c>
      <c r="B59" s="3336"/>
      <c r="C59" s="3336"/>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33">
        <f>J57+1</f>
        <v>6</v>
      </c>
      <c r="K59" s="3332" t="s">
        <v>1372</v>
      </c>
      <c r="L59" s="2309" t="s">
        <v>1368</v>
      </c>
      <c r="M59" s="2323"/>
      <c r="N59" s="2324" t="e">
        <f ca="1">M49-N57</f>
        <v>#VALUE!</v>
      </c>
      <c r="O59" s="2325"/>
    </row>
    <row r="60" spans="1:35" ht="12" customHeight="1">
      <c r="A60" s="1671"/>
      <c r="B60" s="646"/>
      <c r="C60" s="646"/>
      <c r="D60" s="646"/>
      <c r="E60" s="1466"/>
      <c r="F60" s="1670"/>
      <c r="G60" s="1670"/>
      <c r="H60" s="151"/>
      <c r="I60" s="121"/>
      <c r="J60" s="3334"/>
      <c r="K60" s="3332"/>
      <c r="L60" s="2316" t="s">
        <v>1370</v>
      </c>
      <c r="M60" s="2320"/>
      <c r="N60" s="2321" t="e">
        <f ca="1">NUMBERSTRING(INT(N59*10000),2)&amp;"元整"</f>
        <v>#VALUE!</v>
      </c>
      <c r="O60" s="2322"/>
    </row>
    <row r="61" spans="1:35" ht="13.5" thickBot="1">
      <c r="A61" s="3280" t="s">
        <v>1373</v>
      </c>
      <c r="B61" s="3280"/>
      <c r="C61" s="3280"/>
      <c r="D61" s="3280"/>
      <c r="E61" s="3280"/>
      <c r="F61" s="1670"/>
      <c r="G61" s="1670"/>
      <c r="H61" s="151"/>
      <c r="I61" s="121"/>
      <c r="J61" s="2309">
        <f>J59+1</f>
        <v>7</v>
      </c>
      <c r="K61" s="3332" t="s">
        <v>1374</v>
      </c>
      <c r="L61" s="3332"/>
      <c r="M61" s="2326"/>
      <c r="N61" s="2327" t="e">
        <f ca="1">ROUND(N59*10000/'数据-汇总表'!E3,0)</f>
        <v>#VALUE!</v>
      </c>
      <c r="O61" s="2328"/>
    </row>
    <row r="62" spans="1:35" ht="12.75">
      <c r="A62" s="3298" t="s">
        <v>1375</v>
      </c>
      <c r="B62" s="3299"/>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5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5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5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57"/>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5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5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57"/>
      <c r="K69" s="1245" t="s">
        <v>1393</v>
      </c>
      <c r="L69" s="1245"/>
      <c r="M69" s="294" t="e">
        <f>ROUND(SUM(M63:M68),0)</f>
        <v>#VALUE!</v>
      </c>
      <c r="N69" s="2331" t="e">
        <f>M69/M49</f>
        <v>#VALUE!</v>
      </c>
      <c r="Z69" s="1623"/>
      <c r="AI69" s="1561"/>
    </row>
    <row r="70" spans="1:35" s="642" customFormat="1" ht="15"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3" t="s">
        <v>1402</v>
      </c>
      <c r="F76" s="3267"/>
      <c r="G76" s="3267"/>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77" t="s">
        <v>1406</v>
      </c>
      <c r="F78" s="3278"/>
      <c r="G78" s="3278"/>
      <c r="H78" s="328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59" t="s">
        <v>2129</v>
      </c>
      <c r="H90" s="3360"/>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7" t="s">
        <v>1419</v>
      </c>
      <c r="F91" s="3278"/>
      <c r="G91" s="327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7" t="s">
        <v>1422</v>
      </c>
      <c r="F92" s="3278"/>
      <c r="G92" s="3278"/>
      <c r="H92" s="3287"/>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77" t="s">
        <v>1406</v>
      </c>
      <c r="F93" s="3278"/>
      <c r="G93" s="3278"/>
      <c r="H93" s="328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8" t="s">
        <v>1426</v>
      </c>
      <c r="F94" s="3289"/>
      <c r="G94" s="3289"/>
      <c r="H94" s="329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79"/>
      <c r="E100" s="3262" t="s">
        <v>1429</v>
      </c>
      <c r="F100" s="3262"/>
      <c r="G100" s="3262"/>
      <c r="H100" s="3279"/>
      <c r="I100" s="121"/>
    </row>
    <row r="101" spans="1:35" ht="18.75" customHeight="1">
      <c r="A101" s="3340" t="s">
        <v>1430</v>
      </c>
      <c r="B101" s="3341"/>
      <c r="C101" s="2370">
        <f>C4</f>
        <v>0</v>
      </c>
      <c r="D101" s="2371">
        <f>D4</f>
        <v>0</v>
      </c>
      <c r="E101" s="3354" t="s">
        <v>1431</v>
      </c>
      <c r="F101" s="3311"/>
      <c r="G101" s="1687" t="s">
        <v>1432</v>
      </c>
      <c r="H101" s="2380" t="e">
        <f ca="1">H118</f>
        <v>#REF!</v>
      </c>
      <c r="I101" s="121"/>
    </row>
    <row r="102" spans="1:35" ht="18.75" customHeight="1">
      <c r="A102" s="3313" t="s">
        <v>1433</v>
      </c>
      <c r="B102" s="2369" t="s">
        <v>1432</v>
      </c>
      <c r="C102" s="2370" t="e">
        <f ca="1">IF(D32="楼面单价",ROUND(C19,0),C19)</f>
        <v>#REF!</v>
      </c>
      <c r="D102" s="2371" t="e">
        <f ca="1">IF(D32="楼面单价",ROUND(D19,0),D19)</f>
        <v>#REF!</v>
      </c>
      <c r="E102" s="3354"/>
      <c r="F102" s="3311"/>
      <c r="G102" s="1687" t="s">
        <v>1434</v>
      </c>
      <c r="H102" s="2340" t="e">
        <f ca="1">I118</f>
        <v>#REF!</v>
      </c>
      <c r="I102" s="121"/>
    </row>
    <row r="103" spans="1:35" ht="42.75" customHeight="1">
      <c r="A103" s="3313"/>
      <c r="B103" s="2369" t="s">
        <v>1434</v>
      </c>
      <c r="C103" s="2372" t="e">
        <f ca="1">C20</f>
        <v>#REF!</v>
      </c>
      <c r="D103" s="2373" t="e">
        <f ca="1">D20</f>
        <v>#REF!</v>
      </c>
      <c r="E103" s="3348" t="s">
        <v>1435</v>
      </c>
      <c r="F103" s="3349"/>
      <c r="G103" s="1688" t="s">
        <v>1436</v>
      </c>
      <c r="H103" s="2380">
        <f>IF(D36="正常操作",H104+H105+H106,H105+H106)</f>
        <v>0</v>
      </c>
      <c r="I103" s="121"/>
    </row>
    <row r="104" spans="1:35" ht="18.75" customHeight="1">
      <c r="A104" s="3313"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14"/>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0" t="str">
        <f>IF(项目基本情况!E8="已注销","——","3.房地产抵押价值")</f>
        <v>3.房地产抵押价值</v>
      </c>
      <c r="F107" s="3311"/>
      <c r="G107" s="1687" t="s">
        <v>1432</v>
      </c>
      <c r="H107" s="2380" t="e">
        <f ca="1">IF(E107="——","——",H101-H103)</f>
        <v>#REF!</v>
      </c>
      <c r="I107" s="121"/>
    </row>
    <row r="108" spans="1:35" ht="18.75" customHeight="1">
      <c r="A108" s="121"/>
      <c r="B108" s="121"/>
      <c r="C108" s="121"/>
      <c r="D108" s="121"/>
      <c r="E108" s="3310"/>
      <c r="F108" s="3311"/>
      <c r="G108" s="1687" t="s">
        <v>1434</v>
      </c>
      <c r="H108" s="2340">
        <f ca="1">IF(H107=H101,H102,ROUND(H107*10000/'数据-汇总表'!E3,0))</f>
        <v>0</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7" t="s">
        <v>1432</v>
      </c>
      <c r="H109" s="2383" t="str">
        <f>IF(E109="——","——",H101-H105-H106)</f>
        <v>——</v>
      </c>
      <c r="I109" s="121"/>
    </row>
    <row r="110" spans="1:35" ht="18.75" customHeight="1">
      <c r="A110" s="121"/>
      <c r="B110" s="121"/>
      <c r="C110" s="121"/>
      <c r="D110" s="121"/>
      <c r="E110" s="3310"/>
      <c r="F110" s="3311"/>
      <c r="G110" s="1687" t="s">
        <v>1434</v>
      </c>
      <c r="H110" s="2340"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7" t="s">
        <v>1432</v>
      </c>
      <c r="H111" s="2380" t="str">
        <f>IF(E111="——","——",N59)</f>
        <v>——</v>
      </c>
      <c r="I111" s="121"/>
    </row>
    <row r="112" spans="1:35" ht="18.75" customHeight="1" thickBot="1">
      <c r="A112" s="121"/>
      <c r="B112" s="121"/>
      <c r="C112" s="121"/>
      <c r="D112" s="121"/>
      <c r="E112" s="3343"/>
      <c r="F112" s="3344"/>
      <c r="G112" s="1690" t="s">
        <v>1434</v>
      </c>
      <c r="H112" s="2384"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50" t="s">
        <v>1449</v>
      </c>
      <c r="E117" s="2150" t="s">
        <v>1450</v>
      </c>
      <c r="F117" s="2150" t="s">
        <v>1449</v>
      </c>
      <c r="G117" s="2150" t="s">
        <v>1451</v>
      </c>
      <c r="H117" s="2150" t="s">
        <v>1449</v>
      </c>
      <c r="I117" s="2150" t="s">
        <v>1451</v>
      </c>
    </row>
    <row r="118" spans="1:27" ht="24.75" customHeight="1">
      <c r="A118" s="2385" t="str">
        <f>项目基本情况!S2</f>
        <v>北京市昌平区沙河镇扶京门路14号房地产</v>
      </c>
      <c r="B118" s="2150">
        <f>M18</f>
        <v>89.54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1" t="s">
        <v>1452</v>
      </c>
      <c r="B119" s="3281"/>
      <c r="C119" s="3281"/>
      <c r="D119" s="3321" t="e">
        <f ca="1">NUMBERSTRING(INT(D118*10000),2)&amp;"元整"</f>
        <v>#REF!</v>
      </c>
      <c r="E119" s="3323"/>
      <c r="F119" s="3321" t="e">
        <f ca="1">NUMBERSTRING(INT(F118*10000),2)&amp;"元整"</f>
        <v>#REF!</v>
      </c>
      <c r="G119" s="3323"/>
      <c r="H119" s="3321" t="e">
        <f ca="1">NUMBERSTRING(INT(H118*10000),2)&amp;"元整"</f>
        <v>#REF!</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1" t="s">
        <v>1452</v>
      </c>
      <c r="B121" s="3322"/>
      <c r="C121" s="3323"/>
      <c r="D121" s="3321" t="str">
        <f>IF(D120=0,"零元整",NUMBERSTRING(INT(D120*10000),2)&amp;"元整")</f>
        <v>零元整</v>
      </c>
      <c r="E121" s="3322"/>
      <c r="F121" s="3322"/>
      <c r="G121" s="3322"/>
      <c r="H121" s="3322"/>
      <c r="I121" s="3323"/>
      <c r="AA121" s="684"/>
    </row>
    <row r="122" spans="1:27" ht="18.75" customHeight="1">
      <c r="A122" s="3312" t="str">
        <f>IF(项目基本情况!B9="房地产市场价值","",MID(E107,3,LEN(E107)-2))</f>
        <v>房地产抵押价值</v>
      </c>
      <c r="B122" s="3312"/>
      <c r="C122" s="3312"/>
      <c r="D122" s="3345" t="e">
        <f ca="1">H107</f>
        <v>#REF!</v>
      </c>
      <c r="E122" s="3346"/>
      <c r="F122" s="3346"/>
      <c r="G122" s="3346"/>
      <c r="H122" s="3346"/>
      <c r="I122" s="3347"/>
      <c r="AA122" s="684"/>
    </row>
    <row r="123" spans="1:27" ht="18.75" customHeight="1">
      <c r="A123" s="3281" t="s">
        <v>1452</v>
      </c>
      <c r="B123" s="3281"/>
      <c r="C123" s="3281"/>
      <c r="D123" s="3321" t="e">
        <f ca="1">NUMBERSTRING(INT(D122*10000),2)&amp;"元整"</f>
        <v>#REF!</v>
      </c>
      <c r="E123" s="3322"/>
      <c r="F123" s="3322"/>
      <c r="G123" s="3322"/>
      <c r="H123" s="3322"/>
      <c r="I123" s="3323"/>
      <c r="AA123" s="684"/>
    </row>
    <row r="124" spans="1:27" ht="18.75" customHeight="1">
      <c r="A124" s="3312" t="str">
        <f>IF(项目基本情况!B9="房地产市场价值","",MID(E109,3,LEN(E109)-2))</f>
        <v/>
      </c>
      <c r="B124" s="3312"/>
      <c r="C124" s="3312"/>
      <c r="D124" s="3345" t="str">
        <f>H109</f>
        <v>——</v>
      </c>
      <c r="E124" s="3346"/>
      <c r="F124" s="3346"/>
      <c r="G124" s="3346"/>
      <c r="H124" s="3346"/>
      <c r="I124" s="3347"/>
      <c r="AA124" s="684"/>
    </row>
    <row r="125" spans="1:27" ht="18.75" customHeight="1">
      <c r="A125" s="3281" t="s">
        <v>1452</v>
      </c>
      <c r="B125" s="3281"/>
      <c r="C125" s="3281"/>
      <c r="D125" s="3321" t="e">
        <f>NUMBERSTRING(INT(D124*10000),2)&amp;"元整"</f>
        <v>#VALUE!</v>
      </c>
      <c r="E125" s="3322"/>
      <c r="F125" s="3322"/>
      <c r="G125" s="3322"/>
      <c r="H125" s="3322"/>
      <c r="I125" s="3323"/>
      <c r="AA125" s="684"/>
    </row>
    <row r="126" spans="1:27" ht="18.75" customHeight="1">
      <c r="A126" s="3312" t="str">
        <f>IF(项目基本情况!B9="房地产市场价值","",MID(E111,3,LEN(E111)-2))</f>
        <v/>
      </c>
      <c r="B126" s="3312"/>
      <c r="C126" s="3312"/>
      <c r="D126" s="3345" t="str">
        <f>H111</f>
        <v>——</v>
      </c>
      <c r="E126" s="3346"/>
      <c r="F126" s="3346"/>
      <c r="G126" s="3346"/>
      <c r="H126" s="3346"/>
      <c r="I126" s="3347"/>
      <c r="AA126" s="684"/>
    </row>
    <row r="127" spans="1:27" ht="18.75" customHeight="1">
      <c r="A127" s="3281" t="s">
        <v>1452</v>
      </c>
      <c r="B127" s="3281"/>
      <c r="C127" s="3281"/>
      <c r="D127" s="3321" t="e">
        <f>NUMBERSTRING(INT(D126*10000),2)&amp;"元整"</f>
        <v>#VALUE!</v>
      </c>
      <c r="E127" s="3322"/>
      <c r="F127" s="3322"/>
      <c r="G127" s="3322"/>
      <c r="H127" s="3322"/>
      <c r="I127" s="3323"/>
      <c r="AA127" s="684"/>
    </row>
    <row r="128" spans="1:27" ht="21.75" customHeight="1">
      <c r="A128" s="3328" t="s">
        <v>1453</v>
      </c>
      <c r="B128" s="3328"/>
      <c r="C128" s="3328"/>
      <c r="D128" s="3328"/>
      <c r="E128" s="3328"/>
      <c r="F128" s="3328"/>
      <c r="G128" s="3328"/>
      <c r="H128" s="3328"/>
      <c r="I128" s="332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89.54</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89.54</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89.54</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61" t="s">
        <v>1544</v>
      </c>
    </row>
    <row r="43" spans="1:7" ht="13.5" customHeight="1">
      <c r="A43" s="734" t="s">
        <v>347</v>
      </c>
      <c r="B43" s="207" t="s">
        <v>1545</v>
      </c>
      <c r="C43" s="230" t="e">
        <f ca="1">ROUND(IF('数据-取费表'!B22&lt;=1,C39*F22*'数据-取费表'!B21/2,C39*(POWER((1+F22),'数据-取费表'!B21/2)-1)),0)</f>
        <v>#VALUE!</v>
      </c>
      <c r="D43" s="230"/>
      <c r="E43" s="230"/>
      <c r="F43" s="231"/>
      <c r="G43" s="3362"/>
    </row>
    <row r="44" spans="1:7" ht="13.5" customHeight="1">
      <c r="A44" s="734" t="s">
        <v>348</v>
      </c>
      <c r="B44" s="207" t="s">
        <v>1546</v>
      </c>
      <c r="C44" s="230" t="e">
        <f ca="1">ROUND(IF('数据-取费表'!B22&lt;=1,C40*F22*'数据-取费表'!B21/2,C40*(POWER((1+F22),'数据-取费表'!B21/2)-1)),4)</f>
        <v>#VALUE!</v>
      </c>
      <c r="D44" s="230"/>
      <c r="E44" s="230"/>
      <c r="F44" s="231"/>
      <c r="G44" s="336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北京市昌平区沙河镇扶京门路14号预评估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89.54</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89.54</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89.54</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61" t="s">
        <v>1591</v>
      </c>
    </row>
    <row r="43" spans="1:7" ht="13.5" customHeight="1">
      <c r="A43" s="734" t="s">
        <v>347</v>
      </c>
      <c r="B43" s="207" t="s">
        <v>1545</v>
      </c>
      <c r="C43" s="230" t="e">
        <f ca="1">ROUND(IF('数据-取费表'!B22&lt;=1,C39*F22*'数据-取费表'!B20/2,C39*(POWER((1+F22),'数据-取费表'!B20/2)-1)),0)</f>
        <v>#VALUE!</v>
      </c>
      <c r="D43" s="230"/>
      <c r="E43" s="230"/>
      <c r="F43" s="231"/>
      <c r="G43" s="3362"/>
    </row>
    <row r="44" spans="1:7" ht="13.5" customHeight="1">
      <c r="A44" s="734" t="s">
        <v>348</v>
      </c>
      <c r="B44" s="207" t="s">
        <v>1546</v>
      </c>
      <c r="C44" s="230" t="e">
        <f ca="1">ROUND(IF('数据-取费表'!B22&lt;=1,C40*F22*'数据-取费表'!B20/2,C40*(POWER((1+F22),'数据-取费表'!B20/2)-1)),4)</f>
        <v>#VALUE!</v>
      </c>
      <c r="D44" s="230"/>
      <c r="E44" s="230"/>
      <c r="F44" s="231"/>
      <c r="G44" s="336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89.54</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89.54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89.54</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0</v>
      </c>
      <c r="D6" s="147" t="s">
        <v>2106</v>
      </c>
      <c r="E6" s="294" t="s">
        <v>696</v>
      </c>
      <c r="F6" s="295">
        <f ca="1">INDIRECT("'数据-取费表'!u"&amp;$G$1)</f>
        <v>0</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3359</v>
      </c>
      <c r="E2" s="3138"/>
      <c r="F2" s="2596"/>
      <c r="G2" s="2597"/>
      <c r="H2" s="2598"/>
      <c r="I2" s="2599"/>
      <c r="J2" s="3375" t="s">
        <v>2317</v>
      </c>
      <c r="K2" s="3376"/>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77" t="s">
        <v>2327</v>
      </c>
      <c r="K3" s="3378"/>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77" t="s">
        <v>2329</v>
      </c>
      <c r="K4" s="3378"/>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83" t="s">
        <v>2333</v>
      </c>
      <c r="B6" s="3384"/>
      <c r="C6" s="3385"/>
      <c r="D6" s="2620"/>
      <c r="E6" s="2621"/>
      <c r="F6" s="2622"/>
      <c r="G6" s="2623"/>
      <c r="H6" s="2598"/>
      <c r="I6" s="2599"/>
      <c r="J6" s="3369">
        <v>1</v>
      </c>
      <c r="K6" s="3370"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69"/>
      <c r="K7" s="3371"/>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86" t="s">
        <v>2347</v>
      </c>
      <c r="C8" s="3387"/>
      <c r="D8" s="2639" t="s">
        <v>2348</v>
      </c>
      <c r="E8" s="2640" t="s">
        <v>2349</v>
      </c>
      <c r="F8" s="2641" t="s">
        <v>2350</v>
      </c>
      <c r="G8" s="2642"/>
      <c r="H8" s="2598"/>
      <c r="I8" s="2599"/>
      <c r="J8" s="3369"/>
      <c r="K8" s="3371"/>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86" t="s">
        <v>2353</v>
      </c>
      <c r="C9" s="3387"/>
      <c r="D9" s="2639">
        <f>ROUND(D6*E9,0)</f>
        <v>0</v>
      </c>
      <c r="E9" s="2643"/>
      <c r="F9" s="2644" t="s">
        <v>2354</v>
      </c>
      <c r="G9" s="2623"/>
      <c r="H9" s="2598"/>
      <c r="I9" s="2599"/>
      <c r="J9" s="3369"/>
      <c r="K9" s="3371"/>
      <c r="L9" s="2633" t="s">
        <v>2355</v>
      </c>
      <c r="M9" s="2634"/>
      <c r="N9" s="2610"/>
      <c r="O9" s="2635"/>
      <c r="P9" s="2635"/>
      <c r="Q9" s="2636">
        <v>365</v>
      </c>
      <c r="R9" s="2637">
        <f t="shared" si="0"/>
        <v>0</v>
      </c>
      <c r="S9" s="2591"/>
      <c r="T9" s="2591"/>
      <c r="U9" s="2591"/>
      <c r="V9" s="2599"/>
    </row>
    <row r="10" spans="1:22" s="2603" customFormat="1" ht="13.15" customHeight="1">
      <c r="A10" s="2638">
        <v>2</v>
      </c>
      <c r="B10" s="3386" t="s">
        <v>2356</v>
      </c>
      <c r="C10" s="3387"/>
      <c r="D10" s="2639">
        <f>ROUND(D6*E10,0)</f>
        <v>0</v>
      </c>
      <c r="E10" s="2643"/>
      <c r="F10" s="2644" t="s">
        <v>2357</v>
      </c>
      <c r="G10" s="2623"/>
      <c r="H10" s="2598"/>
      <c r="I10" s="2599"/>
      <c r="J10" s="3369"/>
      <c r="K10" s="3371"/>
      <c r="L10" s="2633" t="s">
        <v>2358</v>
      </c>
      <c r="M10" s="2634"/>
      <c r="N10" s="2610"/>
      <c r="O10" s="2635"/>
      <c r="P10" s="2635"/>
      <c r="Q10" s="2636">
        <v>365</v>
      </c>
      <c r="R10" s="2637">
        <f t="shared" si="0"/>
        <v>0</v>
      </c>
      <c r="S10" s="2591"/>
      <c r="T10" s="2591"/>
      <c r="U10" s="2591"/>
      <c r="V10" s="2599"/>
    </row>
    <row r="11" spans="1:22" s="2603" customFormat="1" ht="13.15" customHeight="1">
      <c r="A11" s="2638">
        <v>3</v>
      </c>
      <c r="B11" s="3386" t="s">
        <v>2359</v>
      </c>
      <c r="C11" s="3387"/>
      <c r="D11" s="2639">
        <f>D12+D14+D15+D16</f>
        <v>0</v>
      </c>
      <c r="E11" s="2645" t="e">
        <f>D11/D6</f>
        <v>#DIV/0!</v>
      </c>
      <c r="F11" s="2641"/>
      <c r="G11" s="2642"/>
      <c r="H11" s="2598"/>
      <c r="I11" s="2599"/>
      <c r="J11" s="3369"/>
      <c r="K11" s="3371"/>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79" t="s">
        <v>2362</v>
      </c>
      <c r="C12" s="3380"/>
      <c r="D12" s="2647">
        <f>ROUND(D13*1.2%*(1-30%),0)</f>
        <v>0</v>
      </c>
      <c r="E12" s="2648">
        <v>1.2E-2</v>
      </c>
      <c r="F12" s="2641" t="s">
        <v>2363</v>
      </c>
      <c r="G12" s="2642"/>
      <c r="H12" s="2598"/>
      <c r="I12" s="2599"/>
      <c r="J12" s="3369"/>
      <c r="K12" s="3371"/>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69"/>
      <c r="K13" s="3371"/>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79" t="s">
        <v>2368</v>
      </c>
      <c r="C14" s="3380"/>
      <c r="D14" s="2647">
        <f>ROUND(E14*B5/10000,0)</f>
        <v>0</v>
      </c>
      <c r="E14" s="2636"/>
      <c r="F14" s="2641" t="s">
        <v>2369</v>
      </c>
      <c r="G14" s="2642"/>
      <c r="H14" s="2598"/>
      <c r="I14" s="2599"/>
      <c r="J14" s="3369"/>
      <c r="K14" s="3372"/>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79" t="s">
        <v>2372</v>
      </c>
      <c r="C15" s="3380"/>
      <c r="D15" s="2647">
        <f>ROUND(D6*E15,0)</f>
        <v>0</v>
      </c>
      <c r="E15" s="2648">
        <v>5.5E-2</v>
      </c>
      <c r="F15" s="2641" t="s">
        <v>2373</v>
      </c>
      <c r="G15" s="2623"/>
      <c r="H15" s="2598"/>
      <c r="I15" s="2599"/>
      <c r="J15" s="3369">
        <v>2</v>
      </c>
      <c r="K15" s="3370"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79" t="s">
        <v>2381</v>
      </c>
      <c r="C16" s="3380"/>
      <c r="D16" s="2658">
        <f>D6*E16</f>
        <v>0</v>
      </c>
      <c r="E16" s="2659"/>
      <c r="F16" s="2644" t="s">
        <v>2382</v>
      </c>
      <c r="G16" s="2623"/>
      <c r="H16" s="2598"/>
      <c r="I16" s="2599"/>
      <c r="J16" s="3369"/>
      <c r="K16" s="3371"/>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81" t="s">
        <v>2384</v>
      </c>
      <c r="C17" s="3382"/>
      <c r="D17" s="2661">
        <f>ROUND(D6*E17,0)</f>
        <v>0</v>
      </c>
      <c r="E17" s="2662"/>
      <c r="F17" s="2663" t="s">
        <v>2385</v>
      </c>
      <c r="G17" s="2623"/>
      <c r="H17" s="2598"/>
      <c r="I17" s="2599"/>
      <c r="J17" s="3369"/>
      <c r="K17" s="3371"/>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69"/>
      <c r="K18" s="3371"/>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69"/>
      <c r="K19" s="3372"/>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69">
        <v>3</v>
      </c>
      <c r="K20" s="3370"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69"/>
      <c r="K21" s="3371"/>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69"/>
      <c r="K22" s="3371"/>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69"/>
      <c r="K23" s="3371"/>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69"/>
      <c r="K24" s="3372"/>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73">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74"/>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75" t="s">
        <v>2317</v>
      </c>
      <c r="K32" s="3376"/>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77" t="s">
        <v>2327</v>
      </c>
      <c r="K33" s="3378"/>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77" t="s">
        <v>2329</v>
      </c>
      <c r="K34" s="3378"/>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69">
        <v>1</v>
      </c>
      <c r="K36" s="3370"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69"/>
      <c r="K37" s="3371"/>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69"/>
      <c r="K38" s="3371"/>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69"/>
      <c r="K39" s="3371"/>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69"/>
      <c r="K40" s="3372"/>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73">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74"/>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75">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388" t="s">
        <v>1654</v>
      </c>
      <c r="C5" s="3389"/>
      <c r="D5" s="2479"/>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89.54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08" t="s">
        <v>1667</v>
      </c>
      <c r="D4" s="3409"/>
      <c r="E4" s="3410" t="s">
        <v>1668</v>
      </c>
      <c r="F4" s="3411"/>
      <c r="G4" s="3408" t="s">
        <v>1669</v>
      </c>
      <c r="H4" s="3409"/>
      <c r="I4" s="3408" t="s">
        <v>1670</v>
      </c>
      <c r="J4" s="3409"/>
      <c r="K4" s="1744" t="s">
        <v>1671</v>
      </c>
      <c r="L4" s="2485"/>
      <c r="M4" s="2486"/>
      <c r="N4" s="2486"/>
      <c r="O4" s="2486"/>
      <c r="P4" s="3412" t="s">
        <v>1672</v>
      </c>
      <c r="Q4" s="3413"/>
      <c r="R4" s="3418" t="s">
        <v>1668</v>
      </c>
      <c r="S4" s="3419"/>
      <c r="T4" s="3418" t="s">
        <v>1669</v>
      </c>
      <c r="U4" s="3419"/>
      <c r="V4" s="3394" t="s">
        <v>1670</v>
      </c>
      <c r="W4" s="3394"/>
      <c r="X4" s="1265"/>
      <c r="Y4" s="3418" t="s">
        <v>1672</v>
      </c>
      <c r="Z4" s="3419"/>
      <c r="AA4" s="3405" t="s">
        <v>1668</v>
      </c>
      <c r="AB4" s="3405" t="s">
        <v>1669</v>
      </c>
      <c r="AC4" s="3405" t="s">
        <v>1670</v>
      </c>
    </row>
    <row r="5" spans="1:29" ht="15">
      <c r="A5" s="348"/>
      <c r="B5" s="349"/>
      <c r="C5" s="3426" t="s">
        <v>1673</v>
      </c>
      <c r="D5" s="3427"/>
      <c r="E5" s="3433" t="s">
        <v>1674</v>
      </c>
      <c r="F5" s="3434"/>
      <c r="G5" s="3426" t="s">
        <v>1675</v>
      </c>
      <c r="H5" s="3427"/>
      <c r="I5" s="3426" t="s">
        <v>1676</v>
      </c>
      <c r="J5" s="3427"/>
      <c r="K5" s="1745"/>
      <c r="L5" s="2485"/>
      <c r="M5" s="2486"/>
      <c r="N5" s="2486"/>
      <c r="O5" s="2486"/>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1745" t="s">
        <v>1678</v>
      </c>
      <c r="L6" s="2485"/>
      <c r="M6" s="2486"/>
      <c r="N6" s="2486"/>
      <c r="O6" s="2486"/>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28" t="s">
        <v>1680</v>
      </c>
      <c r="Q7" s="3430"/>
      <c r="R7" s="664" t="s">
        <v>20</v>
      </c>
      <c r="S7" s="665">
        <f t="shared" ref="S7:S15" si="0">F7</f>
        <v>0</v>
      </c>
      <c r="T7" s="664" t="s">
        <v>20</v>
      </c>
      <c r="U7" s="665">
        <f t="shared" ref="U7:U15" si="1">H7</f>
        <v>0</v>
      </c>
      <c r="V7" s="664" t="s">
        <v>20</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28" t="s">
        <v>1683</v>
      </c>
      <c r="Q8" s="3429"/>
      <c r="R8" s="664" t="s">
        <v>20</v>
      </c>
      <c r="S8" s="665">
        <f t="shared" si="0"/>
        <v>100</v>
      </c>
      <c r="T8" s="664" t="s">
        <v>20</v>
      </c>
      <c r="U8" s="665">
        <f t="shared" si="1"/>
        <v>100</v>
      </c>
      <c r="V8" s="664" t="s">
        <v>20</v>
      </c>
      <c r="W8" s="665">
        <f t="shared" si="2"/>
        <v>100</v>
      </c>
      <c r="X8" s="666"/>
      <c r="Y8" s="3428" t="s">
        <v>1683</v>
      </c>
      <c r="Z8" s="342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4"/>
      <c r="Q11" s="530" t="str">
        <f t="shared" si="6"/>
        <v>容积率</v>
      </c>
      <c r="R11" s="664" t="s">
        <v>18</v>
      </c>
      <c r="S11" s="665" t="e">
        <f t="shared" si="0"/>
        <v>#N/A</v>
      </c>
      <c r="T11" s="664" t="s">
        <v>18</v>
      </c>
      <c r="U11" s="665" t="e">
        <f t="shared" si="1"/>
        <v>#N/A</v>
      </c>
      <c r="V11" s="664" t="s">
        <v>18</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4"/>
      <c r="Q12" s="530">
        <f t="shared" si="6"/>
        <v>111</v>
      </c>
      <c r="R12" s="664" t="s">
        <v>18</v>
      </c>
      <c r="S12" s="665">
        <f t="shared" si="0"/>
        <v>100</v>
      </c>
      <c r="T12" s="664" t="s">
        <v>18</v>
      </c>
      <c r="U12" s="665">
        <f t="shared" si="1"/>
        <v>100</v>
      </c>
      <c r="V12" s="664" t="s">
        <v>18</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4"/>
      <c r="Q13" s="530">
        <f t="shared" si="6"/>
        <v>111</v>
      </c>
      <c r="R13" s="664" t="s">
        <v>18</v>
      </c>
      <c r="S13" s="665">
        <f t="shared" si="0"/>
        <v>100</v>
      </c>
      <c r="T13" s="664" t="s">
        <v>18</v>
      </c>
      <c r="U13" s="665">
        <f t="shared" si="1"/>
        <v>100</v>
      </c>
      <c r="V13" s="664" t="s">
        <v>18</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4"/>
      <c r="Q14" s="530">
        <f t="shared" si="6"/>
        <v>111</v>
      </c>
      <c r="R14" s="664" t="s">
        <v>18</v>
      </c>
      <c r="S14" s="665">
        <f t="shared" si="0"/>
        <v>100</v>
      </c>
      <c r="T14" s="664" t="s">
        <v>18</v>
      </c>
      <c r="U14" s="665">
        <f t="shared" si="1"/>
        <v>100</v>
      </c>
      <c r="V14" s="664" t="s">
        <v>18</v>
      </c>
      <c r="W14" s="665">
        <f t="shared" si="2"/>
        <v>100</v>
      </c>
      <c r="X14" s="666"/>
      <c r="Y14" s="326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2" t="s">
        <v>1691</v>
      </c>
      <c r="Q15" s="1263" t="str">
        <f t="shared" si="6"/>
        <v>居住社区成熟度</v>
      </c>
      <c r="R15" s="667" t="s">
        <v>18</v>
      </c>
      <c r="S15" s="668">
        <f t="shared" si="0"/>
        <v>100</v>
      </c>
      <c r="T15" s="667" t="s">
        <v>18</v>
      </c>
      <c r="U15" s="668">
        <f t="shared" si="1"/>
        <v>100</v>
      </c>
      <c r="V15" s="667" t="s">
        <v>18</v>
      </c>
      <c r="W15" s="668">
        <f t="shared" si="2"/>
        <v>100</v>
      </c>
      <c r="X15" s="1265"/>
      <c r="Y15" s="339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3"/>
      <c r="Q16" s="1263"/>
      <c r="R16" s="667"/>
      <c r="S16" s="668"/>
      <c r="T16" s="667"/>
      <c r="U16" s="668"/>
      <c r="V16" s="667"/>
      <c r="W16" s="668"/>
      <c r="X16" s="1265"/>
      <c r="Y16" s="3396"/>
      <c r="Z16" s="1264"/>
      <c r="AA16" s="1264">
        <v>1</v>
      </c>
      <c r="AB16" s="1264">
        <v>1</v>
      </c>
      <c r="AC16" s="1264">
        <v>1</v>
      </c>
    </row>
    <row r="17" spans="1:29" ht="199.5">
      <c r="A17" s="367"/>
      <c r="B17" s="390" t="s">
        <v>1259</v>
      </c>
      <c r="C17" s="1754" t="str">
        <f>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3"/>
      <c r="Q17" s="1263" t="str">
        <f>B17</f>
        <v>交通便捷度</v>
      </c>
      <c r="R17" s="667" t="s">
        <v>18</v>
      </c>
      <c r="S17" s="668">
        <f>F17</f>
        <v>100</v>
      </c>
      <c r="T17" s="667" t="s">
        <v>18</v>
      </c>
      <c r="U17" s="668">
        <f>H17</f>
        <v>100</v>
      </c>
      <c r="V17" s="667" t="s">
        <v>18</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3"/>
      <c r="Q18" s="1263"/>
      <c r="R18" s="667"/>
      <c r="S18" s="668"/>
      <c r="T18" s="667"/>
      <c r="U18" s="668"/>
      <c r="V18" s="667"/>
      <c r="W18" s="668"/>
      <c r="X18" s="1265"/>
      <c r="Y18" s="3396"/>
      <c r="Z18" s="1264"/>
      <c r="AA18" s="1264">
        <v>1</v>
      </c>
      <c r="AB18" s="1264">
        <v>1</v>
      </c>
      <c r="AC18" s="1264">
        <v>1</v>
      </c>
    </row>
    <row r="19" spans="1:29" ht="356.25">
      <c r="A19" s="367"/>
      <c r="B19" s="390" t="s">
        <v>1258</v>
      </c>
      <c r="C19" s="1754" t="str">
        <f>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3"/>
      <c r="Q19" s="1263" t="str">
        <f>B19</f>
        <v>公共配套设施</v>
      </c>
      <c r="R19" s="667" t="s">
        <v>18</v>
      </c>
      <c r="S19" s="668">
        <f>F19</f>
        <v>100</v>
      </c>
      <c r="T19" s="667" t="s">
        <v>18</v>
      </c>
      <c r="U19" s="668">
        <f>H19</f>
        <v>100</v>
      </c>
      <c r="V19" s="667" t="s">
        <v>18</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3"/>
      <c r="Q20" s="1263"/>
      <c r="R20" s="667"/>
      <c r="S20" s="668"/>
      <c r="T20" s="667"/>
      <c r="U20" s="668"/>
      <c r="V20" s="667"/>
      <c r="W20" s="668"/>
      <c r="X20" s="1265"/>
      <c r="Y20" s="339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3"/>
      <c r="Q22" s="1263"/>
      <c r="R22" s="667"/>
      <c r="S22" s="668"/>
      <c r="T22" s="667"/>
      <c r="U22" s="668"/>
      <c r="V22" s="667"/>
      <c r="W22" s="668"/>
      <c r="X22" s="1265"/>
      <c r="Y22" s="3396"/>
      <c r="Z22" s="1264"/>
      <c r="AA22" s="1264">
        <v>1</v>
      </c>
      <c r="AB22" s="1264">
        <v>1</v>
      </c>
      <c r="AC22" s="1264">
        <v>1</v>
      </c>
    </row>
    <row r="23" spans="1:29" ht="156.75">
      <c r="A23" s="367"/>
      <c r="B23" s="390" t="s">
        <v>1261</v>
      </c>
      <c r="C23" s="1754" t="str">
        <f>估价对象房地状况!C9</f>
        <v>区域自然环境：东沙河滨水公园、沙河大学城主题公园；人文环境：北京邮电大学（沙河校区）、北京航空航天大学（沙河校区）、北京师范大学（昌平校园）；综合评价环境状况一般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3"/>
      <c r="Q23" s="1263" t="str">
        <f>B23</f>
        <v>自然及人文环境</v>
      </c>
      <c r="R23" s="667" t="s">
        <v>18</v>
      </c>
      <c r="S23" s="668">
        <f>F23</f>
        <v>100</v>
      </c>
      <c r="T23" s="667" t="s">
        <v>18</v>
      </c>
      <c r="U23" s="668">
        <f>H23</f>
        <v>100</v>
      </c>
      <c r="V23" s="667" t="s">
        <v>18</v>
      </c>
      <c r="W23" s="668">
        <f>J23</f>
        <v>100</v>
      </c>
      <c r="X23" s="1265"/>
      <c r="Y23" s="339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3"/>
      <c r="Q24" s="1263"/>
      <c r="R24" s="667"/>
      <c r="S24" s="668"/>
      <c r="T24" s="667"/>
      <c r="U24" s="668"/>
      <c r="V24" s="667"/>
      <c r="W24" s="668"/>
      <c r="X24" s="1265"/>
      <c r="Y24" s="339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3"/>
      <c r="Q26" s="1263" t="str">
        <f t="shared" si="11"/>
        <v>朝向</v>
      </c>
      <c r="R26" s="667" t="s">
        <v>18</v>
      </c>
      <c r="S26" s="668">
        <f t="shared" si="12"/>
        <v>100</v>
      </c>
      <c r="T26" s="667" t="s">
        <v>18</v>
      </c>
      <c r="U26" s="668">
        <f t="shared" si="13"/>
        <v>100</v>
      </c>
      <c r="V26" s="667" t="s">
        <v>18</v>
      </c>
      <c r="W26" s="668">
        <f t="shared" si="14"/>
        <v>100</v>
      </c>
      <c r="X26" s="1265"/>
      <c r="Y26" s="339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3"/>
      <c r="Q27" s="530">
        <f t="shared" si="11"/>
        <v>111</v>
      </c>
      <c r="R27" s="664" t="s">
        <v>18</v>
      </c>
      <c r="S27" s="665">
        <f t="shared" si="12"/>
        <v>100</v>
      </c>
      <c r="T27" s="664" t="s">
        <v>18</v>
      </c>
      <c r="U27" s="665">
        <f t="shared" si="13"/>
        <v>100</v>
      </c>
      <c r="V27" s="664" t="s">
        <v>18</v>
      </c>
      <c r="W27" s="665">
        <f t="shared" si="14"/>
        <v>100</v>
      </c>
      <c r="X27" s="666"/>
      <c r="Y27" s="339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3"/>
      <c r="Q28" s="1263">
        <f t="shared" si="11"/>
        <v>111</v>
      </c>
      <c r="R28" s="667" t="s">
        <v>18</v>
      </c>
      <c r="S28" s="668">
        <f t="shared" si="12"/>
        <v>100</v>
      </c>
      <c r="T28" s="667" t="s">
        <v>18</v>
      </c>
      <c r="U28" s="668">
        <f t="shared" si="13"/>
        <v>100</v>
      </c>
      <c r="V28" s="667" t="s">
        <v>18</v>
      </c>
      <c r="W28" s="668">
        <f t="shared" si="14"/>
        <v>100</v>
      </c>
      <c r="X28" s="1265"/>
      <c r="Y28" s="339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3"/>
      <c r="Q29" s="1263">
        <f t="shared" si="11"/>
        <v>111</v>
      </c>
      <c r="R29" s="667" t="s">
        <v>18</v>
      </c>
      <c r="S29" s="668">
        <f t="shared" si="12"/>
        <v>100</v>
      </c>
      <c r="T29" s="667" t="s">
        <v>18</v>
      </c>
      <c r="U29" s="668">
        <f t="shared" si="13"/>
        <v>100</v>
      </c>
      <c r="V29" s="667" t="s">
        <v>18</v>
      </c>
      <c r="W29" s="668">
        <f t="shared" si="14"/>
        <v>100</v>
      </c>
      <c r="X29" s="1265"/>
      <c r="Y29" s="339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3"/>
      <c r="Q30" s="1263">
        <f t="shared" si="11"/>
        <v>111</v>
      </c>
      <c r="R30" s="667" t="s">
        <v>18</v>
      </c>
      <c r="S30" s="668">
        <f t="shared" si="12"/>
        <v>100</v>
      </c>
      <c r="T30" s="667" t="s">
        <v>18</v>
      </c>
      <c r="U30" s="668">
        <f t="shared" si="13"/>
        <v>100</v>
      </c>
      <c r="V30" s="667" t="s">
        <v>18</v>
      </c>
      <c r="W30" s="668">
        <f t="shared" si="14"/>
        <v>100</v>
      </c>
      <c r="X30" s="1265"/>
      <c r="Y30" s="339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3"/>
      <c r="Q31" s="1263">
        <f t="shared" si="11"/>
        <v>111</v>
      </c>
      <c r="R31" s="667" t="s">
        <v>18</v>
      </c>
      <c r="S31" s="668">
        <f t="shared" si="12"/>
        <v>100</v>
      </c>
      <c r="T31" s="667" t="s">
        <v>18</v>
      </c>
      <c r="U31" s="668">
        <f t="shared" si="13"/>
        <v>100</v>
      </c>
      <c r="V31" s="667" t="s">
        <v>18</v>
      </c>
      <c r="W31" s="668">
        <f t="shared" si="14"/>
        <v>100</v>
      </c>
      <c r="X31" s="1265"/>
      <c r="Y31" s="339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97" t="s">
        <v>1696</v>
      </c>
      <c r="Q32" s="1263" t="str">
        <f t="shared" si="11"/>
        <v>建筑类型</v>
      </c>
      <c r="R32" s="667" t="s">
        <v>18</v>
      </c>
      <c r="S32" s="668">
        <f t="shared" si="12"/>
        <v>100</v>
      </c>
      <c r="T32" s="667" t="s">
        <v>18</v>
      </c>
      <c r="U32" s="668">
        <f t="shared" si="13"/>
        <v>100</v>
      </c>
      <c r="V32" s="667" t="s">
        <v>18</v>
      </c>
      <c r="W32" s="668">
        <f t="shared" si="14"/>
        <v>100</v>
      </c>
      <c r="X32" s="1265"/>
      <c r="Y32" s="340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98"/>
      <c r="Q33" s="531" t="str">
        <f t="shared" si="11"/>
        <v>项目建筑规模</v>
      </c>
      <c r="R33" s="669" t="s">
        <v>18</v>
      </c>
      <c r="S33" s="670" t="e">
        <f t="shared" si="12"/>
        <v>#N/A</v>
      </c>
      <c r="T33" s="669" t="s">
        <v>18</v>
      </c>
      <c r="U33" s="670" t="e">
        <f t="shared" si="13"/>
        <v>#N/A</v>
      </c>
      <c r="V33" s="669" t="s">
        <v>18</v>
      </c>
      <c r="W33" s="670" t="e">
        <f t="shared" si="14"/>
        <v>#N/A</v>
      </c>
      <c r="X33" s="671"/>
      <c r="Y33" s="340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98"/>
      <c r="Q34" s="1263" t="str">
        <f t="shared" si="11"/>
        <v>建筑结构</v>
      </c>
      <c r="R34" s="667" t="s">
        <v>18</v>
      </c>
      <c r="S34" s="668">
        <f t="shared" si="12"/>
        <v>100</v>
      </c>
      <c r="T34" s="667" t="s">
        <v>18</v>
      </c>
      <c r="U34" s="668">
        <f t="shared" si="13"/>
        <v>100</v>
      </c>
      <c r="V34" s="667" t="s">
        <v>18</v>
      </c>
      <c r="W34" s="668">
        <f t="shared" si="14"/>
        <v>100</v>
      </c>
      <c r="X34" s="1265"/>
      <c r="Y34" s="340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98"/>
      <c r="Q35" s="1263" t="str">
        <f t="shared" si="11"/>
        <v>建筑品质</v>
      </c>
      <c r="R35" s="667" t="s">
        <v>18</v>
      </c>
      <c r="S35" s="668">
        <f t="shared" si="12"/>
        <v>100</v>
      </c>
      <c r="T35" s="667" t="s">
        <v>18</v>
      </c>
      <c r="U35" s="668">
        <f t="shared" si="13"/>
        <v>100</v>
      </c>
      <c r="V35" s="667" t="s">
        <v>18</v>
      </c>
      <c r="W35" s="668">
        <f t="shared" si="14"/>
        <v>100</v>
      </c>
      <c r="X35" s="1265"/>
      <c r="Y35" s="340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98"/>
      <c r="Q36" s="1263" t="str">
        <f t="shared" si="11"/>
        <v>公共部分装修</v>
      </c>
      <c r="R36" s="667" t="s">
        <v>18</v>
      </c>
      <c r="S36" s="668">
        <f t="shared" si="12"/>
        <v>100</v>
      </c>
      <c r="T36" s="667" t="s">
        <v>18</v>
      </c>
      <c r="U36" s="668">
        <f t="shared" si="13"/>
        <v>100</v>
      </c>
      <c r="V36" s="667" t="s">
        <v>18</v>
      </c>
      <c r="W36" s="668">
        <f t="shared" si="14"/>
        <v>100</v>
      </c>
      <c r="X36" s="1265"/>
      <c r="Y36" s="340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98"/>
      <c r="Q37" s="530" t="str">
        <f t="shared" si="11"/>
        <v>成新度</v>
      </c>
      <c r="R37" s="664" t="s">
        <v>18</v>
      </c>
      <c r="S37" s="665" t="e">
        <f t="shared" si="12"/>
        <v>#N/A</v>
      </c>
      <c r="T37" s="664" t="s">
        <v>18</v>
      </c>
      <c r="U37" s="665" t="e">
        <f t="shared" si="13"/>
        <v>#N/A</v>
      </c>
      <c r="V37" s="664" t="s">
        <v>18</v>
      </c>
      <c r="W37" s="665" t="e">
        <f t="shared" si="14"/>
        <v>#N/A</v>
      </c>
      <c r="X37" s="666"/>
      <c r="Y37" s="340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98" t="s">
        <v>1696</v>
      </c>
      <c r="Q38" s="1263" t="str">
        <f t="shared" si="11"/>
        <v>物业管理</v>
      </c>
      <c r="R38" s="667" t="s">
        <v>18</v>
      </c>
      <c r="S38" s="668">
        <f t="shared" si="12"/>
        <v>100</v>
      </c>
      <c r="T38" s="667" t="s">
        <v>18</v>
      </c>
      <c r="U38" s="668">
        <f t="shared" si="13"/>
        <v>100</v>
      </c>
      <c r="V38" s="667" t="s">
        <v>18</v>
      </c>
      <c r="W38" s="668">
        <f t="shared" si="14"/>
        <v>100</v>
      </c>
      <c r="X38" s="1265"/>
      <c r="Y38" s="340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98"/>
      <c r="Q39" s="1263" t="str">
        <f t="shared" si="11"/>
        <v>市政基础设施</v>
      </c>
      <c r="R39" s="667" t="s">
        <v>18</v>
      </c>
      <c r="S39" s="668">
        <f t="shared" si="12"/>
        <v>100</v>
      </c>
      <c r="T39" s="667" t="s">
        <v>18</v>
      </c>
      <c r="U39" s="668">
        <f t="shared" si="13"/>
        <v>100</v>
      </c>
      <c r="V39" s="667" t="s">
        <v>18</v>
      </c>
      <c r="W39" s="668">
        <f t="shared" si="14"/>
        <v>100</v>
      </c>
      <c r="X39" s="1265"/>
      <c r="Y39" s="340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98"/>
      <c r="Q40" s="1263" t="str">
        <f t="shared" si="11"/>
        <v>房型</v>
      </c>
      <c r="R40" s="667" t="s">
        <v>18</v>
      </c>
      <c r="S40" s="668">
        <f t="shared" si="12"/>
        <v>100</v>
      </c>
      <c r="T40" s="667" t="s">
        <v>18</v>
      </c>
      <c r="U40" s="668">
        <f t="shared" si="13"/>
        <v>100</v>
      </c>
      <c r="V40" s="667" t="s">
        <v>18</v>
      </c>
      <c r="W40" s="668">
        <f t="shared" si="14"/>
        <v>100</v>
      </c>
      <c r="X40" s="1265"/>
      <c r="Y40" s="340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98"/>
      <c r="Q41" s="531" t="str">
        <f t="shared" si="11"/>
        <v>单套/主力户型建筑面积</v>
      </c>
      <c r="R41" s="669" t="s">
        <v>18</v>
      </c>
      <c r="S41" s="670">
        <f t="shared" si="12"/>
        <v>100</v>
      </c>
      <c r="T41" s="669" t="s">
        <v>18</v>
      </c>
      <c r="U41" s="670">
        <f t="shared" si="13"/>
        <v>100</v>
      </c>
      <c r="V41" s="669" t="s">
        <v>18</v>
      </c>
      <c r="W41" s="670">
        <f t="shared" si="14"/>
        <v>100</v>
      </c>
      <c r="X41" s="671"/>
      <c r="Y41" s="340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98"/>
      <c r="Q42" s="1263" t="str">
        <f t="shared" si="11"/>
        <v>内部装修</v>
      </c>
      <c r="R42" s="667" t="s">
        <v>18</v>
      </c>
      <c r="S42" s="668">
        <f t="shared" si="12"/>
        <v>100</v>
      </c>
      <c r="T42" s="667" t="s">
        <v>18</v>
      </c>
      <c r="U42" s="668">
        <f t="shared" si="13"/>
        <v>100</v>
      </c>
      <c r="V42" s="667" t="s">
        <v>18</v>
      </c>
      <c r="W42" s="668">
        <f t="shared" si="14"/>
        <v>100</v>
      </c>
      <c r="X42" s="1265"/>
      <c r="Y42" s="340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98"/>
      <c r="Q43" s="1263" t="str">
        <f t="shared" si="11"/>
        <v>内部装修维护情况</v>
      </c>
      <c r="R43" s="667" t="s">
        <v>18</v>
      </c>
      <c r="S43" s="668">
        <f t="shared" si="12"/>
        <v>100</v>
      </c>
      <c r="T43" s="667" t="s">
        <v>18</v>
      </c>
      <c r="U43" s="668">
        <f t="shared" si="13"/>
        <v>100</v>
      </c>
      <c r="V43" s="667" t="s">
        <v>18</v>
      </c>
      <c r="W43" s="668">
        <f t="shared" si="14"/>
        <v>100</v>
      </c>
      <c r="X43" s="1265"/>
      <c r="Y43" s="340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98"/>
      <c r="Q44" s="530">
        <f t="shared" si="11"/>
        <v>111</v>
      </c>
      <c r="R44" s="664" t="s">
        <v>18</v>
      </c>
      <c r="S44" s="665">
        <f t="shared" si="12"/>
        <v>100</v>
      </c>
      <c r="T44" s="664" t="s">
        <v>18</v>
      </c>
      <c r="U44" s="665">
        <f t="shared" si="13"/>
        <v>100</v>
      </c>
      <c r="V44" s="664" t="s">
        <v>18</v>
      </c>
      <c r="W44" s="665">
        <f t="shared" si="14"/>
        <v>100</v>
      </c>
      <c r="X44" s="666"/>
      <c r="Y44" s="340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98"/>
      <c r="Q45" s="1263">
        <f t="shared" si="11"/>
        <v>111</v>
      </c>
      <c r="R45" s="667" t="s">
        <v>18</v>
      </c>
      <c r="S45" s="668">
        <f t="shared" si="12"/>
        <v>100</v>
      </c>
      <c r="T45" s="667" t="s">
        <v>18</v>
      </c>
      <c r="U45" s="668">
        <f t="shared" si="13"/>
        <v>100</v>
      </c>
      <c r="V45" s="667" t="s">
        <v>18</v>
      </c>
      <c r="W45" s="668">
        <f t="shared" si="14"/>
        <v>100</v>
      </c>
      <c r="X45" s="1265"/>
      <c r="Y45" s="340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9"/>
      <c r="Q46" s="1263">
        <f t="shared" si="11"/>
        <v>111</v>
      </c>
      <c r="R46" s="667" t="s">
        <v>17</v>
      </c>
      <c r="S46" s="668">
        <f t="shared" si="12"/>
        <v>100</v>
      </c>
      <c r="T46" s="667" t="s">
        <v>17</v>
      </c>
      <c r="U46" s="668">
        <f t="shared" si="13"/>
        <v>100</v>
      </c>
      <c r="V46" s="667" t="s">
        <v>17</v>
      </c>
      <c r="W46" s="668">
        <f t="shared" si="14"/>
        <v>100</v>
      </c>
      <c r="X46" s="1265"/>
      <c r="Y46" s="340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393" t="str">
        <f>A47</f>
        <v>成交单价（元/平方米）</v>
      </c>
      <c r="Q47" s="3393"/>
      <c r="R47" s="3394">
        <f>E47</f>
        <v>0</v>
      </c>
      <c r="S47" s="3394"/>
      <c r="T47" s="3394">
        <f>G47</f>
        <v>0</v>
      </c>
      <c r="U47" s="3394"/>
      <c r="V47" s="3394">
        <f>I47</f>
        <v>0</v>
      </c>
      <c r="W47" s="339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89.54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408" t="s">
        <v>1770</v>
      </c>
      <c r="D4" s="3409"/>
      <c r="E4" s="3410" t="s">
        <v>1771</v>
      </c>
      <c r="F4" s="3411"/>
      <c r="G4" s="3408" t="s">
        <v>1772</v>
      </c>
      <c r="H4" s="3409"/>
      <c r="I4" s="3408" t="s">
        <v>1773</v>
      </c>
      <c r="J4" s="3409"/>
      <c r="K4" s="537" t="s">
        <v>1774</v>
      </c>
      <c r="L4" s="2485"/>
      <c r="M4" s="2486"/>
      <c r="N4" s="2486"/>
      <c r="O4" s="2486"/>
      <c r="P4" s="3412" t="s">
        <v>1775</v>
      </c>
      <c r="Q4" s="3413"/>
      <c r="R4" s="3418" t="s">
        <v>1771</v>
      </c>
      <c r="S4" s="3419"/>
      <c r="T4" s="3418" t="s">
        <v>1772</v>
      </c>
      <c r="U4" s="3419"/>
      <c r="V4" s="3394" t="s">
        <v>1773</v>
      </c>
      <c r="W4" s="3394"/>
      <c r="X4" s="1265"/>
      <c r="Y4" s="3418" t="s">
        <v>1775</v>
      </c>
      <c r="Z4" s="3419"/>
      <c r="AA4" s="3405" t="s">
        <v>1771</v>
      </c>
      <c r="AB4" s="3394" t="s">
        <v>1772</v>
      </c>
      <c r="AC4" s="3405" t="s">
        <v>1773</v>
      </c>
    </row>
    <row r="5" spans="1:29" ht="15">
      <c r="A5" s="348"/>
      <c r="B5" s="349"/>
      <c r="C5" s="3426" t="s">
        <v>1673</v>
      </c>
      <c r="D5" s="3427"/>
      <c r="E5" s="3433" t="s">
        <v>1674</v>
      </c>
      <c r="F5" s="3434"/>
      <c r="G5" s="3426" t="s">
        <v>1675</v>
      </c>
      <c r="H5" s="3427"/>
      <c r="I5" s="3426" t="s">
        <v>1676</v>
      </c>
      <c r="J5" s="3427"/>
      <c r="K5" s="537"/>
      <c r="L5" s="2485"/>
      <c r="M5" s="2486"/>
      <c r="N5" s="2486"/>
      <c r="O5" s="2486"/>
      <c r="P5" s="3414"/>
      <c r="Q5" s="3415"/>
      <c r="R5" s="3420"/>
      <c r="S5" s="3421"/>
      <c r="T5" s="3420"/>
      <c r="U5" s="3421"/>
      <c r="V5" s="3394"/>
      <c r="W5" s="3394"/>
      <c r="X5" s="1265"/>
      <c r="Y5" s="3420"/>
      <c r="Z5" s="3421"/>
      <c r="AA5" s="3406"/>
      <c r="AB5" s="3394"/>
      <c r="AC5" s="3406"/>
    </row>
    <row r="6" spans="1:29" ht="15.75" thickBot="1">
      <c r="A6" s="350"/>
      <c r="B6" s="351"/>
      <c r="C6" s="3424" t="s">
        <v>1677</v>
      </c>
      <c r="D6" s="3425"/>
      <c r="E6" s="3431" t="s">
        <v>1677</v>
      </c>
      <c r="F6" s="3432"/>
      <c r="G6" s="3424" t="s">
        <v>1677</v>
      </c>
      <c r="H6" s="3425"/>
      <c r="I6" s="3424" t="s">
        <v>1677</v>
      </c>
      <c r="J6" s="3425"/>
      <c r="K6" s="537" t="s">
        <v>1678</v>
      </c>
      <c r="L6" s="2485"/>
      <c r="M6" s="2486"/>
      <c r="N6" s="2486"/>
      <c r="O6" s="2486"/>
      <c r="P6" s="3416"/>
      <c r="Q6" s="3417"/>
      <c r="R6" s="3420"/>
      <c r="S6" s="3421"/>
      <c r="T6" s="3422"/>
      <c r="U6" s="3423"/>
      <c r="V6" s="3394"/>
      <c r="W6" s="3394"/>
      <c r="X6" s="1265"/>
      <c r="Y6" s="3422"/>
      <c r="Z6" s="3423"/>
      <c r="AA6" s="3407"/>
      <c r="AB6" s="3394"/>
      <c r="AC6" s="3407"/>
    </row>
    <row r="7" spans="1:29" s="102" customFormat="1" ht="15.75" thickBot="1">
      <c r="A7" s="352" t="s">
        <v>1679</v>
      </c>
      <c r="B7" s="353"/>
      <c r="C7" s="354">
        <f>'数据-取费表'!B2</f>
        <v>45601</v>
      </c>
      <c r="D7" s="355">
        <v>100</v>
      </c>
      <c r="E7" s="356"/>
      <c r="F7" s="357">
        <f>SUMIF(58:58,YEAR(E7)&amp;"-"&amp;MONTH(E7),59:59)</f>
        <v>0</v>
      </c>
      <c r="G7" s="356"/>
      <c r="H7" s="355">
        <f>SUMIF(58:58,YEAR(G7)&amp;"-"&amp;MONTH(G7),59:59)</f>
        <v>0</v>
      </c>
      <c r="I7" s="356"/>
      <c r="J7" s="355">
        <f>SUMIF(58:58,YEAR(I7)&amp;"-"&amp;MONTH(I7),59:59)</f>
        <v>0</v>
      </c>
      <c r="K7" s="38"/>
      <c r="L7" s="2487"/>
      <c r="M7" s="2439"/>
      <c r="N7" s="2439"/>
      <c r="O7" s="2439"/>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28" t="s">
        <v>1683</v>
      </c>
      <c r="Q8" s="3429"/>
      <c r="R8" s="664" t="s">
        <v>14</v>
      </c>
      <c r="S8" s="665">
        <f t="shared" si="0"/>
        <v>100</v>
      </c>
      <c r="T8" s="664" t="s">
        <v>14</v>
      </c>
      <c r="U8" s="665">
        <f t="shared" si="1"/>
        <v>100</v>
      </c>
      <c r="V8" s="664" t="s">
        <v>14</v>
      </c>
      <c r="W8" s="665">
        <f t="shared" si="2"/>
        <v>100</v>
      </c>
      <c r="X8" s="666"/>
      <c r="Y8" s="3428" t="s">
        <v>1683</v>
      </c>
      <c r="Z8" s="342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4"/>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4"/>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4"/>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4"/>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2" t="s">
        <v>1691</v>
      </c>
      <c r="Q15" s="1263" t="str">
        <f t="shared" si="6"/>
        <v>商业繁华度</v>
      </c>
      <c r="R15" s="667" t="s">
        <v>14</v>
      </c>
      <c r="S15" s="668">
        <f t="shared" si="0"/>
        <v>100</v>
      </c>
      <c r="T15" s="667" t="s">
        <v>14</v>
      </c>
      <c r="U15" s="668">
        <f t="shared" si="1"/>
        <v>100</v>
      </c>
      <c r="V15" s="667" t="s">
        <v>14</v>
      </c>
      <c r="W15" s="668">
        <f t="shared" si="2"/>
        <v>100</v>
      </c>
      <c r="X15" s="1265"/>
      <c r="Y15" s="339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03"/>
      <c r="Q16" s="1263"/>
      <c r="R16" s="667"/>
      <c r="S16" s="668"/>
      <c r="T16" s="667"/>
      <c r="U16" s="668"/>
      <c r="V16" s="667"/>
      <c r="W16" s="668"/>
      <c r="X16" s="1265"/>
      <c r="Y16" s="3396"/>
      <c r="Z16" s="1264"/>
      <c r="AA16" s="1264">
        <v>1</v>
      </c>
      <c r="AB16" s="1264">
        <v>1</v>
      </c>
      <c r="AC16" s="1264">
        <v>1</v>
      </c>
    </row>
    <row r="17" spans="1:29" ht="213.75">
      <c r="A17" s="367"/>
      <c r="B17" s="390" t="s">
        <v>1259</v>
      </c>
      <c r="C17" s="1754" t="str">
        <f>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3"/>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03"/>
      <c r="Q18" s="1263"/>
      <c r="R18" s="667"/>
      <c r="S18" s="668"/>
      <c r="T18" s="667"/>
      <c r="U18" s="668"/>
      <c r="V18" s="667"/>
      <c r="W18" s="668"/>
      <c r="X18" s="1265"/>
      <c r="Y18" s="3396"/>
      <c r="Z18" s="1264"/>
      <c r="AA18" s="1264">
        <v>1</v>
      </c>
      <c r="AB18" s="1264">
        <v>1</v>
      </c>
      <c r="AC18" s="1264">
        <v>1</v>
      </c>
    </row>
    <row r="19" spans="1:29" ht="409.5">
      <c r="A19" s="367"/>
      <c r="B19" s="390" t="s">
        <v>1778</v>
      </c>
      <c r="C19" s="1754" t="str">
        <f>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3"/>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03"/>
      <c r="Q20" s="1263"/>
      <c r="R20" s="667"/>
      <c r="S20" s="668"/>
      <c r="T20" s="667"/>
      <c r="U20" s="668"/>
      <c r="V20" s="667"/>
      <c r="W20" s="668"/>
      <c r="X20" s="1265"/>
      <c r="Y20" s="339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03"/>
      <c r="Q22" s="1263"/>
      <c r="R22" s="667"/>
      <c r="S22" s="668"/>
      <c r="T22" s="667"/>
      <c r="U22" s="668"/>
      <c r="V22" s="667"/>
      <c r="W22" s="668"/>
      <c r="X22" s="1265"/>
      <c r="Y22" s="3396"/>
      <c r="Z22" s="1264"/>
      <c r="AA22" s="1264">
        <v>1</v>
      </c>
      <c r="AB22" s="1264">
        <v>1</v>
      </c>
      <c r="AC22" s="1264">
        <v>1</v>
      </c>
    </row>
    <row r="23" spans="1:29" ht="171">
      <c r="A23" s="367"/>
      <c r="B23" s="390" t="s">
        <v>1261</v>
      </c>
      <c r="C23" s="1806" t="str">
        <f>估价对象房地状况!C9</f>
        <v>区域自然环境：东沙河滨水公园、沙河大学城主题公园；人文环境：北京邮电大学（沙河校区）、北京航空航天大学（沙河校区）、北京师范大学（昌平校园）；综合评价环境状况一般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3"/>
      <c r="Q23" s="1263" t="str">
        <f>B23</f>
        <v>自然及人文环境</v>
      </c>
      <c r="R23" s="667" t="s">
        <v>14</v>
      </c>
      <c r="S23" s="668">
        <f>F23</f>
        <v>100</v>
      </c>
      <c r="T23" s="667" t="s">
        <v>14</v>
      </c>
      <c r="U23" s="668">
        <f>H23</f>
        <v>100</v>
      </c>
      <c r="V23" s="667" t="s">
        <v>14</v>
      </c>
      <c r="W23" s="668">
        <f>J23</f>
        <v>100</v>
      </c>
      <c r="X23" s="1265"/>
      <c r="Y23" s="339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03"/>
      <c r="Q24" s="1263"/>
      <c r="R24" s="667"/>
      <c r="S24" s="668"/>
      <c r="T24" s="667"/>
      <c r="U24" s="668"/>
      <c r="V24" s="667"/>
      <c r="W24" s="668"/>
      <c r="X24" s="1265"/>
      <c r="Y24" s="339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3"/>
      <c r="Q25" s="1263" t="str">
        <f t="shared" ref="Q25:Q46" si="11">B25</f>
        <v>临街状况</v>
      </c>
      <c r="R25" s="667" t="s">
        <v>14</v>
      </c>
      <c r="S25" s="668">
        <f>F25</f>
        <v>100</v>
      </c>
      <c r="T25" s="667" t="s">
        <v>14</v>
      </c>
      <c r="U25" s="668">
        <f>H25</f>
        <v>100</v>
      </c>
      <c r="V25" s="667" t="s">
        <v>14</v>
      </c>
      <c r="W25" s="668">
        <f>J25</f>
        <v>100</v>
      </c>
      <c r="X25" s="1265"/>
      <c r="Y25" s="339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3"/>
      <c r="Q26" s="1263" t="str">
        <f t="shared" si="11"/>
        <v>平面位置/可视性</v>
      </c>
      <c r="R26" s="667" t="s">
        <v>14</v>
      </c>
      <c r="S26" s="668">
        <f>F26</f>
        <v>100</v>
      </c>
      <c r="T26" s="667" t="s">
        <v>14</v>
      </c>
      <c r="U26" s="668">
        <f>H26</f>
        <v>100</v>
      </c>
      <c r="V26" s="667" t="s">
        <v>14</v>
      </c>
      <c r="W26" s="668">
        <f>J26</f>
        <v>100</v>
      </c>
      <c r="X26" s="1265"/>
      <c r="Y26" s="339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3"/>
      <c r="Q27" s="530" t="str">
        <f t="shared" si="11"/>
        <v>人流量</v>
      </c>
      <c r="R27" s="664" t="s">
        <v>14</v>
      </c>
      <c r="S27" s="665">
        <f>F27</f>
        <v>100</v>
      </c>
      <c r="T27" s="664" t="s">
        <v>14</v>
      </c>
      <c r="U27" s="665">
        <f>H27</f>
        <v>100</v>
      </c>
      <c r="V27" s="664" t="s">
        <v>14</v>
      </c>
      <c r="W27" s="665">
        <f>J27</f>
        <v>100</v>
      </c>
      <c r="X27" s="666"/>
      <c r="Y27" s="339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3"/>
      <c r="Q29" s="1263">
        <f t="shared" si="11"/>
        <v>111</v>
      </c>
      <c r="R29" s="667" t="s">
        <v>14</v>
      </c>
      <c r="S29" s="668">
        <f t="shared" si="12"/>
        <v>100</v>
      </c>
      <c r="T29" s="667" t="s">
        <v>14</v>
      </c>
      <c r="U29" s="668">
        <f t="shared" si="13"/>
        <v>100</v>
      </c>
      <c r="V29" s="667" t="s">
        <v>14</v>
      </c>
      <c r="W29" s="668">
        <f t="shared" si="14"/>
        <v>100</v>
      </c>
      <c r="X29" s="1265"/>
      <c r="Y29" s="339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3"/>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3"/>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97" t="s">
        <v>1696</v>
      </c>
      <c r="Q32" s="1263" t="str">
        <f t="shared" si="11"/>
        <v>商业类型</v>
      </c>
      <c r="R32" s="667" t="s">
        <v>14</v>
      </c>
      <c r="S32" s="668">
        <f t="shared" si="12"/>
        <v>100</v>
      </c>
      <c r="T32" s="667" t="s">
        <v>14</v>
      </c>
      <c r="U32" s="668">
        <f t="shared" si="13"/>
        <v>100</v>
      </c>
      <c r="V32" s="667" t="s">
        <v>14</v>
      </c>
      <c r="W32" s="668">
        <f t="shared" si="14"/>
        <v>100</v>
      </c>
      <c r="X32" s="1265"/>
      <c r="Y32" s="340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98"/>
      <c r="Q33" s="531" t="str">
        <f t="shared" si="11"/>
        <v>项目建筑规模</v>
      </c>
      <c r="R33" s="669" t="s">
        <v>14</v>
      </c>
      <c r="S33" s="670" t="e">
        <f t="shared" si="12"/>
        <v>#N/A</v>
      </c>
      <c r="T33" s="669" t="s">
        <v>14</v>
      </c>
      <c r="U33" s="670" t="e">
        <f t="shared" si="13"/>
        <v>#N/A</v>
      </c>
      <c r="V33" s="669" t="s">
        <v>14</v>
      </c>
      <c r="W33" s="670" t="e">
        <f t="shared" si="14"/>
        <v>#N/A</v>
      </c>
      <c r="X33" s="671"/>
      <c r="Y33" s="340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98"/>
      <c r="Q34" s="1263" t="str">
        <f t="shared" si="11"/>
        <v>建筑结构</v>
      </c>
      <c r="R34" s="667" t="s">
        <v>14</v>
      </c>
      <c r="S34" s="668">
        <f t="shared" si="12"/>
        <v>100</v>
      </c>
      <c r="T34" s="667" t="s">
        <v>14</v>
      </c>
      <c r="U34" s="668">
        <f t="shared" si="13"/>
        <v>100</v>
      </c>
      <c r="V34" s="667" t="s">
        <v>14</v>
      </c>
      <c r="W34" s="668">
        <f t="shared" si="14"/>
        <v>100</v>
      </c>
      <c r="X34" s="1265"/>
      <c r="Y34" s="340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98"/>
      <c r="Q35" s="1263" t="str">
        <f t="shared" si="11"/>
        <v>公共部分装修</v>
      </c>
      <c r="R35" s="667" t="s">
        <v>14</v>
      </c>
      <c r="S35" s="668">
        <f t="shared" si="12"/>
        <v>100</v>
      </c>
      <c r="T35" s="667" t="s">
        <v>14</v>
      </c>
      <c r="U35" s="668">
        <f t="shared" si="13"/>
        <v>100</v>
      </c>
      <c r="V35" s="667" t="s">
        <v>14</v>
      </c>
      <c r="W35" s="668">
        <f t="shared" si="14"/>
        <v>100</v>
      </c>
      <c r="X35" s="1265"/>
      <c r="Y35" s="340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98"/>
      <c r="Q36" s="1263" t="str">
        <f t="shared" si="11"/>
        <v>成新度</v>
      </c>
      <c r="R36" s="667" t="s">
        <v>14</v>
      </c>
      <c r="S36" s="668" t="e">
        <f t="shared" si="12"/>
        <v>#N/A</v>
      </c>
      <c r="T36" s="667" t="s">
        <v>14</v>
      </c>
      <c r="U36" s="668" t="e">
        <f t="shared" si="13"/>
        <v>#N/A</v>
      </c>
      <c r="V36" s="667" t="s">
        <v>14</v>
      </c>
      <c r="W36" s="668" t="e">
        <f t="shared" si="14"/>
        <v>#N/A</v>
      </c>
      <c r="X36" s="1265"/>
      <c r="Y36" s="340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98"/>
      <c r="Q37" s="530" t="str">
        <f t="shared" si="11"/>
        <v>市政基础设施</v>
      </c>
      <c r="R37" s="664" t="s">
        <v>14</v>
      </c>
      <c r="S37" s="665">
        <f t="shared" si="12"/>
        <v>100</v>
      </c>
      <c r="T37" s="664" t="s">
        <v>14</v>
      </c>
      <c r="U37" s="665">
        <f t="shared" si="13"/>
        <v>100</v>
      </c>
      <c r="V37" s="664" t="s">
        <v>14</v>
      </c>
      <c r="W37" s="665">
        <f t="shared" si="14"/>
        <v>100</v>
      </c>
      <c r="X37" s="666"/>
      <c r="Y37" s="340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98" t="s">
        <v>1696</v>
      </c>
      <c r="Q38" s="1263" t="str">
        <f t="shared" si="11"/>
        <v>业态</v>
      </c>
      <c r="R38" s="667" t="s">
        <v>14</v>
      </c>
      <c r="S38" s="668">
        <f t="shared" si="12"/>
        <v>100</v>
      </c>
      <c r="T38" s="667" t="s">
        <v>14</v>
      </c>
      <c r="U38" s="668">
        <f t="shared" si="13"/>
        <v>100</v>
      </c>
      <c r="V38" s="667" t="s">
        <v>14</v>
      </c>
      <c r="W38" s="668">
        <f t="shared" si="14"/>
        <v>100</v>
      </c>
      <c r="X38" s="1265"/>
      <c r="Y38" s="340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98"/>
      <c r="Q39" s="1263" t="str">
        <f t="shared" si="11"/>
        <v>层高</v>
      </c>
      <c r="R39" s="667" t="s">
        <v>14</v>
      </c>
      <c r="S39" s="668">
        <f t="shared" si="12"/>
        <v>100</v>
      </c>
      <c r="T39" s="667" t="s">
        <v>14</v>
      </c>
      <c r="U39" s="668">
        <f t="shared" si="13"/>
        <v>100</v>
      </c>
      <c r="V39" s="667" t="s">
        <v>14</v>
      </c>
      <c r="W39" s="668">
        <f t="shared" si="14"/>
        <v>100</v>
      </c>
      <c r="X39" s="1265"/>
      <c r="Y39" s="340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8"/>
      <c r="Q40" s="1263" t="str">
        <f t="shared" si="11"/>
        <v>单套建筑面积</v>
      </c>
      <c r="R40" s="667" t="s">
        <v>14</v>
      </c>
      <c r="S40" s="668">
        <f t="shared" si="12"/>
        <v>100</v>
      </c>
      <c r="T40" s="667" t="s">
        <v>14</v>
      </c>
      <c r="U40" s="668">
        <f t="shared" si="13"/>
        <v>100</v>
      </c>
      <c r="V40" s="667" t="s">
        <v>14</v>
      </c>
      <c r="W40" s="668">
        <f t="shared" si="14"/>
        <v>100</v>
      </c>
      <c r="X40" s="1265"/>
      <c r="Y40" s="340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8"/>
      <c r="Q41" s="531" t="str">
        <f t="shared" si="11"/>
        <v>进深比</v>
      </c>
      <c r="R41" s="669" t="s">
        <v>14</v>
      </c>
      <c r="S41" s="670">
        <f t="shared" si="12"/>
        <v>100</v>
      </c>
      <c r="T41" s="669" t="s">
        <v>14</v>
      </c>
      <c r="U41" s="670">
        <f t="shared" si="13"/>
        <v>100</v>
      </c>
      <c r="V41" s="669" t="s">
        <v>14</v>
      </c>
      <c r="W41" s="670">
        <f t="shared" si="14"/>
        <v>100</v>
      </c>
      <c r="X41" s="671"/>
      <c r="Y41" s="340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98"/>
      <c r="Q42" s="1263" t="str">
        <f t="shared" si="11"/>
        <v>内部装修</v>
      </c>
      <c r="R42" s="667" t="s">
        <v>14</v>
      </c>
      <c r="S42" s="668">
        <f t="shared" si="12"/>
        <v>100</v>
      </c>
      <c r="T42" s="667" t="s">
        <v>14</v>
      </c>
      <c r="U42" s="668">
        <f t="shared" si="13"/>
        <v>100</v>
      </c>
      <c r="V42" s="667" t="s">
        <v>14</v>
      </c>
      <c r="W42" s="668">
        <f t="shared" si="14"/>
        <v>100</v>
      </c>
      <c r="X42" s="1265"/>
      <c r="Y42" s="340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98"/>
      <c r="Q43" s="1263" t="str">
        <f t="shared" si="11"/>
        <v>内部装修维护情况</v>
      </c>
      <c r="R43" s="667" t="s">
        <v>14</v>
      </c>
      <c r="S43" s="668">
        <f t="shared" si="12"/>
        <v>100</v>
      </c>
      <c r="T43" s="667" t="s">
        <v>14</v>
      </c>
      <c r="U43" s="668">
        <f t="shared" si="13"/>
        <v>100</v>
      </c>
      <c r="V43" s="667" t="s">
        <v>14</v>
      </c>
      <c r="W43" s="668">
        <f t="shared" si="14"/>
        <v>100</v>
      </c>
      <c r="X43" s="1265"/>
      <c r="Y43" s="340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98"/>
      <c r="Q44" s="530">
        <f t="shared" si="11"/>
        <v>111</v>
      </c>
      <c r="R44" s="664" t="s">
        <v>14</v>
      </c>
      <c r="S44" s="665">
        <f t="shared" si="12"/>
        <v>100</v>
      </c>
      <c r="T44" s="664" t="s">
        <v>14</v>
      </c>
      <c r="U44" s="665">
        <f t="shared" si="13"/>
        <v>100</v>
      </c>
      <c r="V44" s="664" t="s">
        <v>14</v>
      </c>
      <c r="W44" s="665">
        <f t="shared" si="14"/>
        <v>100</v>
      </c>
      <c r="X44" s="666"/>
      <c r="Y44" s="340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8"/>
      <c r="Q45" s="1263">
        <f t="shared" si="11"/>
        <v>111</v>
      </c>
      <c r="R45" s="667" t="s">
        <v>14</v>
      </c>
      <c r="S45" s="668">
        <f t="shared" si="12"/>
        <v>100</v>
      </c>
      <c r="T45" s="667" t="s">
        <v>14</v>
      </c>
      <c r="U45" s="668">
        <f t="shared" si="13"/>
        <v>100</v>
      </c>
      <c r="V45" s="667" t="s">
        <v>14</v>
      </c>
      <c r="W45" s="668">
        <f t="shared" si="14"/>
        <v>100</v>
      </c>
      <c r="X45" s="1265"/>
      <c r="Y45" s="340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9"/>
      <c r="Q46" s="1263">
        <f t="shared" si="11"/>
        <v>111</v>
      </c>
      <c r="R46" s="667" t="s">
        <v>14</v>
      </c>
      <c r="S46" s="668">
        <f t="shared" si="12"/>
        <v>100</v>
      </c>
      <c r="T46" s="667" t="s">
        <v>14</v>
      </c>
      <c r="U46" s="668">
        <f t="shared" si="13"/>
        <v>100</v>
      </c>
      <c r="V46" s="667" t="s">
        <v>14</v>
      </c>
      <c r="W46" s="668">
        <f t="shared" si="14"/>
        <v>100</v>
      </c>
      <c r="X46" s="1265"/>
      <c r="Y46" s="3401"/>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93" t="str">
        <f>A47</f>
        <v>成交单价（元/平方米）</v>
      </c>
      <c r="Q47" s="3393"/>
      <c r="R47" s="3394">
        <f>E47</f>
        <v>0</v>
      </c>
      <c r="S47" s="3394"/>
      <c r="T47" s="3394">
        <f>G47</f>
        <v>0</v>
      </c>
      <c r="U47" s="3394"/>
      <c r="V47" s="3394">
        <f>I47</f>
        <v>0</v>
      </c>
      <c r="W47" s="339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0"/>
  <sheetViews>
    <sheetView topLeftCell="A57" workbookViewId="0">
      <selection activeCell="B53" sqref="B53"/>
    </sheetView>
  </sheetViews>
  <sheetFormatPr defaultRowHeight="13.5"/>
  <sheetData>
    <row r="1" spans="2:10">
      <c r="B1" s="1156"/>
      <c r="C1" s="3151" t="s">
        <v>3433</v>
      </c>
      <c r="D1" s="3152" t="s">
        <v>3434</v>
      </c>
      <c r="E1" s="3152" t="s">
        <v>654</v>
      </c>
      <c r="F1" s="3152"/>
      <c r="G1" s="3152"/>
      <c r="H1" s="3152"/>
      <c r="I1" s="3152"/>
      <c r="J1" s="1156"/>
    </row>
    <row r="2" spans="2:10">
      <c r="B2" s="1156">
        <v>1</v>
      </c>
      <c r="C2" s="3153" t="s">
        <v>3435</v>
      </c>
      <c r="D2" s="1156">
        <v>70</v>
      </c>
      <c r="E2" s="3154">
        <v>1.9</v>
      </c>
      <c r="F2" s="1156"/>
      <c r="G2" s="1156" t="s">
        <v>3436</v>
      </c>
      <c r="H2" s="1156"/>
      <c r="I2" s="1156"/>
      <c r="J2" s="1156"/>
    </row>
    <row r="3" spans="2:10">
      <c r="B3" s="1156"/>
      <c r="C3" s="3155"/>
      <c r="D3" s="1156">
        <v>197</v>
      </c>
      <c r="E3" s="1156"/>
      <c r="F3" s="1156"/>
      <c r="G3" s="1156" t="s">
        <v>3437</v>
      </c>
      <c r="H3" s="1156"/>
      <c r="I3" s="1156"/>
      <c r="J3" s="1156"/>
    </row>
    <row r="4" spans="2:10">
      <c r="B4" s="1156"/>
      <c r="C4" s="3155"/>
      <c r="D4" s="1156"/>
      <c r="E4" s="1156"/>
      <c r="F4" s="1156"/>
      <c r="G4" s="1156"/>
      <c r="H4" s="1156"/>
      <c r="I4" s="1156"/>
      <c r="J4" s="1156"/>
    </row>
    <row r="5" spans="2:10">
      <c r="B5" s="1156"/>
      <c r="C5" s="3155"/>
      <c r="D5" s="1156" t="s">
        <v>3438</v>
      </c>
      <c r="E5" s="1156"/>
      <c r="F5" s="1156"/>
      <c r="G5" s="1156"/>
      <c r="H5" s="1156"/>
      <c r="I5" s="1156"/>
      <c r="J5" s="1156"/>
    </row>
    <row r="6" spans="2:10">
      <c r="B6" s="1156"/>
      <c r="C6" s="3155"/>
      <c r="D6" s="1156" t="s">
        <v>3439</v>
      </c>
      <c r="E6" s="1156" t="s">
        <v>3440</v>
      </c>
      <c r="F6" s="1156" t="s">
        <v>3441</v>
      </c>
      <c r="G6" s="1156" t="s">
        <v>3485</v>
      </c>
      <c r="H6" s="3152">
        <f>E2-0.2</f>
        <v>1.7</v>
      </c>
      <c r="I6" s="1156"/>
      <c r="J6" s="1156"/>
    </row>
    <row r="7" spans="2:10">
      <c r="B7" s="1156"/>
      <c r="C7" s="3155"/>
      <c r="D7" s="1156"/>
      <c r="E7" s="1156" t="s">
        <v>3442</v>
      </c>
      <c r="F7" s="1156" t="s">
        <v>3443</v>
      </c>
      <c r="G7" s="1156"/>
      <c r="H7" s="1156"/>
      <c r="I7" s="1156"/>
      <c r="J7" s="1156"/>
    </row>
    <row r="8" spans="2:10">
      <c r="B8" s="1156"/>
      <c r="C8" s="3155"/>
      <c r="D8" s="1156" t="s">
        <v>3444</v>
      </c>
      <c r="E8" s="1156" t="s">
        <v>3445</v>
      </c>
      <c r="F8" s="1156"/>
      <c r="G8" s="1156"/>
      <c r="H8" s="1156"/>
      <c r="I8" s="1156"/>
      <c r="J8" s="1156"/>
    </row>
    <row r="9" spans="2:10">
      <c r="B9" s="1156"/>
      <c r="C9" s="3155"/>
      <c r="D9" s="1156" t="s">
        <v>3446</v>
      </c>
      <c r="E9" s="1156" t="s">
        <v>3447</v>
      </c>
      <c r="F9" s="1156"/>
      <c r="G9" s="1156"/>
      <c r="H9" s="1156"/>
      <c r="I9" s="1156"/>
      <c r="J9" s="1156"/>
    </row>
    <row r="10" spans="2:10">
      <c r="B10" s="1156"/>
      <c r="C10" s="3155"/>
      <c r="D10" s="1156" t="s">
        <v>3448</v>
      </c>
      <c r="E10" s="1156" t="s">
        <v>3449</v>
      </c>
      <c r="F10" s="1156"/>
      <c r="G10" s="1156"/>
      <c r="H10" s="1156"/>
      <c r="I10" s="1156"/>
      <c r="J10" s="1156"/>
    </row>
    <row r="11" spans="2:10">
      <c r="B11" s="1156"/>
      <c r="C11" s="3155"/>
      <c r="D11" s="1156" t="s">
        <v>3450</v>
      </c>
      <c r="E11" s="1156"/>
      <c r="F11" s="1156"/>
      <c r="G11" s="1156"/>
      <c r="H11" s="1156"/>
      <c r="I11" s="1156"/>
      <c r="J11" s="1156"/>
    </row>
    <row r="12" spans="2:10">
      <c r="B12" s="1156"/>
      <c r="C12" s="3155"/>
      <c r="D12" s="1156"/>
      <c r="E12" s="1156"/>
      <c r="F12" s="1156"/>
      <c r="G12" s="1156"/>
      <c r="H12" s="1156"/>
      <c r="I12" s="1156"/>
      <c r="J12" s="1156"/>
    </row>
    <row r="13" spans="2:10">
      <c r="B13" s="1156">
        <v>2</v>
      </c>
      <c r="C13" s="3155" t="s">
        <v>3435</v>
      </c>
      <c r="D13" s="1156">
        <v>197</v>
      </c>
      <c r="E13" s="3154">
        <v>2.2999999999999998</v>
      </c>
      <c r="F13" s="1156"/>
      <c r="G13" s="1156"/>
      <c r="H13" s="1156"/>
      <c r="I13" s="1156"/>
      <c r="J13" s="1156"/>
    </row>
    <row r="14" spans="2:10">
      <c r="B14" s="1156"/>
      <c r="C14" s="3155"/>
      <c r="D14" s="1156"/>
      <c r="E14" s="1156" t="s">
        <v>3438</v>
      </c>
      <c r="F14" s="1156"/>
      <c r="G14" s="1156"/>
      <c r="H14" s="1156"/>
      <c r="I14" s="1156"/>
      <c r="J14" s="1156"/>
    </row>
    <row r="15" spans="2:10">
      <c r="B15" s="1156"/>
      <c r="C15" s="3155"/>
      <c r="D15" s="1156"/>
      <c r="E15" s="1156" t="s">
        <v>3451</v>
      </c>
      <c r="F15" s="1156"/>
      <c r="G15" s="1156"/>
      <c r="H15" s="1156"/>
      <c r="I15" s="1156"/>
      <c r="J15" s="1156"/>
    </row>
    <row r="16" spans="2:10">
      <c r="B16" s="1156"/>
      <c r="C16" s="3155"/>
      <c r="D16" s="1156"/>
      <c r="E16" s="1156" t="s">
        <v>3452</v>
      </c>
      <c r="F16" s="1156"/>
      <c r="G16" s="1156"/>
      <c r="H16" s="1156"/>
      <c r="I16" s="1156"/>
      <c r="J16" s="1156"/>
    </row>
    <row r="17" spans="2:10">
      <c r="B17" s="1156"/>
      <c r="C17" s="3155"/>
      <c r="D17" s="1156"/>
      <c r="E17" s="1156"/>
      <c r="F17" s="1156"/>
      <c r="G17" s="1156"/>
      <c r="H17" s="1156"/>
      <c r="I17" s="1156"/>
      <c r="J17" s="1156"/>
    </row>
    <row r="18" spans="2:10">
      <c r="B18" s="1156"/>
      <c r="C18" s="3155"/>
      <c r="D18" s="1156"/>
      <c r="E18" s="1156"/>
      <c r="F18" s="1156"/>
      <c r="G18" s="1156"/>
      <c r="H18" s="1156"/>
      <c r="I18" s="1156"/>
      <c r="J18" s="1156"/>
    </row>
    <row r="19" spans="2:10">
      <c r="B19" s="1156">
        <v>3</v>
      </c>
      <c r="C19" s="3155" t="s">
        <v>3453</v>
      </c>
      <c r="D19" s="1156">
        <v>90</v>
      </c>
      <c r="E19" s="3154">
        <f>F19/D19/365</f>
        <v>2.8919330289193304</v>
      </c>
      <c r="F19" s="1156">
        <v>95000</v>
      </c>
      <c r="G19" s="1156" t="s">
        <v>3454</v>
      </c>
      <c r="H19" s="1156"/>
      <c r="I19" s="1156"/>
      <c r="J19" s="1156"/>
    </row>
    <row r="20" spans="2:10">
      <c r="B20" s="1156"/>
      <c r="C20" s="3155"/>
      <c r="D20" s="1156" t="s">
        <v>3455</v>
      </c>
      <c r="E20" s="1156"/>
      <c r="F20" s="1156"/>
      <c r="G20" s="1156"/>
      <c r="H20" s="1156"/>
      <c r="I20" s="1156"/>
      <c r="J20" s="1156"/>
    </row>
    <row r="21" spans="2:10">
      <c r="B21" s="1156"/>
      <c r="C21" s="3155"/>
      <c r="D21" s="1156"/>
      <c r="E21" s="1156"/>
      <c r="F21" s="1156"/>
      <c r="G21" s="1156"/>
      <c r="H21" s="1156"/>
      <c r="I21" s="1156"/>
      <c r="J21" s="1156"/>
    </row>
    <row r="22" spans="2:10">
      <c r="B22" s="1156"/>
      <c r="C22" s="3155"/>
      <c r="D22" s="1156"/>
      <c r="E22" s="1156"/>
      <c r="F22" s="1156"/>
      <c r="G22" s="1156"/>
      <c r="H22" s="1156"/>
      <c r="I22" s="1156"/>
      <c r="J22" s="1156"/>
    </row>
    <row r="23" spans="2:10" ht="40.5">
      <c r="B23" s="1156">
        <v>4</v>
      </c>
      <c r="C23" s="3155" t="s">
        <v>3456</v>
      </c>
      <c r="D23" s="1156">
        <v>770</v>
      </c>
      <c r="E23" s="3154">
        <f>F23/D23/365</f>
        <v>1.0674257249599717</v>
      </c>
      <c r="F23" s="1156">
        <v>300000</v>
      </c>
      <c r="G23" s="1156" t="s">
        <v>3457</v>
      </c>
      <c r="H23" s="1156" t="s">
        <v>3458</v>
      </c>
      <c r="I23" s="1156"/>
      <c r="J23" s="1156"/>
    </row>
    <row r="24" spans="2:10">
      <c r="B24" s="1156"/>
      <c r="C24" s="3155"/>
      <c r="D24" s="1156" t="s">
        <v>3459</v>
      </c>
      <c r="E24" s="1156"/>
      <c r="F24" s="1156"/>
      <c r="G24" s="1156"/>
      <c r="H24" s="1156"/>
      <c r="I24" s="1156"/>
      <c r="J24" s="1156"/>
    </row>
    <row r="25" spans="2:10">
      <c r="B25" s="1156"/>
      <c r="C25" s="3155"/>
      <c r="D25" s="1156" t="s">
        <v>3460</v>
      </c>
      <c r="E25" s="1156"/>
      <c r="F25" s="1156"/>
      <c r="G25" s="1156"/>
      <c r="H25" s="1156"/>
      <c r="I25" s="1156"/>
      <c r="J25" s="1156"/>
    </row>
    <row r="26" spans="2:10">
      <c r="B26" s="1156"/>
      <c r="C26" s="3155"/>
      <c r="D26" s="1156"/>
      <c r="E26" s="1156"/>
      <c r="F26" s="1156"/>
      <c r="G26" s="1156"/>
      <c r="H26" s="1156"/>
      <c r="I26" s="1156"/>
      <c r="J26" s="1156"/>
    </row>
    <row r="27" spans="2:10" ht="27">
      <c r="B27" s="1156">
        <v>5</v>
      </c>
      <c r="C27" s="3155" t="s">
        <v>3461</v>
      </c>
      <c r="D27" s="1156">
        <v>1200</v>
      </c>
      <c r="E27" s="3154" t="s">
        <v>3462</v>
      </c>
      <c r="F27" s="1156" t="s">
        <v>3463</v>
      </c>
      <c r="G27" s="1156" t="s">
        <v>3464</v>
      </c>
      <c r="H27" s="1156"/>
      <c r="I27" s="1156" t="s">
        <v>3465</v>
      </c>
      <c r="J27" s="1156"/>
    </row>
    <row r="28" spans="2:10">
      <c r="B28" s="1156"/>
      <c r="C28" s="3155"/>
      <c r="D28" s="1156"/>
      <c r="E28" s="1156"/>
      <c r="F28" s="1156"/>
      <c r="G28" s="1156"/>
      <c r="H28" s="1156"/>
      <c r="I28" s="1156"/>
      <c r="J28" s="1156"/>
    </row>
    <row r="29" spans="2:10" ht="27">
      <c r="B29" s="1156">
        <v>6</v>
      </c>
      <c r="C29" s="3153" t="s">
        <v>3466</v>
      </c>
      <c r="D29" s="1156">
        <v>1800</v>
      </c>
      <c r="E29" s="3154">
        <v>1.9</v>
      </c>
      <c r="F29" s="1156" t="s">
        <v>3463</v>
      </c>
      <c r="G29" s="1156" t="s">
        <v>3467</v>
      </c>
      <c r="H29" s="1156"/>
      <c r="I29" s="1156"/>
      <c r="J29" s="1156" t="s">
        <v>3465</v>
      </c>
    </row>
    <row r="30" spans="2:10">
      <c r="B30" s="1156"/>
      <c r="C30" s="3155"/>
      <c r="D30" s="2580" t="s">
        <v>3499</v>
      </c>
      <c r="E30" s="2580" t="s">
        <v>3485</v>
      </c>
      <c r="F30" s="3152">
        <f>E29-0.2</f>
        <v>1.7</v>
      </c>
      <c r="G30" s="1156"/>
      <c r="H30" s="1156"/>
      <c r="I30" s="1156"/>
      <c r="J30" s="1156"/>
    </row>
    <row r="31" spans="2:10" ht="27">
      <c r="B31" s="1156">
        <v>7</v>
      </c>
      <c r="C31" s="3155" t="s">
        <v>3468</v>
      </c>
      <c r="D31" s="1156" t="s">
        <v>3469</v>
      </c>
      <c r="E31" s="3154">
        <v>3</v>
      </c>
      <c r="F31" s="1156" t="s">
        <v>3470</v>
      </c>
      <c r="G31" s="1156"/>
      <c r="H31" s="1156"/>
      <c r="I31" s="1156" t="s">
        <v>3465</v>
      </c>
      <c r="J31" s="1156"/>
    </row>
    <row r="32" spans="2:10" ht="27">
      <c r="B32" s="1156">
        <v>8</v>
      </c>
      <c r="C32" s="3155" t="s">
        <v>3471</v>
      </c>
      <c r="D32" s="1156"/>
      <c r="E32" s="3154" t="s">
        <v>3472</v>
      </c>
      <c r="F32" s="1156" t="s">
        <v>3470</v>
      </c>
      <c r="G32" s="1156"/>
      <c r="H32" s="1156"/>
      <c r="I32" s="1156"/>
      <c r="J32" s="1156"/>
    </row>
    <row r="33" spans="2:10">
      <c r="B33" s="1156"/>
      <c r="C33" s="3155"/>
      <c r="D33" s="1156"/>
      <c r="E33" s="1156"/>
      <c r="F33" s="1156" t="s">
        <v>3473</v>
      </c>
      <c r="G33" s="1156"/>
      <c r="H33" s="1156"/>
      <c r="I33" s="1156" t="s">
        <v>3474</v>
      </c>
      <c r="J33" s="1156"/>
    </row>
    <row r="34" spans="2:10">
      <c r="B34" s="1156"/>
      <c r="C34" s="3155"/>
      <c r="D34" s="1156"/>
      <c r="E34" s="1156"/>
      <c r="F34" s="1156" t="s">
        <v>3475</v>
      </c>
      <c r="G34" s="1156" t="s">
        <v>3476</v>
      </c>
      <c r="H34" s="1156"/>
      <c r="I34" s="1156"/>
      <c r="J34" s="1156"/>
    </row>
    <row r="35" spans="2:10" ht="27">
      <c r="B35" s="1156">
        <v>9</v>
      </c>
      <c r="C35" s="3155" t="s">
        <v>3466</v>
      </c>
      <c r="D35" s="1156">
        <v>1100</v>
      </c>
      <c r="E35" s="3154" t="s">
        <v>3477</v>
      </c>
      <c r="F35" s="1156" t="s">
        <v>3470</v>
      </c>
      <c r="G35" s="1156" t="s">
        <v>2825</v>
      </c>
      <c r="H35" s="1156"/>
      <c r="I35" s="1156" t="s">
        <v>3465</v>
      </c>
      <c r="J35" s="1156"/>
    </row>
    <row r="36" spans="2:10">
      <c r="B36" s="1156"/>
      <c r="C36" s="3155"/>
      <c r="D36" s="1156"/>
      <c r="E36" s="1156"/>
      <c r="F36" s="1156" t="s">
        <v>3478</v>
      </c>
      <c r="G36" s="1156"/>
      <c r="H36" s="1156"/>
      <c r="I36" s="1156"/>
      <c r="J36" s="1156"/>
    </row>
    <row r="37" spans="2:10" ht="27">
      <c r="B37" s="1156">
        <v>10</v>
      </c>
      <c r="C37" s="3153" t="s">
        <v>3479</v>
      </c>
      <c r="D37" s="1156">
        <v>1200</v>
      </c>
      <c r="E37" s="3154">
        <v>2</v>
      </c>
      <c r="F37" s="1156" t="s">
        <v>3470</v>
      </c>
      <c r="G37" s="1156"/>
      <c r="H37" s="1156"/>
      <c r="I37" s="1156" t="s">
        <v>3465</v>
      </c>
      <c r="J37" s="1156"/>
    </row>
    <row r="38" spans="2:10">
      <c r="B38" s="1156"/>
      <c r="C38" s="3155"/>
      <c r="D38" s="1156" t="s">
        <v>3480</v>
      </c>
      <c r="E38" s="1156"/>
      <c r="F38" s="1156" t="s">
        <v>3481</v>
      </c>
      <c r="G38" s="1156" t="s">
        <v>3482</v>
      </c>
      <c r="H38" s="1156"/>
      <c r="I38" s="1156"/>
      <c r="J38" s="1156"/>
    </row>
    <row r="39" spans="2:10">
      <c r="B39" s="1156"/>
      <c r="C39" s="3155"/>
      <c r="D39" s="1156" t="s">
        <v>3483</v>
      </c>
      <c r="E39" s="1156"/>
      <c r="F39" s="1156"/>
      <c r="G39" s="1156"/>
      <c r="H39" s="1156"/>
      <c r="I39" s="1156"/>
      <c r="J39" s="1156"/>
    </row>
    <row r="40" spans="2:10">
      <c r="B40" s="1156"/>
      <c r="C40" s="3155"/>
      <c r="D40" s="1156">
        <f>6/30</f>
        <v>0.2</v>
      </c>
      <c r="E40" s="1156"/>
      <c r="F40" s="1156" t="s">
        <v>3484</v>
      </c>
      <c r="G40" s="3152">
        <f>E37-D40</f>
        <v>1.8</v>
      </c>
      <c r="H40" s="1156"/>
      <c r="I40" s="1156"/>
      <c r="J40" s="1156"/>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O47" sqref="O47"/>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0"/>
      <c r="F1" s="1735" t="s">
        <v>3393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1.6</v>
      </c>
      <c r="C3" s="344" t="s">
        <v>1768</v>
      </c>
      <c r="D3" s="343">
        <f>IF(D1="",'数据-汇总表'!E3,SUMIF('数据-汇总表'!$C19:$C33,D1,'数据-汇总表'!$E19:$E33))</f>
        <v>89.54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08" t="s">
        <v>1770</v>
      </c>
      <c r="D4" s="3409"/>
      <c r="E4" s="3410" t="s">
        <v>1771</v>
      </c>
      <c r="F4" s="3411"/>
      <c r="G4" s="3408" t="s">
        <v>1772</v>
      </c>
      <c r="H4" s="3409"/>
      <c r="I4" s="3408" t="s">
        <v>1773</v>
      </c>
      <c r="J4" s="3409"/>
      <c r="K4" s="537" t="s">
        <v>1774</v>
      </c>
      <c r="L4" s="2485"/>
      <c r="M4" s="2486"/>
      <c r="N4" s="2486"/>
      <c r="O4" s="2486"/>
      <c r="P4" s="3441" t="s">
        <v>1775</v>
      </c>
      <c r="Q4" s="3442"/>
      <c r="R4" s="3445" t="s">
        <v>1771</v>
      </c>
      <c r="S4" s="3446"/>
      <c r="T4" s="3445" t="s">
        <v>1772</v>
      </c>
      <c r="U4" s="3446"/>
      <c r="V4" s="3447" t="s">
        <v>1773</v>
      </c>
      <c r="W4" s="3447"/>
      <c r="X4" s="1809"/>
      <c r="Y4" s="3445" t="s">
        <v>1775</v>
      </c>
      <c r="Z4" s="3446"/>
      <c r="AA4" s="3450" t="s">
        <v>1771</v>
      </c>
      <c r="AB4" s="3450" t="s">
        <v>1772</v>
      </c>
      <c r="AC4" s="3438" t="s">
        <v>1773</v>
      </c>
    </row>
    <row r="5" spans="1:29" ht="15">
      <c r="A5" s="348"/>
      <c r="B5" s="349"/>
      <c r="C5" s="3448" t="s">
        <v>3519</v>
      </c>
      <c r="D5" s="3427"/>
      <c r="E5" s="3451" t="str">
        <f>Sheet1!C2</f>
        <v>路庄桥</v>
      </c>
      <c r="F5" s="3434"/>
      <c r="G5" s="3448" t="s">
        <v>3430</v>
      </c>
      <c r="H5" s="3427"/>
      <c r="I5" s="3448" t="s">
        <v>3431</v>
      </c>
      <c r="J5" s="3427"/>
      <c r="K5" s="537"/>
      <c r="L5" s="2485"/>
      <c r="M5" s="2486"/>
      <c r="N5" s="2486"/>
      <c r="O5" s="2486"/>
      <c r="P5" s="3443"/>
      <c r="Q5" s="3415"/>
      <c r="R5" s="3420"/>
      <c r="S5" s="3421"/>
      <c r="T5" s="3420"/>
      <c r="U5" s="3421"/>
      <c r="V5" s="3394"/>
      <c r="W5" s="3394"/>
      <c r="X5" s="1265"/>
      <c r="Y5" s="3420"/>
      <c r="Z5" s="3421"/>
      <c r="AA5" s="3406"/>
      <c r="AB5" s="3406"/>
      <c r="AC5" s="3439"/>
    </row>
    <row r="6" spans="1:29" ht="15.75" thickBot="1">
      <c r="A6" s="350"/>
      <c r="B6" s="351"/>
      <c r="C6" s="3424" t="s">
        <v>1677</v>
      </c>
      <c r="D6" s="3425"/>
      <c r="E6" s="3431" t="s">
        <v>1677</v>
      </c>
      <c r="F6" s="3432"/>
      <c r="G6" s="3424" t="s">
        <v>1677</v>
      </c>
      <c r="H6" s="3425"/>
      <c r="I6" s="3424" t="s">
        <v>1677</v>
      </c>
      <c r="J6" s="3425"/>
      <c r="K6" s="537" t="s">
        <v>1678</v>
      </c>
      <c r="L6" s="2485"/>
      <c r="M6" s="2486"/>
      <c r="N6" s="2486"/>
      <c r="O6" s="2486"/>
      <c r="P6" s="3444"/>
      <c r="Q6" s="3417"/>
      <c r="R6" s="3420"/>
      <c r="S6" s="3421"/>
      <c r="T6" s="3422"/>
      <c r="U6" s="3423"/>
      <c r="V6" s="3394"/>
      <c r="W6" s="3394"/>
      <c r="X6" s="1265"/>
      <c r="Y6" s="3422"/>
      <c r="Z6" s="3423"/>
      <c r="AA6" s="3407"/>
      <c r="AB6" s="3407"/>
      <c r="AC6" s="3440"/>
    </row>
    <row r="7" spans="1:29" s="102" customFormat="1" ht="15.75" thickBot="1">
      <c r="A7" s="352" t="s">
        <v>1679</v>
      </c>
      <c r="B7" s="353"/>
      <c r="C7" s="354">
        <f>'数据-取费表'!B2</f>
        <v>45601</v>
      </c>
      <c r="D7" s="355">
        <v>100</v>
      </c>
      <c r="E7" s="356">
        <v>45597</v>
      </c>
      <c r="F7" s="357">
        <f>SUMIF(59:59,YEAR(E7)&amp;"-"&amp;MONTH(E7),60:60)</f>
        <v>100</v>
      </c>
      <c r="G7" s="356">
        <v>45597</v>
      </c>
      <c r="H7" s="355">
        <f>SUMIF(59:59,YEAR(G7)&amp;"-"&amp;MONTH(G7),60:60)</f>
        <v>100</v>
      </c>
      <c r="I7" s="356">
        <v>45597</v>
      </c>
      <c r="J7" s="355">
        <f>SUMIF(59:59,YEAR(I7)&amp;"-"&amp;MONTH(I7),60:60)</f>
        <v>100</v>
      </c>
      <c r="K7" s="38"/>
      <c r="L7" s="2487"/>
      <c r="M7" s="2439"/>
      <c r="N7" s="2439"/>
      <c r="O7" s="2439"/>
      <c r="P7" s="3449" t="s">
        <v>1680</v>
      </c>
      <c r="Q7" s="3430"/>
      <c r="R7" s="664" t="s">
        <v>14</v>
      </c>
      <c r="S7" s="665">
        <f t="shared" ref="S7:S15" si="0">F7</f>
        <v>100</v>
      </c>
      <c r="T7" s="664" t="s">
        <v>14</v>
      </c>
      <c r="U7" s="665">
        <f t="shared" ref="U7:U15" si="1">H7</f>
        <v>100</v>
      </c>
      <c r="V7" s="664" t="s">
        <v>14</v>
      </c>
      <c r="W7" s="665">
        <f t="shared" ref="W7:W15" si="2">J7</f>
        <v>100</v>
      </c>
      <c r="X7" s="666"/>
      <c r="Y7" s="3428" t="s">
        <v>1680</v>
      </c>
      <c r="Z7" s="3429"/>
      <c r="AA7" s="50">
        <f>D7/F7</f>
        <v>1</v>
      </c>
      <c r="AB7" s="50">
        <f>D7/H7</f>
        <v>1</v>
      </c>
      <c r="AC7" s="802">
        <f>D7/J7</f>
        <v>1</v>
      </c>
    </row>
    <row r="8" spans="1:29" s="102" customFormat="1" ht="15.75" thickBot="1">
      <c r="A8" s="352" t="s">
        <v>1681</v>
      </c>
      <c r="B8" s="353"/>
      <c r="C8" s="358" t="s">
        <v>3394</v>
      </c>
      <c r="D8" s="355">
        <v>100</v>
      </c>
      <c r="E8" s="358" t="s">
        <v>3395</v>
      </c>
      <c r="F8" s="357">
        <f>SUMIF(62:62,E8,63:63)-SUMIF(62:62,C8,63:63)+100</f>
        <v>102</v>
      </c>
      <c r="G8" s="358" t="s">
        <v>3395</v>
      </c>
      <c r="H8" s="355">
        <f>SUMIF(62:62,G8,63:63)-SUMIF(62:62,C8,63:63)+100</f>
        <v>102</v>
      </c>
      <c r="I8" s="358" t="s">
        <v>3395</v>
      </c>
      <c r="J8" s="355">
        <f>SUMIF(62:62,I8,63:63)-SUMIF(62:62,C8,63:63)+100</f>
        <v>102</v>
      </c>
      <c r="K8" s="38"/>
      <c r="L8" s="2487"/>
      <c r="M8" s="2439"/>
      <c r="N8" s="2439"/>
      <c r="O8" s="2439"/>
      <c r="P8" s="3449" t="s">
        <v>1683</v>
      </c>
      <c r="Q8" s="3429"/>
      <c r="R8" s="664" t="s">
        <v>14</v>
      </c>
      <c r="S8" s="665">
        <f t="shared" si="0"/>
        <v>102</v>
      </c>
      <c r="T8" s="664" t="s">
        <v>14</v>
      </c>
      <c r="U8" s="665">
        <f t="shared" si="1"/>
        <v>102</v>
      </c>
      <c r="V8" s="664" t="s">
        <v>14</v>
      </c>
      <c r="W8" s="665">
        <f t="shared" si="2"/>
        <v>102</v>
      </c>
      <c r="X8" s="666"/>
      <c r="Y8" s="3428" t="s">
        <v>1683</v>
      </c>
      <c r="Z8" s="3429"/>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47" t="s">
        <v>3397</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4"/>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4"/>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4"/>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4"/>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估价对象位于XX商圈，周边办公楼项目较多，入驻率高，办公集聚程度较好：无</v>
      </c>
      <c r="D15" s="380">
        <v>100</v>
      </c>
      <c r="E15" s="3167" t="s">
        <v>3507</v>
      </c>
      <c r="F15" s="380">
        <f>SUMIF(77:77,E16,78:78)-SUMIF(77:77,C16,78:78)+100</f>
        <v>105</v>
      </c>
      <c r="G15" s="3167" t="s">
        <v>3508</v>
      </c>
      <c r="H15" s="380">
        <f>SUMIF(77:77,G16,78:78)-SUMIF(77:77,C16,78:78)+100</f>
        <v>105</v>
      </c>
      <c r="I15" s="3167" t="s">
        <v>3506</v>
      </c>
      <c r="J15" s="380">
        <f>SUMIF(77:77,I16,78:78)-SUMIF(77:77,C16,78:78)+100</f>
        <v>110</v>
      </c>
      <c r="K15" s="3175">
        <v>5</v>
      </c>
      <c r="L15" s="2491"/>
      <c r="M15" s="2486"/>
      <c r="N15" s="2486"/>
      <c r="O15" s="2486"/>
      <c r="P15" s="3402" t="s">
        <v>1691</v>
      </c>
      <c r="Q15" s="1263" t="str">
        <f t="shared" si="6"/>
        <v>办公集聚程度</v>
      </c>
      <c r="R15" s="667" t="s">
        <v>14</v>
      </c>
      <c r="S15" s="668">
        <f t="shared" si="0"/>
        <v>105</v>
      </c>
      <c r="T15" s="667" t="s">
        <v>14</v>
      </c>
      <c r="U15" s="668">
        <f t="shared" si="1"/>
        <v>105</v>
      </c>
      <c r="V15" s="667" t="s">
        <v>14</v>
      </c>
      <c r="W15" s="668">
        <f t="shared" si="2"/>
        <v>110</v>
      </c>
      <c r="X15" s="1265"/>
      <c r="Y15" s="3395" t="s">
        <v>1691</v>
      </c>
      <c r="Z15" s="1264" t="str">
        <f t="shared" si="7"/>
        <v>办公集聚程度</v>
      </c>
      <c r="AA15" s="1264">
        <f t="shared" si="3"/>
        <v>0.95238095238095233</v>
      </c>
      <c r="AB15" s="1264">
        <f t="shared" si="4"/>
        <v>0.95238095238095233</v>
      </c>
      <c r="AC15" s="1812">
        <f t="shared" si="5"/>
        <v>0.90909090909090906</v>
      </c>
    </row>
    <row r="16" spans="1:29" ht="15">
      <c r="A16" s="367"/>
      <c r="B16" s="555"/>
      <c r="C16" s="3174" t="s">
        <v>3517</v>
      </c>
      <c r="D16" s="387"/>
      <c r="E16" s="386" t="s">
        <v>3398</v>
      </c>
      <c r="F16" s="387"/>
      <c r="G16" s="1758" t="s">
        <v>3398</v>
      </c>
      <c r="H16" s="389"/>
      <c r="I16" s="386" t="s">
        <v>3432</v>
      </c>
      <c r="J16" s="387"/>
      <c r="K16" s="541"/>
      <c r="L16" s="2491"/>
      <c r="M16" s="2486"/>
      <c r="N16" s="2486"/>
      <c r="O16" s="2486"/>
      <c r="P16" s="3403"/>
      <c r="Q16" s="1263"/>
      <c r="R16" s="667"/>
      <c r="S16" s="668"/>
      <c r="T16" s="667"/>
      <c r="U16" s="668"/>
      <c r="V16" s="667"/>
      <c r="W16" s="668"/>
      <c r="X16" s="1265"/>
      <c r="Y16" s="3396"/>
      <c r="Z16" s="1264"/>
      <c r="AA16" s="1264">
        <v>1</v>
      </c>
      <c r="AB16" s="1264">
        <v>1</v>
      </c>
      <c r="AC16" s="1812">
        <v>1</v>
      </c>
    </row>
    <row r="17" spans="1:29" ht="199.5">
      <c r="A17" s="367"/>
      <c r="B17" s="556" t="s">
        <v>1259</v>
      </c>
      <c r="C17" s="1813" t="str">
        <f>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7" s="389">
        <v>100</v>
      </c>
      <c r="E17" s="3163" t="s">
        <v>3495</v>
      </c>
      <c r="F17" s="389">
        <f>SUMIF(79:79,E18,80:80)-SUMIF(79:79,C18,80:80)+100</f>
        <v>100</v>
      </c>
      <c r="G17" s="3162" t="s">
        <v>3494</v>
      </c>
      <c r="H17" s="394">
        <f>SUMIF(79:79,G18,80:80)-SUMIF(79:79,C18,80:80)+100</f>
        <v>100</v>
      </c>
      <c r="I17" s="3162" t="s">
        <v>3493</v>
      </c>
      <c r="J17" s="394">
        <f>SUMIF(79:79,I18,80:80)-SUMIF(79:79,C18,80:80)+100</f>
        <v>100</v>
      </c>
      <c r="K17" s="540">
        <v>2</v>
      </c>
      <c r="L17" s="2491"/>
      <c r="M17" s="2486"/>
      <c r="N17" s="2486"/>
      <c r="O17" s="2486"/>
      <c r="P17" s="3403"/>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812">
        <f t="shared" si="5"/>
        <v>1</v>
      </c>
    </row>
    <row r="18" spans="1:29" ht="15">
      <c r="A18" s="367"/>
      <c r="B18" s="401"/>
      <c r="C18" s="1814" t="s">
        <v>3398</v>
      </c>
      <c r="D18" s="389"/>
      <c r="E18" s="1756" t="s">
        <v>3398</v>
      </c>
      <c r="F18" s="389"/>
      <c r="G18" s="1757" t="s">
        <v>3398</v>
      </c>
      <c r="H18" s="387"/>
      <c r="I18" s="1757" t="s">
        <v>3398</v>
      </c>
      <c r="J18" s="387"/>
      <c r="K18" s="541"/>
      <c r="L18" s="2491"/>
      <c r="M18" s="2486"/>
      <c r="N18" s="2486"/>
      <c r="O18" s="2486"/>
      <c r="P18" s="3403"/>
      <c r="Q18" s="1263"/>
      <c r="R18" s="667"/>
      <c r="S18" s="668"/>
      <c r="T18" s="667"/>
      <c r="U18" s="668"/>
      <c r="V18" s="667"/>
      <c r="W18" s="668"/>
      <c r="X18" s="1265"/>
      <c r="Y18" s="3396"/>
      <c r="Z18" s="1264"/>
      <c r="AA18" s="1264">
        <v>1</v>
      </c>
      <c r="AB18" s="1264">
        <v>1</v>
      </c>
      <c r="AC18" s="1812">
        <v>1</v>
      </c>
    </row>
    <row r="19" spans="1:29" ht="356.25">
      <c r="A19" s="367"/>
      <c r="B19" s="556" t="s">
        <v>1812</v>
      </c>
      <c r="C19" s="1813" t="str">
        <f>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9" s="394">
        <v>100</v>
      </c>
      <c r="E19" s="3164" t="s">
        <v>3497</v>
      </c>
      <c r="F19" s="394">
        <f>SUMIF(81:81,E20,82:82)-SUMIF(81:81,C20,82:82)+100</f>
        <v>102</v>
      </c>
      <c r="G19" s="3160" t="s">
        <v>3492</v>
      </c>
      <c r="H19" s="389">
        <f>SUMIF(81:81,G20,82:82)-SUMIF(81:81,C20,82:82)+100</f>
        <v>102</v>
      </c>
      <c r="I19" s="3160" t="s">
        <v>3496</v>
      </c>
      <c r="J19" s="389">
        <f>SUMIF(81:81,I20,82:82)-SUMIF(81:81,C20,82:82)+100</f>
        <v>100</v>
      </c>
      <c r="K19" s="540">
        <v>2</v>
      </c>
      <c r="L19" s="2491"/>
      <c r="M19" s="2486"/>
      <c r="N19" s="2486"/>
      <c r="O19" s="2486"/>
      <c r="P19" s="3403"/>
      <c r="Q19" s="1263" t="str">
        <f>B19</f>
        <v>公共配套设施</v>
      </c>
      <c r="R19" s="667" t="s">
        <v>14</v>
      </c>
      <c r="S19" s="668">
        <f>F19</f>
        <v>102</v>
      </c>
      <c r="T19" s="667" t="s">
        <v>14</v>
      </c>
      <c r="U19" s="668">
        <f>H19</f>
        <v>102</v>
      </c>
      <c r="V19" s="667" t="s">
        <v>14</v>
      </c>
      <c r="W19" s="668">
        <f>J19</f>
        <v>100</v>
      </c>
      <c r="X19" s="1265"/>
      <c r="Y19" s="3396"/>
      <c r="Z19" s="1264" t="str">
        <f>Q19</f>
        <v>公共配套设施</v>
      </c>
      <c r="AA19" s="1264">
        <f t="shared" si="3"/>
        <v>0.98039215686274506</v>
      </c>
      <c r="AB19" s="1264">
        <f t="shared" si="4"/>
        <v>0.98039215686274506</v>
      </c>
      <c r="AC19" s="1812">
        <f t="shared" si="5"/>
        <v>1</v>
      </c>
    </row>
    <row r="20" spans="1:29" ht="15">
      <c r="A20" s="367"/>
      <c r="B20" s="401"/>
      <c r="C20" s="1758" t="s">
        <v>3398</v>
      </c>
      <c r="D20" s="387"/>
      <c r="E20" s="1751" t="s">
        <v>3432</v>
      </c>
      <c r="F20" s="387"/>
      <c r="G20" s="1752" t="s">
        <v>3432</v>
      </c>
      <c r="H20" s="387"/>
      <c r="I20" s="1752" t="s">
        <v>3398</v>
      </c>
      <c r="J20" s="387"/>
      <c r="K20" s="541"/>
      <c r="L20" s="2491"/>
      <c r="M20" s="2486"/>
      <c r="N20" s="2486"/>
      <c r="O20" s="2486"/>
      <c r="P20" s="3403"/>
      <c r="Q20" s="1263"/>
      <c r="R20" s="667"/>
      <c r="S20" s="668"/>
      <c r="T20" s="667"/>
      <c r="U20" s="668"/>
      <c r="V20" s="667"/>
      <c r="W20" s="668"/>
      <c r="X20" s="1265"/>
      <c r="Y20" s="339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98</v>
      </c>
      <c r="I21" s="396"/>
      <c r="J21" s="389">
        <f>SUMIF(83:83,I22,84:84)-SUMIF(83:83,C22,84:84)+100</f>
        <v>98</v>
      </c>
      <c r="K21" s="540">
        <v>1</v>
      </c>
      <c r="L21" s="2491"/>
      <c r="M21" s="2486"/>
      <c r="N21" s="2486"/>
      <c r="O21" s="2486"/>
      <c r="P21" s="3403"/>
      <c r="Q21" s="1263" t="str">
        <f>B21</f>
        <v>基础设施水平</v>
      </c>
      <c r="R21" s="667" t="s">
        <v>14</v>
      </c>
      <c r="S21" s="668">
        <f>F21</f>
        <v>100</v>
      </c>
      <c r="T21" s="667" t="s">
        <v>14</v>
      </c>
      <c r="U21" s="668">
        <f>H21</f>
        <v>98</v>
      </c>
      <c r="V21" s="667" t="s">
        <v>14</v>
      </c>
      <c r="W21" s="668">
        <f>J21</f>
        <v>98</v>
      </c>
      <c r="X21" s="1265"/>
      <c r="Y21" s="3396"/>
      <c r="Z21" s="1264" t="str">
        <f>Q21</f>
        <v>基础设施水平</v>
      </c>
      <c r="AA21" s="1264">
        <f t="shared" ref="AA21" si="8">D21/F21</f>
        <v>1</v>
      </c>
      <c r="AB21" s="1264">
        <f t="shared" ref="AB21" si="9">D21/H21</f>
        <v>1.0204081632653061</v>
      </c>
      <c r="AC21" s="1812">
        <f t="shared" ref="AC21" si="10">D21/J21</f>
        <v>1.0204081632653061</v>
      </c>
    </row>
    <row r="22" spans="1:29" ht="15">
      <c r="A22" s="367"/>
      <c r="B22" s="557"/>
      <c r="C22" s="1814" t="s">
        <v>3415</v>
      </c>
      <c r="D22" s="387"/>
      <c r="E22" s="386" t="s">
        <v>3415</v>
      </c>
      <c r="F22" s="387"/>
      <c r="G22" s="3176" t="s">
        <v>3419</v>
      </c>
      <c r="H22" s="387"/>
      <c r="I22" s="3176" t="s">
        <v>3419</v>
      </c>
      <c r="J22" s="387"/>
      <c r="K22" s="1064"/>
      <c r="L22" s="2491"/>
      <c r="M22" s="2486"/>
      <c r="N22" s="2486"/>
      <c r="O22" s="2486"/>
      <c r="P22" s="3403"/>
      <c r="Q22" s="1263"/>
      <c r="R22" s="667"/>
      <c r="S22" s="668"/>
      <c r="T22" s="667"/>
      <c r="U22" s="668"/>
      <c r="V22" s="667"/>
      <c r="W22" s="668"/>
      <c r="X22" s="1265"/>
      <c r="Y22" s="3396"/>
      <c r="Z22" s="1264"/>
      <c r="AA22" s="1264">
        <v>1</v>
      </c>
      <c r="AB22" s="1264">
        <v>1</v>
      </c>
      <c r="AC22" s="1812">
        <v>1</v>
      </c>
    </row>
    <row r="23" spans="1:29" ht="162">
      <c r="A23" s="367"/>
      <c r="B23" s="556" t="s">
        <v>1814</v>
      </c>
      <c r="C23" s="1813" t="str">
        <f>估价对象房地状况!C9</f>
        <v>区域自然环境：东沙河滨水公园、沙河大学城主题公园；人文环境：北京邮电大学（沙河校区）、北京航空航天大学（沙河校区）、北京师范大学（昌平校园）；综合评价环境状况一般</v>
      </c>
      <c r="D23" s="389">
        <v>100</v>
      </c>
      <c r="E23" s="3161" t="s">
        <v>3490</v>
      </c>
      <c r="F23" s="389">
        <f>SUMIF(85:85,E24,86:86)-SUMIF(85:85,C24,86:86)+100</f>
        <v>100</v>
      </c>
      <c r="G23" s="3161" t="s">
        <v>3491</v>
      </c>
      <c r="H23" s="389">
        <f>SUMIF(85:85,G24,86:86)-SUMIF(85:85,C24,86:86)+100</f>
        <v>100</v>
      </c>
      <c r="I23" s="3161" t="s">
        <v>3490</v>
      </c>
      <c r="J23" s="389">
        <f>SUMIF(85:85,I24,86:86)-SUMIF(85:85,C24,86:86)+100</f>
        <v>100</v>
      </c>
      <c r="K23" s="540">
        <v>2</v>
      </c>
      <c r="L23" s="2491"/>
      <c r="M23" s="2486"/>
      <c r="N23" s="2486"/>
      <c r="O23" s="2486"/>
      <c r="P23" s="3403"/>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812">
        <f t="shared" si="5"/>
        <v>1</v>
      </c>
    </row>
    <row r="24" spans="1:29" ht="15">
      <c r="A24" s="367"/>
      <c r="B24" s="557"/>
      <c r="C24" s="1758" t="s">
        <v>3432</v>
      </c>
      <c r="D24" s="387"/>
      <c r="E24" s="1751" t="s">
        <v>3432</v>
      </c>
      <c r="F24" s="387"/>
      <c r="G24" s="1752" t="s">
        <v>3432</v>
      </c>
      <c r="H24" s="387"/>
      <c r="I24" s="1752" t="s">
        <v>3432</v>
      </c>
      <c r="J24" s="387"/>
      <c r="K24" s="541"/>
      <c r="L24" s="2491"/>
      <c r="M24" s="2486"/>
      <c r="N24" s="2486"/>
      <c r="O24" s="2486"/>
      <c r="P24" s="3403"/>
      <c r="Q24" s="1263"/>
      <c r="R24" s="667"/>
      <c r="S24" s="668"/>
      <c r="T24" s="667"/>
      <c r="U24" s="668"/>
      <c r="V24" s="667"/>
      <c r="W24" s="668"/>
      <c r="X24" s="1265"/>
      <c r="Y24" s="3396"/>
      <c r="Z24" s="1264"/>
      <c r="AA24" s="1264">
        <v>1</v>
      </c>
      <c r="AB24" s="1264">
        <v>1</v>
      </c>
      <c r="AC24" s="1812">
        <v>1</v>
      </c>
    </row>
    <row r="25" spans="1:29" ht="27">
      <c r="A25" s="348"/>
      <c r="B25" s="556" t="s">
        <v>1815</v>
      </c>
      <c r="C25" s="3173" t="s">
        <v>3518</v>
      </c>
      <c r="D25" s="374">
        <v>100</v>
      </c>
      <c r="E25" s="373"/>
      <c r="F25" s="374">
        <f>SUMIF(87:87,E26,88:88)-SUMIF(87:87,C26,88:88)+100</f>
        <v>100</v>
      </c>
      <c r="G25" s="1762"/>
      <c r="H25" s="374">
        <f>SUMIF(87:87,G26,88:88)-SUMIF(87:87,C26,88:88)+100</f>
        <v>100</v>
      </c>
      <c r="I25" s="3159" t="s">
        <v>3489</v>
      </c>
      <c r="J25" s="374">
        <f>SUMIF(87:87,I26,88:88)-SUMIF(87:87,C26,88:88)+100</f>
        <v>104</v>
      </c>
      <c r="K25" s="540">
        <v>2</v>
      </c>
      <c r="L25" s="2491"/>
      <c r="M25" s="2486"/>
      <c r="N25" s="2486"/>
      <c r="O25" s="2486"/>
      <c r="P25" s="3403"/>
      <c r="Q25" s="1263" t="str">
        <f>B25</f>
        <v>毗邻道路的类型与等级</v>
      </c>
      <c r="R25" s="667" t="s">
        <v>14</v>
      </c>
      <c r="S25" s="668">
        <f>F25</f>
        <v>100</v>
      </c>
      <c r="T25" s="667" t="s">
        <v>14</v>
      </c>
      <c r="U25" s="668">
        <f>H25</f>
        <v>100</v>
      </c>
      <c r="V25" s="667" t="s">
        <v>14</v>
      </c>
      <c r="W25" s="668">
        <f>J25</f>
        <v>104</v>
      </c>
      <c r="X25" s="1265"/>
      <c r="Y25" s="3396"/>
      <c r="Z25" s="1264" t="str">
        <f>Q25</f>
        <v>毗邻道路的类型与等级</v>
      </c>
      <c r="AA25" s="1264">
        <f t="shared" si="3"/>
        <v>1</v>
      </c>
      <c r="AB25" s="1264">
        <f t="shared" si="4"/>
        <v>1</v>
      </c>
      <c r="AC25" s="1812">
        <f t="shared" si="5"/>
        <v>0.96153846153846156</v>
      </c>
    </row>
    <row r="26" spans="1:29" ht="15">
      <c r="A26" s="348"/>
      <c r="B26" s="401"/>
      <c r="C26" s="558" t="s">
        <v>3486</v>
      </c>
      <c r="D26" s="374"/>
      <c r="E26" s="542" t="s">
        <v>3486</v>
      </c>
      <c r="F26" s="374"/>
      <c r="G26" s="558" t="s">
        <v>3486</v>
      </c>
      <c r="H26" s="374"/>
      <c r="I26" s="542" t="s">
        <v>3487</v>
      </c>
      <c r="J26" s="374"/>
      <c r="K26" s="541"/>
      <c r="L26" s="2491"/>
      <c r="M26" s="2486"/>
      <c r="N26" s="2486"/>
      <c r="O26" s="2486"/>
      <c r="P26" s="3403"/>
      <c r="Q26" s="1263"/>
      <c r="R26" s="667"/>
      <c r="S26" s="668"/>
      <c r="T26" s="667"/>
      <c r="U26" s="668"/>
      <c r="V26" s="667"/>
      <c r="W26" s="668"/>
      <c r="X26" s="1265"/>
      <c r="Y26" s="339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1"/>
      <c r="M27" s="2486"/>
      <c r="N27" s="2486"/>
      <c r="O27" s="2486"/>
      <c r="P27" s="3403"/>
      <c r="Q27" s="1263" t="str">
        <f t="shared" ref="Q27:Q47" si="11">B27</f>
        <v>楼层</v>
      </c>
      <c r="R27" s="667" t="s">
        <v>14</v>
      </c>
      <c r="S27" s="668">
        <f>F27</f>
        <v>100</v>
      </c>
      <c r="T27" s="667" t="s">
        <v>14</v>
      </c>
      <c r="U27" s="668">
        <f>H27</f>
        <v>100</v>
      </c>
      <c r="V27" s="667" t="s">
        <v>14</v>
      </c>
      <c r="W27" s="668">
        <f>J27</f>
        <v>100</v>
      </c>
      <c r="X27" s="1265"/>
      <c r="Y27" s="339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3"/>
      <c r="Q28" s="530" t="str">
        <f t="shared" si="11"/>
        <v>朝向</v>
      </c>
      <c r="R28" s="664" t="s">
        <v>14</v>
      </c>
      <c r="S28" s="665">
        <f>F28</f>
        <v>100</v>
      </c>
      <c r="T28" s="664" t="s">
        <v>14</v>
      </c>
      <c r="U28" s="665">
        <f>H28</f>
        <v>100</v>
      </c>
      <c r="V28" s="664" t="s">
        <v>14</v>
      </c>
      <c r="W28" s="665">
        <f>J28</f>
        <v>100</v>
      </c>
      <c r="X28" s="666"/>
      <c r="Y28" s="339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3"/>
      <c r="Q29" s="1263">
        <f t="shared" si="11"/>
        <v>111</v>
      </c>
      <c r="R29" s="667" t="s">
        <v>14</v>
      </c>
      <c r="S29" s="668">
        <f t="shared" ref="S29:S47" si="12">F29</f>
        <v>100</v>
      </c>
      <c r="T29" s="667" t="s">
        <v>14</v>
      </c>
      <c r="U29" s="668">
        <f t="shared" ref="U29:U47" si="13">H29</f>
        <v>100</v>
      </c>
      <c r="V29" s="667" t="s">
        <v>14</v>
      </c>
      <c r="W29" s="668">
        <f t="shared" ref="W29:W47" si="14">J29</f>
        <v>100</v>
      </c>
      <c r="X29" s="1265"/>
      <c r="Y29" s="339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3"/>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3"/>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3"/>
      <c r="Q32" s="1263">
        <f t="shared" si="11"/>
        <v>111</v>
      </c>
      <c r="R32" s="667" t="s">
        <v>14</v>
      </c>
      <c r="S32" s="668">
        <f t="shared" si="12"/>
        <v>100</v>
      </c>
      <c r="T32" s="667" t="s">
        <v>14</v>
      </c>
      <c r="U32" s="668">
        <f t="shared" si="13"/>
        <v>100</v>
      </c>
      <c r="V32" s="667" t="s">
        <v>14</v>
      </c>
      <c r="W32" s="668">
        <f t="shared" si="14"/>
        <v>100</v>
      </c>
      <c r="X32" s="1265"/>
      <c r="Y32" s="3396"/>
      <c r="Z32" s="1264">
        <f t="shared" si="15"/>
        <v>111</v>
      </c>
      <c r="AA32" s="1264">
        <f t="shared" si="3"/>
        <v>1</v>
      </c>
      <c r="AB32" s="1264">
        <f t="shared" si="4"/>
        <v>1</v>
      </c>
      <c r="AC32" s="1812">
        <f t="shared" si="5"/>
        <v>1</v>
      </c>
    </row>
    <row r="33" spans="1:29" ht="15">
      <c r="A33" s="379" t="s">
        <v>1694</v>
      </c>
      <c r="B33" s="60" t="s">
        <v>1817</v>
      </c>
      <c r="C33" s="1764" t="s">
        <v>3498</v>
      </c>
      <c r="D33" s="405">
        <v>100</v>
      </c>
      <c r="E33" s="1764" t="s">
        <v>3503</v>
      </c>
      <c r="F33" s="400">
        <f>SUMIF(101:101,E33,102:102)-SUMIF(101:101,C33,102:102)+100</f>
        <v>95</v>
      </c>
      <c r="G33" s="1764" t="s">
        <v>3503</v>
      </c>
      <c r="H33" s="374">
        <f>SUMIF(101:101,G33,102:102)-SUMIF(101:101,C33,102:102)+100</f>
        <v>95</v>
      </c>
      <c r="I33" s="1764" t="s">
        <v>3503</v>
      </c>
      <c r="J33" s="405">
        <f>SUMIF(101:101,I33,102:102)-SUMIF(101:101,C33,102:102)+100</f>
        <v>95</v>
      </c>
      <c r="K33" s="538">
        <v>5</v>
      </c>
      <c r="L33" s="2491"/>
      <c r="M33" s="2486"/>
      <c r="N33" s="2486"/>
      <c r="O33" s="2486"/>
      <c r="P33" s="3397" t="s">
        <v>1696</v>
      </c>
      <c r="Q33" s="1263" t="str">
        <f t="shared" si="11"/>
        <v>建筑类型</v>
      </c>
      <c r="R33" s="667" t="s">
        <v>14</v>
      </c>
      <c r="S33" s="668">
        <f t="shared" si="12"/>
        <v>95</v>
      </c>
      <c r="T33" s="667" t="s">
        <v>14</v>
      </c>
      <c r="U33" s="668">
        <f t="shared" si="13"/>
        <v>95</v>
      </c>
      <c r="V33" s="667" t="s">
        <v>14</v>
      </c>
      <c r="W33" s="668">
        <f t="shared" si="14"/>
        <v>95</v>
      </c>
      <c r="X33" s="1265"/>
      <c r="Y33" s="3400" t="s">
        <v>1696</v>
      </c>
      <c r="Z33" s="1264" t="str">
        <f t="shared" si="15"/>
        <v>建筑类型</v>
      </c>
      <c r="AA33" s="1264">
        <f t="shared" si="3"/>
        <v>1.0526315789473684</v>
      </c>
      <c r="AB33" s="1264">
        <f t="shared" si="4"/>
        <v>1.0526315789473684</v>
      </c>
      <c r="AC33" s="1812">
        <f t="shared" si="5"/>
        <v>1.0526315789473684</v>
      </c>
    </row>
    <row r="34" spans="1:29" s="408" customFormat="1" ht="15">
      <c r="A34" s="406"/>
      <c r="B34" s="364" t="s">
        <v>1697</v>
      </c>
      <c r="C34" s="407">
        <f>'数据-汇总表'!E19</f>
        <v>89.54</v>
      </c>
      <c r="D34" s="119">
        <v>100</v>
      </c>
      <c r="E34" s="369">
        <f>Sheet1!$D$2</f>
        <v>70</v>
      </c>
      <c r="F34" s="364">
        <f>LOOKUP(E34,104:104,105:105)-LOOKUP(C34,104:104,105:105)+100</f>
        <v>100</v>
      </c>
      <c r="G34" s="368">
        <f>Sheet1!$D$29</f>
        <v>1800</v>
      </c>
      <c r="H34" s="119">
        <f>LOOKUP(G34,104:104,105:105)-LOOKUP(C34,104:104,105:105)+100</f>
        <v>96</v>
      </c>
      <c r="I34" s="368">
        <f>Sheet1!D37</f>
        <v>1200</v>
      </c>
      <c r="J34" s="119">
        <f>LOOKUP(I34,104:104,105:105)-LOOKUP(C34,104:104,105:105)+100</f>
        <v>96</v>
      </c>
      <c r="K34" s="539"/>
      <c r="L34" s="2490"/>
      <c r="M34" s="3165" t="s">
        <v>3504</v>
      </c>
      <c r="N34" s="2492">
        <v>2011</v>
      </c>
      <c r="O34" s="2492"/>
      <c r="P34" s="3398"/>
      <c r="Q34" s="531" t="str">
        <f t="shared" si="11"/>
        <v>项目建筑规模</v>
      </c>
      <c r="R34" s="669" t="s">
        <v>14</v>
      </c>
      <c r="S34" s="670">
        <f t="shared" si="12"/>
        <v>100</v>
      </c>
      <c r="T34" s="669" t="s">
        <v>14</v>
      </c>
      <c r="U34" s="670">
        <f t="shared" si="13"/>
        <v>96</v>
      </c>
      <c r="V34" s="669" t="s">
        <v>14</v>
      </c>
      <c r="W34" s="670">
        <f t="shared" si="14"/>
        <v>96</v>
      </c>
      <c r="X34" s="671"/>
      <c r="Y34" s="3400"/>
      <c r="Z34" s="672" t="str">
        <f t="shared" si="15"/>
        <v>项目建筑规模</v>
      </c>
      <c r="AA34" s="1264">
        <f t="shared" si="3"/>
        <v>1</v>
      </c>
      <c r="AB34" s="1264">
        <f t="shared" si="4"/>
        <v>1.0416666666666667</v>
      </c>
      <c r="AC34" s="1812">
        <f t="shared" si="5"/>
        <v>1.0416666666666667</v>
      </c>
    </row>
    <row r="35" spans="1:29" ht="15">
      <c r="A35" s="409"/>
      <c r="B35" s="364" t="s">
        <v>1698</v>
      </c>
      <c r="C35" s="399" t="s">
        <v>3500</v>
      </c>
      <c r="D35" s="374">
        <v>100</v>
      </c>
      <c r="E35" s="399" t="s">
        <v>3500</v>
      </c>
      <c r="F35" s="400">
        <f>SUMIF(106:106,E35,107:107)-SUMIF(106:106,C35,107:107)+100</f>
        <v>100</v>
      </c>
      <c r="G35" s="399" t="s">
        <v>3500</v>
      </c>
      <c r="H35" s="374">
        <f>SUMIF(106:106,G35,107:107)-SUMIF(106:106,C35,107:107)+100</f>
        <v>100</v>
      </c>
      <c r="I35" s="399" t="s">
        <v>3500</v>
      </c>
      <c r="J35" s="374">
        <f>SUMIF(106:106,I35,107:107)-SUMIF(106:106,C35,107:107)+100</f>
        <v>100</v>
      </c>
      <c r="K35" s="538">
        <v>2</v>
      </c>
      <c r="L35" s="2491"/>
      <c r="M35" s="3166" t="s">
        <v>3505</v>
      </c>
      <c r="N35" s="2486">
        <f>ROUND(1-(1-0)*(2024-N34)/60,2)</f>
        <v>0.78</v>
      </c>
      <c r="O35" s="2486"/>
      <c r="P35" s="3398"/>
      <c r="Q35" s="1263" t="str">
        <f t="shared" si="11"/>
        <v>建筑结构</v>
      </c>
      <c r="R35" s="667" t="s">
        <v>14</v>
      </c>
      <c r="S35" s="668">
        <f t="shared" si="12"/>
        <v>100</v>
      </c>
      <c r="T35" s="667" t="s">
        <v>14</v>
      </c>
      <c r="U35" s="668">
        <f t="shared" si="13"/>
        <v>100</v>
      </c>
      <c r="V35" s="667" t="s">
        <v>14</v>
      </c>
      <c r="W35" s="668">
        <f t="shared" si="14"/>
        <v>100</v>
      </c>
      <c r="X35" s="1265"/>
      <c r="Y35" s="340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398"/>
      <c r="Q36" s="1263" t="str">
        <f t="shared" si="11"/>
        <v>公共部分装修</v>
      </c>
      <c r="R36" s="667" t="s">
        <v>14</v>
      </c>
      <c r="S36" s="668">
        <f t="shared" si="12"/>
        <v>100</v>
      </c>
      <c r="T36" s="667" t="s">
        <v>14</v>
      </c>
      <c r="U36" s="668">
        <f t="shared" si="13"/>
        <v>100</v>
      </c>
      <c r="V36" s="667" t="s">
        <v>14</v>
      </c>
      <c r="W36" s="668">
        <f t="shared" si="14"/>
        <v>100</v>
      </c>
      <c r="X36" s="1265"/>
      <c r="Y36" s="3400"/>
      <c r="Z36" s="1264" t="str">
        <f t="shared" si="15"/>
        <v>公共部分装修</v>
      </c>
      <c r="AA36" s="1264">
        <f t="shared" si="3"/>
        <v>1</v>
      </c>
      <c r="AB36" s="1264">
        <f t="shared" si="4"/>
        <v>1</v>
      </c>
      <c r="AC36" s="1812">
        <f t="shared" si="5"/>
        <v>1</v>
      </c>
    </row>
    <row r="37" spans="1:29" ht="15">
      <c r="A37" s="409"/>
      <c r="B37" s="364" t="s">
        <v>1786</v>
      </c>
      <c r="C37" s="411">
        <v>0.6</v>
      </c>
      <c r="D37" s="374">
        <v>100</v>
      </c>
      <c r="E37" s="411">
        <f>C37</f>
        <v>0.6</v>
      </c>
      <c r="F37" s="400">
        <f>LOOKUP(E37,111:111,112:112)-LOOKUP(C37,111:111,112:112)+100</f>
        <v>100</v>
      </c>
      <c r="G37" s="411">
        <f>C37</f>
        <v>0.6</v>
      </c>
      <c r="H37" s="400">
        <f>LOOKUP(G37,111:111,112:112)-LOOKUP(C37,111:111,112:112)+100</f>
        <v>100</v>
      </c>
      <c r="I37" s="411">
        <f>N35</f>
        <v>0.78</v>
      </c>
      <c r="J37" s="374">
        <f>LOOKUP(I37,111:111,112:112)-LOOKUP(C37,111:111,112:112)+100</f>
        <v>102</v>
      </c>
      <c r="K37" s="538">
        <v>2</v>
      </c>
      <c r="L37" s="2491"/>
      <c r="M37" s="2486"/>
      <c r="N37" s="2486"/>
      <c r="O37" s="2486"/>
      <c r="P37" s="3398"/>
      <c r="Q37" s="1263" t="str">
        <f t="shared" si="11"/>
        <v>成新度</v>
      </c>
      <c r="R37" s="667" t="s">
        <v>14</v>
      </c>
      <c r="S37" s="668">
        <f t="shared" si="12"/>
        <v>100</v>
      </c>
      <c r="T37" s="667" t="s">
        <v>14</v>
      </c>
      <c r="U37" s="668">
        <f t="shared" si="13"/>
        <v>100</v>
      </c>
      <c r="V37" s="667" t="s">
        <v>14</v>
      </c>
      <c r="W37" s="668">
        <f t="shared" si="14"/>
        <v>102</v>
      </c>
      <c r="X37" s="1265"/>
      <c r="Y37" s="3400"/>
      <c r="Z37" s="1264" t="str">
        <f t="shared" si="15"/>
        <v>成新度</v>
      </c>
      <c r="AA37" s="1264">
        <f t="shared" si="3"/>
        <v>1</v>
      </c>
      <c r="AB37" s="1264">
        <f t="shared" si="4"/>
        <v>1</v>
      </c>
      <c r="AC37" s="1812">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98"/>
      <c r="Q38" s="530" t="str">
        <f t="shared" si="11"/>
        <v>写字楼等级</v>
      </c>
      <c r="R38" s="664" t="s">
        <v>14</v>
      </c>
      <c r="S38" s="665">
        <f t="shared" si="12"/>
        <v>100</v>
      </c>
      <c r="T38" s="664" t="s">
        <v>14</v>
      </c>
      <c r="U38" s="665">
        <f t="shared" si="13"/>
        <v>100</v>
      </c>
      <c r="V38" s="664" t="s">
        <v>14</v>
      </c>
      <c r="W38" s="665">
        <f t="shared" si="14"/>
        <v>100</v>
      </c>
      <c r="X38" s="666"/>
      <c r="Y38" s="3400"/>
      <c r="Z38" s="50" t="str">
        <f t="shared" si="15"/>
        <v>写字楼等级</v>
      </c>
      <c r="AA38" s="50">
        <f t="shared" si="3"/>
        <v>1</v>
      </c>
      <c r="AB38" s="50">
        <f t="shared" si="4"/>
        <v>1</v>
      </c>
      <c r="AC38" s="802">
        <f t="shared" si="5"/>
        <v>1</v>
      </c>
    </row>
    <row r="39" spans="1:29" ht="15">
      <c r="A39" s="409"/>
      <c r="B39" s="364" t="s">
        <v>1819</v>
      </c>
      <c r="C39" s="399" t="s">
        <v>3413</v>
      </c>
      <c r="D39" s="374">
        <v>100</v>
      </c>
      <c r="E39" s="399" t="s">
        <v>3411</v>
      </c>
      <c r="F39" s="400">
        <f>SUMIF(115:115,E39,116:116)-SUMIF(115:115,C39,116:116)+100</f>
        <v>103</v>
      </c>
      <c r="G39" s="399" t="s">
        <v>3411</v>
      </c>
      <c r="H39" s="374">
        <f>SUMIF(115:115,G39,116:116)-SUMIF(115:115,C39,116:116)+100</f>
        <v>103</v>
      </c>
      <c r="I39" s="399" t="s">
        <v>3411</v>
      </c>
      <c r="J39" s="374">
        <f>SUMIF(115:115,I39,116:116)-SUMIF(115:115,C39,116:116)+100</f>
        <v>103</v>
      </c>
      <c r="K39" s="3177">
        <v>3</v>
      </c>
      <c r="L39" s="2491"/>
      <c r="M39" s="2486"/>
      <c r="N39" s="2486"/>
      <c r="O39" s="2486"/>
      <c r="P39" s="3398" t="s">
        <v>1696</v>
      </c>
      <c r="Q39" s="1263" t="str">
        <f t="shared" si="11"/>
        <v>物业管理</v>
      </c>
      <c r="R39" s="667" t="s">
        <v>14</v>
      </c>
      <c r="S39" s="668">
        <f t="shared" si="12"/>
        <v>103</v>
      </c>
      <c r="T39" s="667" t="s">
        <v>14</v>
      </c>
      <c r="U39" s="668">
        <f t="shared" si="13"/>
        <v>103</v>
      </c>
      <c r="V39" s="667" t="s">
        <v>14</v>
      </c>
      <c r="W39" s="668">
        <f t="shared" si="14"/>
        <v>103</v>
      </c>
      <c r="X39" s="1265"/>
      <c r="Y39" s="3400" t="s">
        <v>1696</v>
      </c>
      <c r="Z39" s="1264" t="str">
        <f t="shared" si="15"/>
        <v>物业管理</v>
      </c>
      <c r="AA39" s="1264">
        <f t="shared" si="3"/>
        <v>0.970873786407767</v>
      </c>
      <c r="AB39" s="1264">
        <f t="shared" si="4"/>
        <v>0.970873786407767</v>
      </c>
      <c r="AC39" s="1812">
        <f t="shared" si="5"/>
        <v>0.970873786407767</v>
      </c>
    </row>
    <row r="40" spans="1:29" ht="15">
      <c r="A40" s="409"/>
      <c r="B40" s="364" t="s">
        <v>1787</v>
      </c>
      <c r="C40" s="399" t="s">
        <v>3417</v>
      </c>
      <c r="D40" s="374">
        <v>100</v>
      </c>
      <c r="E40" s="399" t="s">
        <v>3417</v>
      </c>
      <c r="F40" s="400">
        <f>SUMIF(117:117,E40,118:118)-SUMIF(117:117,C40,118:118)+100</f>
        <v>100</v>
      </c>
      <c r="G40" s="399" t="s">
        <v>3417</v>
      </c>
      <c r="H40" s="374">
        <f>SUMIF(117:117,G40,118:118)-SUMIF(117:117,C40,118:118)+100</f>
        <v>100</v>
      </c>
      <c r="I40" s="399" t="s">
        <v>3419</v>
      </c>
      <c r="J40" s="374">
        <f>SUMIF(117:117,I40,118:118)-SUMIF(117:117,C40,118:118)+100</f>
        <v>99</v>
      </c>
      <c r="K40" s="538">
        <v>1</v>
      </c>
      <c r="L40" s="2491"/>
      <c r="M40" s="2486"/>
      <c r="N40" s="2486"/>
      <c r="O40" s="2486"/>
      <c r="P40" s="3398"/>
      <c r="Q40" s="1263" t="str">
        <f t="shared" si="11"/>
        <v>市政基础设施</v>
      </c>
      <c r="R40" s="667" t="s">
        <v>14</v>
      </c>
      <c r="S40" s="668">
        <f t="shared" si="12"/>
        <v>100</v>
      </c>
      <c r="T40" s="667" t="s">
        <v>14</v>
      </c>
      <c r="U40" s="668">
        <f t="shared" si="13"/>
        <v>100</v>
      </c>
      <c r="V40" s="667" t="s">
        <v>14</v>
      </c>
      <c r="W40" s="668">
        <f t="shared" si="14"/>
        <v>99</v>
      </c>
      <c r="X40" s="1265"/>
      <c r="Y40" s="3400"/>
      <c r="Z40" s="1264" t="str">
        <f t="shared" si="15"/>
        <v>市政基础设施</v>
      </c>
      <c r="AA40" s="1264">
        <f t="shared" si="3"/>
        <v>1</v>
      </c>
      <c r="AB40" s="1264">
        <f t="shared" si="4"/>
        <v>1</v>
      </c>
      <c r="AC40" s="1812">
        <f t="shared" si="5"/>
        <v>1.0101010101010102</v>
      </c>
    </row>
    <row r="41" spans="1:29" ht="15">
      <c r="A41" s="409"/>
      <c r="B41" s="364" t="s">
        <v>1789</v>
      </c>
      <c r="C41" s="542" t="s">
        <v>3424</v>
      </c>
      <c r="D41" s="374">
        <v>100</v>
      </c>
      <c r="E41" s="542" t="s">
        <v>3424</v>
      </c>
      <c r="F41" s="400">
        <f>SUMIF(119:119,E41,120:120)-SUMIF(119:119,C41,120:120)+100</f>
        <v>100</v>
      </c>
      <c r="G41" s="542" t="s">
        <v>3424</v>
      </c>
      <c r="H41" s="374">
        <f>SUMIF(119:119,G41,120:120)-SUMIF(119:119,C41,120:120)+100</f>
        <v>100</v>
      </c>
      <c r="I41" s="542" t="s">
        <v>3424</v>
      </c>
      <c r="J41" s="374">
        <f>SUMIF(119:119,I41,120:120)-SUMIF(119:119,C41,120:120)+100</f>
        <v>100</v>
      </c>
      <c r="K41" s="538">
        <v>2</v>
      </c>
      <c r="L41" s="2491"/>
      <c r="M41" s="2486"/>
      <c r="N41" s="2486"/>
      <c r="O41" s="2486"/>
      <c r="P41" s="3398"/>
      <c r="Q41" s="1263" t="str">
        <f t="shared" si="11"/>
        <v>层高</v>
      </c>
      <c r="R41" s="667" t="s">
        <v>14</v>
      </c>
      <c r="S41" s="668">
        <f t="shared" si="12"/>
        <v>100</v>
      </c>
      <c r="T41" s="667" t="s">
        <v>14</v>
      </c>
      <c r="U41" s="668">
        <f t="shared" si="13"/>
        <v>100</v>
      </c>
      <c r="V41" s="667" t="s">
        <v>14</v>
      </c>
      <c r="W41" s="668">
        <f t="shared" si="14"/>
        <v>100</v>
      </c>
      <c r="X41" s="1265"/>
      <c r="Y41" s="340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8"/>
      <c r="Q42" s="531" t="str">
        <f t="shared" si="11"/>
        <v>单套建筑面积</v>
      </c>
      <c r="R42" s="669" t="s">
        <v>14</v>
      </c>
      <c r="S42" s="670">
        <f t="shared" si="12"/>
        <v>100</v>
      </c>
      <c r="T42" s="669" t="s">
        <v>14</v>
      </c>
      <c r="U42" s="670">
        <f t="shared" si="13"/>
        <v>100</v>
      </c>
      <c r="V42" s="669" t="s">
        <v>14</v>
      </c>
      <c r="W42" s="670">
        <f t="shared" si="14"/>
        <v>100</v>
      </c>
      <c r="X42" s="671"/>
      <c r="Y42" s="3400"/>
      <c r="Z42" s="672" t="str">
        <f t="shared" si="15"/>
        <v>单套建筑面积</v>
      </c>
      <c r="AA42" s="1264">
        <f t="shared" si="3"/>
        <v>1</v>
      </c>
      <c r="AB42" s="1264">
        <f t="shared" si="4"/>
        <v>1</v>
      </c>
      <c r="AC42" s="1812">
        <f t="shared" si="5"/>
        <v>1</v>
      </c>
    </row>
    <row r="43" spans="1:29" ht="15">
      <c r="A43" s="409"/>
      <c r="B43" s="364" t="s">
        <v>1792</v>
      </c>
      <c r="C43" s="3178" t="s">
        <v>3520</v>
      </c>
      <c r="D43" s="374">
        <v>100</v>
      </c>
      <c r="E43" s="399" t="s">
        <v>3501</v>
      </c>
      <c r="F43" s="400">
        <f>SUMIF(123:123,E43,124:124)-SUMIF(123:123,C43,124:124)+100</f>
        <v>102</v>
      </c>
      <c r="G43" s="399" t="s">
        <v>3501</v>
      </c>
      <c r="H43" s="374">
        <f>SUMIF(123:123,G43,124:124)-SUMIF(123:123,C43,124:124)+100</f>
        <v>102</v>
      </c>
      <c r="I43" s="399" t="s">
        <v>3501</v>
      </c>
      <c r="J43" s="374">
        <f>SUMIF(123:123,I43,124:124)-SUMIF(123:123,C43,124:124)+100</f>
        <v>102</v>
      </c>
      <c r="K43" s="538">
        <v>2</v>
      </c>
      <c r="L43" s="2491"/>
      <c r="M43" s="2486"/>
      <c r="N43" s="2486"/>
      <c r="O43" s="2486"/>
      <c r="P43" s="3398"/>
      <c r="Q43" s="1263" t="str">
        <f t="shared" si="11"/>
        <v>内部装修</v>
      </c>
      <c r="R43" s="667" t="s">
        <v>14</v>
      </c>
      <c r="S43" s="668">
        <f t="shared" si="12"/>
        <v>102</v>
      </c>
      <c r="T43" s="667" t="s">
        <v>14</v>
      </c>
      <c r="U43" s="668">
        <f t="shared" si="13"/>
        <v>102</v>
      </c>
      <c r="V43" s="667" t="s">
        <v>14</v>
      </c>
      <c r="W43" s="668">
        <f t="shared" si="14"/>
        <v>102</v>
      </c>
      <c r="X43" s="1265"/>
      <c r="Y43" s="3400"/>
      <c r="Z43" s="1264" t="str">
        <f t="shared" si="15"/>
        <v>内部装修</v>
      </c>
      <c r="AA43" s="1264">
        <f t="shared" si="3"/>
        <v>0.98039215686274506</v>
      </c>
      <c r="AB43" s="1264">
        <f t="shared" si="4"/>
        <v>0.98039215686274506</v>
      </c>
      <c r="AC43" s="1812">
        <f t="shared" si="5"/>
        <v>0.98039215686274506</v>
      </c>
    </row>
    <row r="44" spans="1:29" ht="15">
      <c r="A44" s="409"/>
      <c r="B44" s="364" t="s">
        <v>1707</v>
      </c>
      <c r="C44" s="399" t="s">
        <v>3432</v>
      </c>
      <c r="D44" s="374">
        <v>100</v>
      </c>
      <c r="E44" s="1760" t="s">
        <v>3432</v>
      </c>
      <c r="F44" s="400">
        <f>SUMIF(125:125,E44,126:126)-SUMIF(125:125,C44,126:126)+100</f>
        <v>100</v>
      </c>
      <c r="G44" s="1760" t="s">
        <v>3432</v>
      </c>
      <c r="H44" s="374">
        <f>SUMIF(125:125,G44,126:126)-SUMIF(125:125,C44,126:126)+100</f>
        <v>100</v>
      </c>
      <c r="I44" s="1760" t="s">
        <v>3432</v>
      </c>
      <c r="J44" s="374">
        <f>SUMIF(125:125,I44,126:126)-SUMIF(125:125,C44,126:126)+100</f>
        <v>100</v>
      </c>
      <c r="K44" s="538">
        <v>2</v>
      </c>
      <c r="L44" s="2491"/>
      <c r="M44" s="2486"/>
      <c r="N44" s="2486"/>
      <c r="O44" s="2486"/>
      <c r="P44" s="3398"/>
      <c r="Q44" s="1263" t="str">
        <f t="shared" si="11"/>
        <v>内部装修维护情况</v>
      </c>
      <c r="R44" s="667" t="s">
        <v>14</v>
      </c>
      <c r="S44" s="668">
        <f t="shared" si="12"/>
        <v>100</v>
      </c>
      <c r="T44" s="667" t="s">
        <v>14</v>
      </c>
      <c r="U44" s="668">
        <f t="shared" si="13"/>
        <v>100</v>
      </c>
      <c r="V44" s="667" t="s">
        <v>14</v>
      </c>
      <c r="W44" s="668">
        <f t="shared" si="14"/>
        <v>100</v>
      </c>
      <c r="X44" s="1265"/>
      <c r="Y44" s="340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98"/>
      <c r="Q45" s="530">
        <f t="shared" si="11"/>
        <v>111</v>
      </c>
      <c r="R45" s="664" t="s">
        <v>14</v>
      </c>
      <c r="S45" s="665">
        <f t="shared" si="12"/>
        <v>100</v>
      </c>
      <c r="T45" s="664" t="s">
        <v>14</v>
      </c>
      <c r="U45" s="665">
        <f t="shared" si="13"/>
        <v>100</v>
      </c>
      <c r="V45" s="664" t="s">
        <v>14</v>
      </c>
      <c r="W45" s="665">
        <f t="shared" si="14"/>
        <v>100</v>
      </c>
      <c r="X45" s="666"/>
      <c r="Y45" s="340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9"/>
      <c r="Q47" s="1263">
        <f t="shared" si="11"/>
        <v>111</v>
      </c>
      <c r="R47" s="667" t="s">
        <v>14</v>
      </c>
      <c r="S47" s="668">
        <f t="shared" si="12"/>
        <v>100</v>
      </c>
      <c r="T47" s="667" t="s">
        <v>14</v>
      </c>
      <c r="U47" s="668">
        <f t="shared" si="13"/>
        <v>100</v>
      </c>
      <c r="V47" s="667" t="s">
        <v>14</v>
      </c>
      <c r="W47" s="668">
        <f t="shared" si="14"/>
        <v>100</v>
      </c>
      <c r="X47" s="1265"/>
      <c r="Y47" s="3401"/>
      <c r="Z47" s="1264">
        <f t="shared" si="15"/>
        <v>111</v>
      </c>
      <c r="AA47" s="1264">
        <f t="shared" si="3"/>
        <v>1</v>
      </c>
      <c r="AB47" s="1264">
        <f t="shared" si="4"/>
        <v>1</v>
      </c>
      <c r="AC47" s="1812">
        <f t="shared" si="5"/>
        <v>1</v>
      </c>
    </row>
    <row r="48" spans="1:29" ht="15">
      <c r="A48" s="416" t="s">
        <v>1708</v>
      </c>
      <c r="B48" s="417"/>
      <c r="C48" s="1081" t="s">
        <v>0</v>
      </c>
      <c r="D48" s="418"/>
      <c r="E48" s="419">
        <f>Sheet1!H6</f>
        <v>1.7</v>
      </c>
      <c r="F48" s="420"/>
      <c r="G48" s="421">
        <f>Sheet1!F30</f>
        <v>1.7</v>
      </c>
      <c r="H48" s="422"/>
      <c r="I48" s="419">
        <f>Sheet1!G40</f>
        <v>1.8</v>
      </c>
      <c r="J48" s="422"/>
      <c r="K48" s="674"/>
      <c r="L48" s="2493"/>
      <c r="M48" s="2486"/>
      <c r="N48" s="2486"/>
      <c r="O48" s="2486"/>
      <c r="P48" s="3404" t="str">
        <f>A48</f>
        <v>成交单价（元/平方米）</v>
      </c>
      <c r="Q48" s="3393"/>
      <c r="R48" s="3394">
        <f>E48</f>
        <v>1.7</v>
      </c>
      <c r="S48" s="3394"/>
      <c r="T48" s="3394">
        <f>G48</f>
        <v>1.7</v>
      </c>
      <c r="U48" s="3394"/>
      <c r="V48" s="3394">
        <f>I48</f>
        <v>1.8</v>
      </c>
      <c r="W48" s="3394"/>
      <c r="X48" s="385"/>
      <c r="Y48" s="673"/>
      <c r="Z48" s="385"/>
      <c r="AA48" s="385"/>
      <c r="AB48" s="385"/>
      <c r="AC48" s="555"/>
    </row>
    <row r="49" spans="1:29" ht="15.75" thickBot="1">
      <c r="A49" s="423" t="s">
        <v>1793</v>
      </c>
      <c r="B49" s="424"/>
      <c r="C49" s="1082">
        <f>R50</f>
        <v>1.6</v>
      </c>
      <c r="D49" s="2141" t="s">
        <v>2138</v>
      </c>
      <c r="E49" s="1083">
        <f>R49</f>
        <v>1.6</v>
      </c>
      <c r="F49" s="2142"/>
      <c r="G49" s="1082">
        <f>T49</f>
        <v>1.7</v>
      </c>
      <c r="H49" s="2142"/>
      <c r="I49" s="1083">
        <f>V49</f>
        <v>1.6</v>
      </c>
      <c r="J49" s="2142"/>
      <c r="K49" s="2144">
        <f>F49+H49+J49</f>
        <v>0</v>
      </c>
      <c r="L49" s="2493"/>
      <c r="M49" s="2486"/>
      <c r="N49" s="2486"/>
      <c r="O49" s="2486"/>
      <c r="P49" s="3404" t="str">
        <f>A49</f>
        <v>比较价值（元/平方米）</v>
      </c>
      <c r="Q49" s="3393"/>
      <c r="R49" s="3394">
        <f>IF(F1="售价",ROUND(PRODUCT(R48,AA7:AA47),0),ROUND(PRODUCT(R48,AA7:AA47),1))</f>
        <v>1.6</v>
      </c>
      <c r="S49" s="3394"/>
      <c r="T49" s="3394">
        <f>IF(F1="售价",ROUND(PRODUCT(T48,AB7:AB47),0),ROUND(PRODUCT(T48,AB7:AB47),1))</f>
        <v>1.7</v>
      </c>
      <c r="U49" s="3394"/>
      <c r="V49" s="3394">
        <f>IF(F1="售价",ROUND(PRODUCT(V48,AC7:AC47),0),ROUND(PRODUCT(V48,AC7:AC47),1))</f>
        <v>1.6</v>
      </c>
      <c r="W49" s="3394"/>
      <c r="X49" s="385"/>
      <c r="Y49" s="385"/>
      <c r="Z49" s="385"/>
      <c r="AA49" s="385"/>
      <c r="AB49" s="385"/>
      <c r="AC49" s="555"/>
    </row>
    <row r="50" spans="1:29" ht="15.75" thickBot="1">
      <c r="A50" s="427" t="s">
        <v>1794</v>
      </c>
      <c r="B50" s="428"/>
      <c r="C50" s="351">
        <f>R50</f>
        <v>1.6</v>
      </c>
      <c r="D50" s="351"/>
      <c r="E50" s="351"/>
      <c r="F50" s="351"/>
      <c r="G50" s="351"/>
      <c r="H50" s="351"/>
      <c r="I50" s="351"/>
      <c r="J50" s="429"/>
      <c r="K50" s="675"/>
      <c r="L50" s="2493"/>
      <c r="M50" s="2486"/>
      <c r="N50" s="2486"/>
      <c r="O50" s="2486"/>
      <c r="P50" s="3435" t="str">
        <f>A50</f>
        <v>估价对象XX用房的比较价值（楼面单价，元/平方米）</v>
      </c>
      <c r="Q50" s="3436"/>
      <c r="R50" s="3437">
        <f>IF(F1="售价",ROUND(IF(D49="简单平均",AVERAGE(R49:V49),R49*F49+T49*H49+V49*J49),0),ROUND(IF(D49="简单平均",AVERAGE(R49:V49),R49*F49+T49*H49+V49*J49),1))</f>
        <v>1.6</v>
      </c>
      <c r="S50" s="3437"/>
      <c r="T50" s="3437"/>
      <c r="U50" s="3437"/>
      <c r="V50" s="3437"/>
      <c r="W50" s="3437"/>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6.25E-2</v>
      </c>
      <c r="F53" s="435" t="str">
        <f>IF(OR(E53&gt;=0.3,E53&lt;=-0.3),"超过30%","")</f>
        <v/>
      </c>
      <c r="G53" s="434">
        <f>IF(G48&lt;G49,G49/G48-1,G48/G49-1)</f>
        <v>0</v>
      </c>
      <c r="H53" s="435" t="str">
        <f>IF(OR(G53&gt;=0.3,G53&lt;=-0.3),"超过30%","")</f>
        <v/>
      </c>
      <c r="I53" s="434">
        <f>IF(I48&lt;I49,I49/I48-1,I48/I49-1)</f>
        <v>0.125</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6.25E-2</v>
      </c>
      <c r="F54" s="435" t="str">
        <f>IF(OR(E54&gt;=0.2,E54&lt;=-0.2),"超过20%","")</f>
        <v/>
      </c>
      <c r="G54" s="434">
        <f>IF(G49&lt;I49,I49/G49-1,G49/I49-1)</f>
        <v>6.25E-2</v>
      </c>
      <c r="H54" s="435" t="str">
        <f>IF(OR(G54&gt;=0.2,G54&lt;=-0.2),"超过20%","")</f>
        <v/>
      </c>
      <c r="I54" s="434">
        <f>IF(I49&lt;E49,E49/I49-1,I49/E49-1)</f>
        <v>0</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5.8823529411764719E-2</v>
      </c>
      <c r="H55" s="435" t="str">
        <f>IF(OR(G55&gt;=0.3,G55&lt;=-0.3),"超过30%","")</f>
        <v/>
      </c>
      <c r="I55" s="434">
        <f>IF(I48&lt;E48,E48/I48-1,I48/E48-1)</f>
        <v>5.8823529411764719E-2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46" t="s">
        <v>3396</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95</v>
      </c>
      <c r="E78" s="475">
        <f>D78-$K15</f>
        <v>90</v>
      </c>
      <c r="F78" s="475">
        <f>E78-$K15</f>
        <v>85</v>
      </c>
      <c r="G78" s="475">
        <f>F78-$K15</f>
        <v>80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3148" t="s">
        <v>3399</v>
      </c>
      <c r="D87" s="3148" t="s">
        <v>3400</v>
      </c>
      <c r="E87" s="3148" t="s">
        <v>3401</v>
      </c>
      <c r="F87" s="3148" t="s">
        <v>3402</v>
      </c>
      <c r="G87" s="3148" t="s">
        <v>3403</v>
      </c>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48" t="s">
        <v>3404</v>
      </c>
      <c r="D89" s="3148" t="s">
        <v>3405</v>
      </c>
      <c r="E89" s="3148" t="s">
        <v>3406</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49" t="s">
        <v>3407</v>
      </c>
      <c r="D101" s="3149" t="s">
        <v>3408</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1"/>
      <c r="O102" s="2521"/>
      <c r="P102" s="2529"/>
      <c r="Q102" s="2507"/>
      <c r="R102" s="2486"/>
      <c r="S102" s="2486"/>
      <c r="T102" s="2486"/>
      <c r="U102" s="2486"/>
      <c r="V102" s="2486"/>
      <c r="W102" s="2486"/>
      <c r="X102" s="2486"/>
      <c r="Y102" s="2486"/>
      <c r="Z102" s="2486"/>
      <c r="AA102" s="2486"/>
      <c r="AB102" s="2486"/>
      <c r="AC102" s="2486"/>
    </row>
    <row r="103" spans="1:29" ht="29.25" thickTop="1">
      <c r="A103" s="367"/>
      <c r="B103" s="469" t="s">
        <v>1737</v>
      </c>
      <c r="C103" s="509" t="str">
        <f>C104&amp;"(含)"&amp;"-"&amp;D104</f>
        <v>0(含)-100</v>
      </c>
      <c r="D103" s="509" t="str">
        <f t="shared" ref="D103:L103" si="23">D104&amp;"(含)"&amp;"-"&amp;E104</f>
        <v>100(含)-300</v>
      </c>
      <c r="E103" s="509" t="str">
        <f t="shared" si="23"/>
        <v>300(含)-500</v>
      </c>
      <c r="F103" s="509" t="str">
        <f t="shared" si="23"/>
        <v>500(含)-1000</v>
      </c>
      <c r="G103" s="509" t="str">
        <f t="shared" si="23"/>
        <v>1000(含)-2000</v>
      </c>
      <c r="H103" s="509" t="str">
        <f t="shared" si="23"/>
        <v>2000(含)-3000</v>
      </c>
      <c r="I103" s="509" t="str">
        <f t="shared" si="23"/>
        <v>3000(含)-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1000</v>
      </c>
      <c r="H104" s="6">
        <v>2000</v>
      </c>
      <c r="I104" s="6">
        <v>3000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f>C105-1</f>
        <v>99</v>
      </c>
      <c r="E105" s="467">
        <f>D105-1</f>
        <v>98</v>
      </c>
      <c r="F105" s="467">
        <f t="shared" ref="F105:I105" si="24">E105-1</f>
        <v>97</v>
      </c>
      <c r="G105" s="467">
        <f t="shared" si="24"/>
        <v>96</v>
      </c>
      <c r="H105" s="467">
        <f t="shared" si="24"/>
        <v>95</v>
      </c>
      <c r="I105" s="467">
        <f t="shared" si="24"/>
        <v>94</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48" t="s">
        <v>3409</v>
      </c>
      <c r="D106" s="3148" t="s">
        <v>3410</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48"/>
      <c r="D108" s="3148"/>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148" t="s">
        <v>3502</v>
      </c>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48" t="s">
        <v>3412</v>
      </c>
      <c r="D115" s="3148" t="s">
        <v>3414</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9">C116-$K39</f>
        <v>97</v>
      </c>
      <c r="E116" s="475">
        <f t="shared" si="29"/>
        <v>94</v>
      </c>
      <c r="F116" s="475">
        <f t="shared" si="29"/>
        <v>91</v>
      </c>
      <c r="G116" s="475">
        <f t="shared" si="29"/>
        <v>88</v>
      </c>
      <c r="H116" s="475">
        <f t="shared" si="29"/>
        <v>85</v>
      </c>
      <c r="I116" s="475">
        <f t="shared" si="29"/>
        <v>82</v>
      </c>
      <c r="J116" s="475">
        <f t="shared" si="29"/>
        <v>79</v>
      </c>
      <c r="K116" s="475">
        <f t="shared" si="29"/>
        <v>76</v>
      </c>
      <c r="L116" s="475">
        <f t="shared" si="29"/>
        <v>73</v>
      </c>
      <c r="M116" s="476">
        <f t="shared" si="29"/>
        <v>70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48" t="s">
        <v>3416</v>
      </c>
      <c r="D117" s="3148" t="s">
        <v>3418</v>
      </c>
      <c r="E117" s="3148" t="s">
        <v>3420</v>
      </c>
      <c r="F117" s="3148" t="s">
        <v>3421</v>
      </c>
      <c r="G117" s="3148" t="s">
        <v>3422</v>
      </c>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50" t="s">
        <v>3423</v>
      </c>
      <c r="D119" s="3150" t="s">
        <v>3425</v>
      </c>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48" t="s">
        <v>3426</v>
      </c>
      <c r="D123" s="3148" t="s">
        <v>3427</v>
      </c>
      <c r="E123" s="3148" t="s">
        <v>3428</v>
      </c>
      <c r="F123" s="3150" t="s">
        <v>3429</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受贵公司委托，我公司对北京市昌平区沙河镇扶京门路14号进行了预评估。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估价对象为北京市昌平区沙河镇扶京门路14号房地产，为所有。根据《国有土地使用证》[]，估价对象（分摊）出让国有建设用地使用权面积为0平方米，建筑面积为89.54平方米。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估价对象为北京市昌平区沙河镇扶京门路14号房地产,属开发建设的，该项目尚在开发建设中。根据《国有土地使用证》[]，估价对象（分摊）出让国有建设用地使用权面积为0平方米，规划建筑面积为89.54平方米。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2024年11月5日（评估专业人员实地查勘之日）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89.54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860"/>
      <c r="M4" s="861"/>
      <c r="N4" s="861"/>
      <c r="O4" s="861"/>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860"/>
      <c r="M5" s="861"/>
      <c r="N5" s="861"/>
      <c r="O5" s="861"/>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860"/>
      <c r="M6" s="861"/>
      <c r="N6" s="861"/>
      <c r="O6" s="861"/>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45601</v>
      </c>
      <c r="D7" s="355">
        <v>100</v>
      </c>
      <c r="E7" s="356"/>
      <c r="F7" s="357">
        <f>SUMIF(52:52,YEAR(E7)&amp;"-"&amp;MONTH(E7),53:53)</f>
        <v>0</v>
      </c>
      <c r="G7" s="356"/>
      <c r="H7" s="355">
        <f>SUMIF(52:52,YEAR(G7)&amp;"-"&amp;MONTH(G7),53:53)</f>
        <v>0</v>
      </c>
      <c r="I7" s="356"/>
      <c r="J7" s="355">
        <f>SUMIF(52:52,YEAR(I7)&amp;"-"&amp;MONTH(I7),53:53)</f>
        <v>0</v>
      </c>
      <c r="K7" s="38"/>
      <c r="L7" s="862"/>
      <c r="M7" s="863"/>
      <c r="N7" s="863"/>
      <c r="O7" s="863"/>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8" t="s">
        <v>1683</v>
      </c>
      <c r="Q8" s="3429"/>
      <c r="R8" s="664" t="s">
        <v>14</v>
      </c>
      <c r="S8" s="665">
        <f t="shared" si="0"/>
        <v>100</v>
      </c>
      <c r="T8" s="664" t="s">
        <v>14</v>
      </c>
      <c r="U8" s="665">
        <f t="shared" si="1"/>
        <v>100</v>
      </c>
      <c r="V8" s="664" t="s">
        <v>14</v>
      </c>
      <c r="W8" s="665">
        <f t="shared" si="2"/>
        <v>100</v>
      </c>
      <c r="X8" s="666"/>
      <c r="Y8" s="3428" t="s">
        <v>1683</v>
      </c>
      <c r="Z8" s="342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3"/>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6"/>
      <c r="Q16" s="1263"/>
      <c r="R16" s="667"/>
      <c r="S16" s="668"/>
      <c r="T16" s="667"/>
      <c r="U16" s="668"/>
      <c r="V16" s="667"/>
      <c r="W16" s="668"/>
      <c r="X16" s="1265"/>
      <c r="Y16" s="339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6"/>
      <c r="Q18" s="1263"/>
      <c r="R18" s="667"/>
      <c r="S18" s="668"/>
      <c r="T18" s="667"/>
      <c r="U18" s="668"/>
      <c r="V18" s="667"/>
      <c r="W18" s="668"/>
      <c r="X18" s="1265"/>
      <c r="Y18" s="339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6"/>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6"/>
      <c r="Q20" s="1263"/>
      <c r="R20" s="667"/>
      <c r="S20" s="668"/>
      <c r="T20" s="667"/>
      <c r="U20" s="668"/>
      <c r="V20" s="667"/>
      <c r="W20" s="668"/>
      <c r="X20" s="1265"/>
      <c r="Y20" s="339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6"/>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6"/>
      <c r="Q22" s="1263"/>
      <c r="R22" s="667"/>
      <c r="S22" s="668"/>
      <c r="T22" s="667"/>
      <c r="U22" s="668"/>
      <c r="V22" s="667"/>
      <c r="W22" s="668"/>
      <c r="X22" s="1265"/>
      <c r="Y22" s="339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6"/>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6"/>
      <c r="Q24" s="1263"/>
      <c r="R24" s="667"/>
      <c r="S24" s="668"/>
      <c r="T24" s="667"/>
      <c r="U24" s="668"/>
      <c r="V24" s="667"/>
      <c r="W24" s="668"/>
      <c r="X24" s="1265"/>
      <c r="Y24" s="339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6"/>
      <c r="Q25" s="1263">
        <f>B25</f>
        <v>111</v>
      </c>
      <c r="R25" s="667" t="s">
        <v>14</v>
      </c>
      <c r="S25" s="668">
        <f>F25</f>
        <v>100</v>
      </c>
      <c r="T25" s="667" t="s">
        <v>14</v>
      </c>
      <c r="U25" s="668">
        <f>H25</f>
        <v>100</v>
      </c>
      <c r="V25" s="667" t="s">
        <v>14</v>
      </c>
      <c r="W25" s="668">
        <f>J25</f>
        <v>100</v>
      </c>
      <c r="X25" s="1265"/>
      <c r="Y25" s="339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6"/>
      <c r="Q26" s="1263">
        <f t="shared" ref="Q26:Q40" si="11">B26</f>
        <v>111</v>
      </c>
      <c r="R26" s="667" t="s">
        <v>14</v>
      </c>
      <c r="S26" s="668">
        <f>F26</f>
        <v>100</v>
      </c>
      <c r="T26" s="667" t="s">
        <v>14</v>
      </c>
      <c r="U26" s="668">
        <f>H26</f>
        <v>100</v>
      </c>
      <c r="V26" s="667" t="s">
        <v>14</v>
      </c>
      <c r="W26" s="668">
        <f>J26</f>
        <v>100</v>
      </c>
      <c r="X26" s="1265"/>
      <c r="Y26" s="339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6"/>
      <c r="Q27" s="530">
        <f t="shared" si="11"/>
        <v>111</v>
      </c>
      <c r="R27" s="664" t="s">
        <v>14</v>
      </c>
      <c r="S27" s="665">
        <f>F27</f>
        <v>100</v>
      </c>
      <c r="T27" s="664" t="s">
        <v>14</v>
      </c>
      <c r="U27" s="665">
        <f>H27</f>
        <v>100</v>
      </c>
      <c r="V27" s="664" t="s">
        <v>14</v>
      </c>
      <c r="W27" s="665">
        <f>J27</f>
        <v>100</v>
      </c>
      <c r="X27" s="666"/>
      <c r="Y27" s="339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6"/>
      <c r="Q28" s="1263">
        <f t="shared" si="11"/>
        <v>111</v>
      </c>
      <c r="R28" s="667" t="s">
        <v>14</v>
      </c>
      <c r="S28" s="668">
        <f t="shared" ref="S28:S40" si="12">F28</f>
        <v>100</v>
      </c>
      <c r="T28" s="667" t="s">
        <v>14</v>
      </c>
      <c r="U28" s="668">
        <f t="shared" ref="U28:U40" si="13">H28</f>
        <v>100</v>
      </c>
      <c r="V28" s="667" t="s">
        <v>14</v>
      </c>
      <c r="W28" s="668">
        <f t="shared" ref="W28:W40" si="14">J28</f>
        <v>100</v>
      </c>
      <c r="X28" s="1265"/>
      <c r="Y28" s="339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40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0"/>
      <c r="Q30" s="531" t="str">
        <f t="shared" si="11"/>
        <v>项目建筑规模</v>
      </c>
      <c r="R30" s="669" t="s">
        <v>14</v>
      </c>
      <c r="S30" s="670" t="e">
        <f t="shared" si="12"/>
        <v>#N/A</v>
      </c>
      <c r="T30" s="669" t="s">
        <v>14</v>
      </c>
      <c r="U30" s="670" t="e">
        <f t="shared" si="13"/>
        <v>#N/A</v>
      </c>
      <c r="V30" s="669" t="s">
        <v>14</v>
      </c>
      <c r="W30" s="670" t="e">
        <f t="shared" si="14"/>
        <v>#N/A</v>
      </c>
      <c r="X30" s="671"/>
      <c r="Y30" s="340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0"/>
      <c r="Q31" s="1263" t="str">
        <f t="shared" si="11"/>
        <v>建筑结构</v>
      </c>
      <c r="R31" s="667" t="s">
        <v>14</v>
      </c>
      <c r="S31" s="668">
        <f t="shared" si="12"/>
        <v>100</v>
      </c>
      <c r="T31" s="667" t="s">
        <v>14</v>
      </c>
      <c r="U31" s="668">
        <f t="shared" si="13"/>
        <v>100</v>
      </c>
      <c r="V31" s="667" t="s">
        <v>14</v>
      </c>
      <c r="W31" s="668">
        <f t="shared" si="14"/>
        <v>100</v>
      </c>
      <c r="X31" s="1265"/>
      <c r="Y31" s="340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0"/>
      <c r="Q32" s="1263" t="str">
        <f t="shared" si="11"/>
        <v>公共部分装修</v>
      </c>
      <c r="R32" s="667" t="s">
        <v>14</v>
      </c>
      <c r="S32" s="668">
        <f t="shared" si="12"/>
        <v>100</v>
      </c>
      <c r="T32" s="667" t="s">
        <v>14</v>
      </c>
      <c r="U32" s="668">
        <f t="shared" si="13"/>
        <v>100</v>
      </c>
      <c r="V32" s="667" t="s">
        <v>14</v>
      </c>
      <c r="W32" s="668">
        <f t="shared" si="14"/>
        <v>100</v>
      </c>
      <c r="X32" s="1265"/>
      <c r="Y32" s="340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0"/>
      <c r="Q33" s="1263" t="str">
        <f t="shared" si="11"/>
        <v>成新度</v>
      </c>
      <c r="R33" s="667" t="s">
        <v>14</v>
      </c>
      <c r="S33" s="668" t="e">
        <f t="shared" si="12"/>
        <v>#N/A</v>
      </c>
      <c r="T33" s="667" t="s">
        <v>14</v>
      </c>
      <c r="U33" s="668" t="e">
        <f t="shared" si="13"/>
        <v>#N/A</v>
      </c>
      <c r="V33" s="667" t="s">
        <v>14</v>
      </c>
      <c r="W33" s="668" t="e">
        <f t="shared" si="14"/>
        <v>#N/A</v>
      </c>
      <c r="X33" s="1265"/>
      <c r="Y33" s="340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0"/>
      <c r="Q34" s="530" t="str">
        <f t="shared" si="11"/>
        <v>物业管理</v>
      </c>
      <c r="R34" s="664" t="s">
        <v>14</v>
      </c>
      <c r="S34" s="665">
        <f t="shared" si="12"/>
        <v>100</v>
      </c>
      <c r="T34" s="664" t="s">
        <v>14</v>
      </c>
      <c r="U34" s="665">
        <f t="shared" si="13"/>
        <v>100</v>
      </c>
      <c r="V34" s="664" t="s">
        <v>14</v>
      </c>
      <c r="W34" s="665">
        <f t="shared" si="14"/>
        <v>100</v>
      </c>
      <c r="X34" s="666"/>
      <c r="Y34" s="340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0" t="s">
        <v>1696</v>
      </c>
      <c r="Q35" s="1263" t="str">
        <f t="shared" si="11"/>
        <v>市政基础设施</v>
      </c>
      <c r="R35" s="667" t="s">
        <v>14</v>
      </c>
      <c r="S35" s="668">
        <f t="shared" si="12"/>
        <v>100</v>
      </c>
      <c r="T35" s="667" t="s">
        <v>14</v>
      </c>
      <c r="U35" s="668">
        <f t="shared" si="13"/>
        <v>100</v>
      </c>
      <c r="V35" s="667" t="s">
        <v>14</v>
      </c>
      <c r="W35" s="668">
        <f t="shared" si="14"/>
        <v>100</v>
      </c>
      <c r="X35" s="1265"/>
      <c r="Y35" s="340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0"/>
      <c r="Q36" s="1263" t="str">
        <f t="shared" si="11"/>
        <v>内部装修</v>
      </c>
      <c r="R36" s="667" t="s">
        <v>14</v>
      </c>
      <c r="S36" s="668">
        <f t="shared" si="12"/>
        <v>100</v>
      </c>
      <c r="T36" s="667" t="s">
        <v>14</v>
      </c>
      <c r="U36" s="668">
        <f t="shared" si="13"/>
        <v>100</v>
      </c>
      <c r="V36" s="667" t="s">
        <v>14</v>
      </c>
      <c r="W36" s="668">
        <f t="shared" si="14"/>
        <v>100</v>
      </c>
      <c r="X36" s="1265"/>
      <c r="Y36" s="340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0"/>
      <c r="Q37" s="1263" t="str">
        <f t="shared" si="11"/>
        <v>内部装修状况</v>
      </c>
      <c r="R37" s="667" t="s">
        <v>14</v>
      </c>
      <c r="S37" s="668">
        <f t="shared" si="12"/>
        <v>100</v>
      </c>
      <c r="T37" s="667" t="s">
        <v>14</v>
      </c>
      <c r="U37" s="668">
        <f t="shared" si="13"/>
        <v>100</v>
      </c>
      <c r="V37" s="667" t="s">
        <v>14</v>
      </c>
      <c r="W37" s="668">
        <f t="shared" si="14"/>
        <v>100</v>
      </c>
      <c r="X37" s="1265"/>
      <c r="Y37" s="340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0"/>
      <c r="Q38" s="531">
        <f t="shared" si="11"/>
        <v>111</v>
      </c>
      <c r="R38" s="669" t="s">
        <v>14</v>
      </c>
      <c r="S38" s="670">
        <f t="shared" si="12"/>
        <v>100</v>
      </c>
      <c r="T38" s="669" t="s">
        <v>14</v>
      </c>
      <c r="U38" s="670">
        <f t="shared" si="13"/>
        <v>100</v>
      </c>
      <c r="V38" s="669" t="s">
        <v>14</v>
      </c>
      <c r="W38" s="670">
        <f t="shared" si="14"/>
        <v>100</v>
      </c>
      <c r="X38" s="671"/>
      <c r="Y38" s="340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0"/>
      <c r="Q39" s="1263">
        <f t="shared" si="11"/>
        <v>111</v>
      </c>
      <c r="R39" s="667" t="s">
        <v>14</v>
      </c>
      <c r="S39" s="668">
        <f t="shared" si="12"/>
        <v>100</v>
      </c>
      <c r="T39" s="667" t="s">
        <v>14</v>
      </c>
      <c r="U39" s="668">
        <f t="shared" si="13"/>
        <v>100</v>
      </c>
      <c r="V39" s="667" t="s">
        <v>14</v>
      </c>
      <c r="W39" s="668">
        <f t="shared" si="14"/>
        <v>100</v>
      </c>
      <c r="X39" s="1265"/>
      <c r="Y39" s="340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1"/>
      <c r="Q40" s="1263">
        <f t="shared" si="11"/>
        <v>111</v>
      </c>
      <c r="R40" s="667" t="s">
        <v>14</v>
      </c>
      <c r="S40" s="668">
        <f t="shared" si="12"/>
        <v>100</v>
      </c>
      <c r="T40" s="667" t="s">
        <v>14</v>
      </c>
      <c r="U40" s="668">
        <f t="shared" si="13"/>
        <v>100</v>
      </c>
      <c r="V40" s="667" t="s">
        <v>14</v>
      </c>
      <c r="W40" s="668">
        <f t="shared" si="14"/>
        <v>100</v>
      </c>
      <c r="X40" s="1265"/>
      <c r="Y40" s="340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3" t="str">
        <f>A41</f>
        <v>成交单价（元/平方米）</v>
      </c>
      <c r="Q41" s="3393"/>
      <c r="R41" s="3394">
        <f>E41</f>
        <v>0</v>
      </c>
      <c r="S41" s="3394"/>
      <c r="T41" s="3394">
        <f>G41</f>
        <v>0</v>
      </c>
      <c r="U41" s="3394"/>
      <c r="V41" s="3394">
        <f>I41</f>
        <v>0</v>
      </c>
      <c r="W41" s="339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5"/>
      <c r="M4" s="2486"/>
      <c r="N4" s="2486"/>
      <c r="O4" s="2486"/>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5"/>
      <c r="M5" s="2486"/>
      <c r="N5" s="2486"/>
      <c r="O5" s="2486"/>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5"/>
      <c r="M6" s="2486"/>
      <c r="N6" s="2486"/>
      <c r="O6" s="2486"/>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45601</v>
      </c>
      <c r="D7" s="355">
        <v>100</v>
      </c>
      <c r="E7" s="356"/>
      <c r="F7" s="357">
        <f>SUMIF(48:48,YEAR(E7)&amp;"-"&amp;MONTH(E7),49:49)</f>
        <v>0</v>
      </c>
      <c r="G7" s="356"/>
      <c r="H7" s="355">
        <f>SUMIF(48:48,YEAR(G7)&amp;"-"&amp;MONTH(G7),49:49)</f>
        <v>0</v>
      </c>
      <c r="I7" s="356"/>
      <c r="J7" s="355">
        <f>SUMIF(48:48,YEAR(I7)&amp;"-"&amp;MONTH(I7),49:49)</f>
        <v>0</v>
      </c>
      <c r="K7" s="38"/>
      <c r="L7" s="2487"/>
      <c r="M7" s="2439"/>
      <c r="N7" s="2439"/>
      <c r="O7" s="2439"/>
      <c r="P7" s="3428" t="s">
        <v>1680</v>
      </c>
      <c r="Q7" s="3430"/>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28" t="s">
        <v>1683</v>
      </c>
      <c r="Q8" s="3429"/>
      <c r="R8" s="664" t="s">
        <v>14</v>
      </c>
      <c r="S8" s="665">
        <f t="shared" si="0"/>
        <v>100</v>
      </c>
      <c r="T8" s="664" t="s">
        <v>14</v>
      </c>
      <c r="U8" s="665">
        <f t="shared" si="1"/>
        <v>100</v>
      </c>
      <c r="V8" s="664" t="s">
        <v>14</v>
      </c>
      <c r="W8" s="665">
        <f t="shared" si="2"/>
        <v>100</v>
      </c>
      <c r="X8" s="666"/>
      <c r="Y8" s="3428" t="s">
        <v>1683</v>
      </c>
      <c r="Z8" s="342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3"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3"/>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228">
      <c r="A14" s="345" t="s">
        <v>1690</v>
      </c>
      <c r="B14" s="554" t="s">
        <v>1833</v>
      </c>
      <c r="C14" s="1819" t="str">
        <f>IF(B1="工业",估价对象房地状况!G4,估价对象房地状况!C6)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96"/>
      <c r="Q15" s="1263"/>
      <c r="R15" s="667"/>
      <c r="S15" s="668"/>
      <c r="T15" s="667"/>
      <c r="U15" s="668"/>
      <c r="V15" s="667"/>
      <c r="W15" s="668"/>
      <c r="X15" s="1265"/>
      <c r="Y15" s="3396"/>
      <c r="Z15" s="1264"/>
      <c r="AA15" s="1264">
        <v>1</v>
      </c>
      <c r="AB15" s="1264">
        <v>1</v>
      </c>
      <c r="AC15" s="1264">
        <v>1</v>
      </c>
    </row>
    <row r="16" spans="1:29" ht="409.5">
      <c r="A16" s="348"/>
      <c r="B16" s="556" t="s">
        <v>1812</v>
      </c>
      <c r="C16" s="1754" t="str">
        <f>IF(B1="工业",估价对象房地状况!G5,估价对象房地状况!C7)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96"/>
      <c r="Q17" s="1263"/>
      <c r="R17" s="667"/>
      <c r="S17" s="668"/>
      <c r="T17" s="667"/>
      <c r="U17" s="668"/>
      <c r="V17" s="667"/>
      <c r="W17" s="668"/>
      <c r="X17" s="1265"/>
      <c r="Y17" s="339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96"/>
      <c r="Q19" s="1263"/>
      <c r="R19" s="667"/>
      <c r="S19" s="668"/>
      <c r="T19" s="667"/>
      <c r="U19" s="668"/>
      <c r="V19" s="667"/>
      <c r="W19" s="668"/>
      <c r="X19" s="1265"/>
      <c r="Y19" s="3396"/>
      <c r="Z19" s="1264"/>
      <c r="AA19" s="1264">
        <v>1</v>
      </c>
      <c r="AB19" s="1264">
        <v>1</v>
      </c>
      <c r="AC19" s="1264">
        <v>1</v>
      </c>
    </row>
    <row r="20" spans="1:29" ht="171">
      <c r="A20" s="348"/>
      <c r="B20" s="556" t="s">
        <v>1834</v>
      </c>
      <c r="C20" s="1754" t="str">
        <f>IF(B1="工业",估价对象房地状况!G7,估价对象房地状况!C9)</f>
        <v>区域自然环境：东沙河滨水公园、沙河大学城主题公园；人文环境：北京邮电大学（沙河校区）、北京航空航天大学（沙河校区）、北京师范大学（昌平校园）；综合评价环境状况一般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96"/>
      <c r="Q21" s="1263"/>
      <c r="R21" s="667"/>
      <c r="S21" s="668"/>
      <c r="T21" s="667"/>
      <c r="U21" s="668"/>
      <c r="V21" s="667"/>
      <c r="W21" s="668"/>
      <c r="X21" s="1265"/>
      <c r="Y21" s="339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6"/>
      <c r="Q24" s="1263">
        <f t="shared" ref="Q24:Q36"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0"/>
      <c r="Q27" s="531" t="str">
        <f t="shared" si="11"/>
        <v>项目停车位配比</v>
      </c>
      <c r="R27" s="669" t="s">
        <v>14</v>
      </c>
      <c r="S27" s="670">
        <f t="shared" si="12"/>
        <v>100</v>
      </c>
      <c r="T27" s="669" t="s">
        <v>14</v>
      </c>
      <c r="U27" s="670">
        <f t="shared" si="13"/>
        <v>100</v>
      </c>
      <c r="V27" s="669" t="s">
        <v>14</v>
      </c>
      <c r="W27" s="670">
        <f t="shared" si="14"/>
        <v>100</v>
      </c>
      <c r="X27" s="671"/>
      <c r="Y27" s="340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0"/>
      <c r="Q28" s="1263" t="str">
        <f t="shared" si="11"/>
        <v>公共部分装修</v>
      </c>
      <c r="R28" s="667" t="s">
        <v>14</v>
      </c>
      <c r="S28" s="668">
        <f t="shared" si="12"/>
        <v>100</v>
      </c>
      <c r="T28" s="667" t="s">
        <v>14</v>
      </c>
      <c r="U28" s="668">
        <f t="shared" si="13"/>
        <v>100</v>
      </c>
      <c r="V28" s="667" t="s">
        <v>14</v>
      </c>
      <c r="W28" s="668">
        <f t="shared" si="14"/>
        <v>100</v>
      </c>
      <c r="X28" s="1265"/>
      <c r="Y28" s="340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0"/>
      <c r="Q29" s="1263" t="str">
        <f t="shared" si="11"/>
        <v>成新率</v>
      </c>
      <c r="R29" s="667" t="s">
        <v>14</v>
      </c>
      <c r="S29" s="668" t="e">
        <f t="shared" si="12"/>
        <v>#N/A</v>
      </c>
      <c r="T29" s="667" t="s">
        <v>14</v>
      </c>
      <c r="U29" s="668" t="e">
        <f t="shared" si="13"/>
        <v>#N/A</v>
      </c>
      <c r="V29" s="667" t="s">
        <v>14</v>
      </c>
      <c r="W29" s="668" t="e">
        <f t="shared" si="14"/>
        <v>#N/A</v>
      </c>
      <c r="X29" s="1265"/>
      <c r="Y29" s="340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0"/>
      <c r="Q30" s="1263" t="str">
        <f t="shared" si="11"/>
        <v>物业等级</v>
      </c>
      <c r="R30" s="667" t="s">
        <v>14</v>
      </c>
      <c r="S30" s="668">
        <f t="shared" si="12"/>
        <v>100</v>
      </c>
      <c r="T30" s="667" t="s">
        <v>14</v>
      </c>
      <c r="U30" s="668">
        <f t="shared" si="13"/>
        <v>100</v>
      </c>
      <c r="V30" s="667" t="s">
        <v>14</v>
      </c>
      <c r="W30" s="668">
        <f t="shared" si="14"/>
        <v>100</v>
      </c>
      <c r="X30" s="1265"/>
      <c r="Y30" s="340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0"/>
      <c r="Q31" s="530" t="str">
        <f t="shared" si="11"/>
        <v>停车位面积</v>
      </c>
      <c r="R31" s="664" t="s">
        <v>14</v>
      </c>
      <c r="S31" s="665" t="e">
        <f t="shared" si="12"/>
        <v>#N/A</v>
      </c>
      <c r="T31" s="664" t="s">
        <v>14</v>
      </c>
      <c r="U31" s="665" t="e">
        <f t="shared" si="13"/>
        <v>#N/A</v>
      </c>
      <c r="V31" s="664" t="s">
        <v>14</v>
      </c>
      <c r="W31" s="665" t="e">
        <f t="shared" si="14"/>
        <v>#N/A</v>
      </c>
      <c r="X31" s="666"/>
      <c r="Y31" s="340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0" t="s">
        <v>1696</v>
      </c>
      <c r="Q32" s="1263" t="str">
        <f t="shared" si="11"/>
        <v>车位类型</v>
      </c>
      <c r="R32" s="667" t="s">
        <v>14</v>
      </c>
      <c r="S32" s="668">
        <f t="shared" si="12"/>
        <v>100</v>
      </c>
      <c r="T32" s="667" t="s">
        <v>14</v>
      </c>
      <c r="U32" s="668">
        <f t="shared" si="13"/>
        <v>100</v>
      </c>
      <c r="V32" s="667" t="s">
        <v>14</v>
      </c>
      <c r="W32" s="668">
        <f t="shared" si="14"/>
        <v>100</v>
      </c>
      <c r="X32" s="1265"/>
      <c r="Y32" s="340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0"/>
      <c r="Q33" s="1263" t="str">
        <f t="shared" si="11"/>
        <v>是否直接入户</v>
      </c>
      <c r="R33" s="667" t="s">
        <v>14</v>
      </c>
      <c r="S33" s="668">
        <f t="shared" si="12"/>
        <v>100</v>
      </c>
      <c r="T33" s="667" t="s">
        <v>14</v>
      </c>
      <c r="U33" s="668">
        <f t="shared" si="13"/>
        <v>100</v>
      </c>
      <c r="V33" s="667" t="s">
        <v>14</v>
      </c>
      <c r="W33" s="668">
        <f t="shared" si="14"/>
        <v>100</v>
      </c>
      <c r="X33" s="1265"/>
      <c r="Y33" s="340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0"/>
      <c r="Q35" s="531">
        <f t="shared" si="11"/>
        <v>111</v>
      </c>
      <c r="R35" s="669" t="s">
        <v>14</v>
      </c>
      <c r="S35" s="670">
        <f t="shared" si="12"/>
        <v>100</v>
      </c>
      <c r="T35" s="669" t="s">
        <v>14</v>
      </c>
      <c r="U35" s="670">
        <f t="shared" si="13"/>
        <v>100</v>
      </c>
      <c r="V35" s="669" t="s">
        <v>14</v>
      </c>
      <c r="W35" s="670">
        <f t="shared" si="14"/>
        <v>100</v>
      </c>
      <c r="X35" s="671"/>
      <c r="Y35" s="340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0"/>
      <c r="Q36" s="1263">
        <f t="shared" si="11"/>
        <v>111</v>
      </c>
      <c r="R36" s="667" t="s">
        <v>14</v>
      </c>
      <c r="S36" s="668">
        <f t="shared" si="12"/>
        <v>100</v>
      </c>
      <c r="T36" s="667" t="s">
        <v>14</v>
      </c>
      <c r="U36" s="668">
        <f t="shared" si="13"/>
        <v>100</v>
      </c>
      <c r="V36" s="667" t="s">
        <v>14</v>
      </c>
      <c r="W36" s="668">
        <f t="shared" si="14"/>
        <v>100</v>
      </c>
      <c r="X36" s="1265"/>
      <c r="Y36" s="3400"/>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3"/>
      <c r="M37" s="2486"/>
      <c r="N37" s="2486"/>
      <c r="O37" s="2486"/>
      <c r="P37" s="3393" t="str">
        <f>A37</f>
        <v>成交单价</v>
      </c>
      <c r="Q37" s="3393"/>
      <c r="R37" s="3394">
        <f>E37</f>
        <v>0</v>
      </c>
      <c r="S37" s="3394"/>
      <c r="T37" s="3394">
        <f>G37</f>
        <v>0</v>
      </c>
      <c r="U37" s="3394"/>
      <c r="V37" s="3394">
        <f>I37</f>
        <v>0</v>
      </c>
      <c r="W37" s="339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93" t="str">
        <f>A38</f>
        <v>比较价值（元/平方米）</v>
      </c>
      <c r="Q38" s="339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90" t="str">
        <f>A39</f>
        <v>估价对象XX用房的比较价值（楼面单价，元/平方米）</v>
      </c>
      <c r="Q39" s="3391"/>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5"/>
      <c r="M4" s="2486"/>
      <c r="N4" s="2486"/>
      <c r="O4" s="2486"/>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5"/>
      <c r="M5" s="2486"/>
      <c r="N5" s="2486"/>
      <c r="O5" s="2486"/>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5"/>
      <c r="M6" s="2486"/>
      <c r="N6" s="2486"/>
      <c r="O6" s="2486"/>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28" t="s">
        <v>1680</v>
      </c>
      <c r="Q7" s="3430"/>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28" t="s">
        <v>1683</v>
      </c>
      <c r="Q8" s="3429"/>
      <c r="R8" s="664" t="s">
        <v>14</v>
      </c>
      <c r="S8" s="665">
        <f t="shared" si="0"/>
        <v>100</v>
      </c>
      <c r="T8" s="664" t="s">
        <v>14</v>
      </c>
      <c r="U8" s="665">
        <f t="shared" si="1"/>
        <v>100</v>
      </c>
      <c r="V8" s="664" t="s">
        <v>14</v>
      </c>
      <c r="W8" s="665">
        <f t="shared" si="2"/>
        <v>100</v>
      </c>
      <c r="X8" s="666"/>
      <c r="Y8" s="3428" t="s">
        <v>1683</v>
      </c>
      <c r="Z8" s="342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3"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3"/>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228">
      <c r="A14" s="379" t="s">
        <v>1690</v>
      </c>
      <c r="B14" s="58" t="s">
        <v>1833</v>
      </c>
      <c r="C14" s="1819" t="str">
        <f>IF(B1="工业",估价对象房地状况!G4,估价对象房地状况!C6)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96"/>
      <c r="Q15" s="1263"/>
      <c r="R15" s="667"/>
      <c r="S15" s="668"/>
      <c r="T15" s="667"/>
      <c r="U15" s="668"/>
      <c r="V15" s="667"/>
      <c r="W15" s="668"/>
      <c r="X15" s="1265"/>
      <c r="Y15" s="3396"/>
      <c r="Z15" s="1264"/>
      <c r="AA15" s="1264">
        <v>1</v>
      </c>
      <c r="AB15" s="1264">
        <v>1</v>
      </c>
      <c r="AC15" s="1264">
        <v>1</v>
      </c>
    </row>
    <row r="16" spans="1:29" ht="409.5">
      <c r="A16" s="367"/>
      <c r="B16" s="390" t="s">
        <v>1812</v>
      </c>
      <c r="C16" s="1754" t="str">
        <f>IF(B1="工业",估价对象房地状况!G5,估价对象房地状况!C7)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96"/>
      <c r="Q17" s="1263"/>
      <c r="R17" s="667"/>
      <c r="S17" s="668"/>
      <c r="T17" s="667"/>
      <c r="U17" s="668"/>
      <c r="V17" s="667"/>
      <c r="W17" s="668"/>
      <c r="X17" s="1265"/>
      <c r="Y17" s="339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96"/>
      <c r="Q19" s="1263"/>
      <c r="R19" s="667"/>
      <c r="S19" s="668"/>
      <c r="T19" s="667"/>
      <c r="U19" s="668"/>
      <c r="V19" s="667"/>
      <c r="W19" s="668"/>
      <c r="X19" s="1265"/>
      <c r="Y19" s="3396"/>
      <c r="Z19" s="1264"/>
      <c r="AA19" s="1264">
        <v>1</v>
      </c>
      <c r="AB19" s="1264">
        <v>1</v>
      </c>
      <c r="AC19" s="1264">
        <v>1</v>
      </c>
    </row>
    <row r="20" spans="1:29" ht="171">
      <c r="A20" s="367"/>
      <c r="B20" s="390" t="s">
        <v>1834</v>
      </c>
      <c r="C20" s="1754" t="str">
        <f>IF(B1="工业",估价对象房地状况!G7,估价对象房地状况!C9)</f>
        <v>区域自然环境：东沙河滨水公园、沙河大学城主题公园；人文环境：北京邮电大学（沙河校区）、北京航空航天大学（沙河校区）、北京师范大学（昌平校园）；综合评价环境状况一般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96"/>
      <c r="Q21" s="1263"/>
      <c r="R21" s="667"/>
      <c r="S21" s="668"/>
      <c r="T21" s="667"/>
      <c r="U21" s="668"/>
      <c r="V21" s="667"/>
      <c r="W21" s="668"/>
      <c r="X21" s="1265"/>
      <c r="Y21" s="339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6"/>
      <c r="Q24" s="1263">
        <f t="shared" ref="Q24:Q34"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0"/>
      <c r="Q27" s="531" t="str">
        <f t="shared" si="11"/>
        <v>成新率</v>
      </c>
      <c r="R27" s="669" t="s">
        <v>14</v>
      </c>
      <c r="S27" s="670" t="e">
        <f t="shared" si="12"/>
        <v>#N/A</v>
      </c>
      <c r="T27" s="669" t="s">
        <v>14</v>
      </c>
      <c r="U27" s="670" t="e">
        <f t="shared" si="13"/>
        <v>#N/A</v>
      </c>
      <c r="V27" s="669" t="s">
        <v>14</v>
      </c>
      <c r="W27" s="670" t="e">
        <f t="shared" si="14"/>
        <v>#N/A</v>
      </c>
      <c r="X27" s="671"/>
      <c r="Y27" s="340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0"/>
      <c r="Q28" s="1263" t="str">
        <f t="shared" si="11"/>
        <v>物业等级</v>
      </c>
      <c r="R28" s="667" t="s">
        <v>14</v>
      </c>
      <c r="S28" s="668">
        <f t="shared" si="12"/>
        <v>100</v>
      </c>
      <c r="T28" s="667" t="s">
        <v>14</v>
      </c>
      <c r="U28" s="668">
        <f t="shared" si="13"/>
        <v>100</v>
      </c>
      <c r="V28" s="667" t="s">
        <v>14</v>
      </c>
      <c r="W28" s="668">
        <f t="shared" si="14"/>
        <v>100</v>
      </c>
      <c r="X28" s="1265"/>
      <c r="Y28" s="340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0"/>
      <c r="Q29" s="1263" t="str">
        <f t="shared" si="11"/>
        <v>有无电梯</v>
      </c>
      <c r="R29" s="667" t="s">
        <v>14</v>
      </c>
      <c r="S29" s="668">
        <f t="shared" si="12"/>
        <v>100</v>
      </c>
      <c r="T29" s="667" t="s">
        <v>14</v>
      </c>
      <c r="U29" s="668">
        <f t="shared" si="13"/>
        <v>100</v>
      </c>
      <c r="V29" s="667" t="s">
        <v>14</v>
      </c>
      <c r="W29" s="668">
        <f t="shared" si="14"/>
        <v>100</v>
      </c>
      <c r="X29" s="1265"/>
      <c r="Y29" s="340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0"/>
      <c r="Q30" s="1263" t="str">
        <f t="shared" si="11"/>
        <v>建筑面积</v>
      </c>
      <c r="R30" s="667" t="s">
        <v>14</v>
      </c>
      <c r="S30" s="668" t="e">
        <f t="shared" si="12"/>
        <v>#N/A</v>
      </c>
      <c r="T30" s="667" t="s">
        <v>14</v>
      </c>
      <c r="U30" s="668" t="e">
        <f t="shared" si="13"/>
        <v>#N/A</v>
      </c>
      <c r="V30" s="667" t="s">
        <v>14</v>
      </c>
      <c r="W30" s="668" t="e">
        <f t="shared" si="14"/>
        <v>#N/A</v>
      </c>
      <c r="X30" s="1265"/>
      <c r="Y30" s="340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0"/>
      <c r="Q31" s="530" t="str">
        <f t="shared" si="11"/>
        <v>是否封闭</v>
      </c>
      <c r="R31" s="664" t="s">
        <v>14</v>
      </c>
      <c r="S31" s="665">
        <f t="shared" si="12"/>
        <v>100</v>
      </c>
      <c r="T31" s="664" t="s">
        <v>14</v>
      </c>
      <c r="U31" s="665">
        <f t="shared" si="13"/>
        <v>100</v>
      </c>
      <c r="V31" s="664" t="s">
        <v>14</v>
      </c>
      <c r="W31" s="665">
        <f t="shared" si="14"/>
        <v>100</v>
      </c>
      <c r="X31" s="666"/>
      <c r="Y31" s="340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0" t="s">
        <v>1696</v>
      </c>
      <c r="Q32" s="1263">
        <f t="shared" si="11"/>
        <v>111</v>
      </c>
      <c r="R32" s="667" t="s">
        <v>14</v>
      </c>
      <c r="S32" s="668">
        <f t="shared" si="12"/>
        <v>100</v>
      </c>
      <c r="T32" s="667" t="s">
        <v>14</v>
      </c>
      <c r="U32" s="668">
        <f t="shared" si="13"/>
        <v>100</v>
      </c>
      <c r="V32" s="667" t="s">
        <v>14</v>
      </c>
      <c r="W32" s="668">
        <f t="shared" si="14"/>
        <v>100</v>
      </c>
      <c r="X32" s="1265"/>
      <c r="Y32" s="340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0"/>
      <c r="Q33" s="1263">
        <f t="shared" si="11"/>
        <v>111</v>
      </c>
      <c r="R33" s="667" t="s">
        <v>14</v>
      </c>
      <c r="S33" s="668">
        <f t="shared" si="12"/>
        <v>100</v>
      </c>
      <c r="T33" s="667" t="s">
        <v>14</v>
      </c>
      <c r="U33" s="668">
        <f t="shared" si="13"/>
        <v>100</v>
      </c>
      <c r="V33" s="667" t="s">
        <v>14</v>
      </c>
      <c r="W33" s="668">
        <f t="shared" si="14"/>
        <v>100</v>
      </c>
      <c r="X33" s="1265"/>
      <c r="Y33" s="340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93" t="str">
        <f>A35</f>
        <v>成交单价（元/平方米）</v>
      </c>
      <c r="Q35" s="3393"/>
      <c r="R35" s="3394">
        <f>E35</f>
        <v>0</v>
      </c>
      <c r="S35" s="3394"/>
      <c r="T35" s="3394">
        <f>G35</f>
        <v>0</v>
      </c>
      <c r="U35" s="3394"/>
      <c r="V35" s="3394">
        <f>I35</f>
        <v>0</v>
      </c>
      <c r="W35" s="339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90" t="str">
        <f>A37</f>
        <v>估价对象XX用房的比较价值（楼面单价，元/平方米）</v>
      </c>
      <c r="Q37" s="3391"/>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5"/>
      <c r="M4" s="2486"/>
      <c r="N4" s="2486"/>
      <c r="O4" s="2486"/>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5"/>
      <c r="M5" s="2486"/>
      <c r="N5" s="2486"/>
      <c r="O5" s="2486"/>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5"/>
      <c r="M6" s="2486"/>
      <c r="N6" s="2486"/>
      <c r="O6" s="2486"/>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28" t="s">
        <v>1683</v>
      </c>
      <c r="Q8" s="3429"/>
      <c r="R8" s="664" t="s">
        <v>14</v>
      </c>
      <c r="S8" s="665">
        <f t="shared" si="0"/>
        <v>0</v>
      </c>
      <c r="T8" s="664" t="s">
        <v>14</v>
      </c>
      <c r="U8" s="665">
        <f t="shared" si="1"/>
        <v>0</v>
      </c>
      <c r="V8" s="664" t="s">
        <v>14</v>
      </c>
      <c r="W8" s="665">
        <f t="shared" si="2"/>
        <v>0</v>
      </c>
      <c r="X8" s="666"/>
      <c r="Y8" s="3428" t="s">
        <v>1683</v>
      </c>
      <c r="Z8" s="342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93"/>
      <c r="Q10" s="530" t="str">
        <f t="shared" si="6"/>
        <v>土地使用年限（年）</v>
      </c>
      <c r="R10" s="664" t="s">
        <v>14</v>
      </c>
      <c r="S10" s="665" t="e">
        <f t="shared" si="0"/>
        <v>#DIV/0!</v>
      </c>
      <c r="T10" s="664" t="s">
        <v>14</v>
      </c>
      <c r="U10" s="665" t="e">
        <f t="shared" si="1"/>
        <v>#DIV/0!</v>
      </c>
      <c r="V10" s="664" t="s">
        <v>14</v>
      </c>
      <c r="W10" s="665" t="e">
        <f t="shared" si="2"/>
        <v>#DIV/0!</v>
      </c>
      <c r="X10" s="666"/>
      <c r="Y10" s="326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3"/>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3"/>
      <c r="Q12" s="530" t="str">
        <f t="shared" si="6"/>
        <v>配建</v>
      </c>
      <c r="R12" s="664" t="s">
        <v>14</v>
      </c>
      <c r="S12" s="665">
        <f t="shared" si="0"/>
        <v>100</v>
      </c>
      <c r="T12" s="664" t="s">
        <v>14</v>
      </c>
      <c r="U12" s="665">
        <f t="shared" si="1"/>
        <v>100</v>
      </c>
      <c r="V12" s="664" t="s">
        <v>14</v>
      </c>
      <c r="W12" s="665">
        <f t="shared" si="2"/>
        <v>100</v>
      </c>
      <c r="X12" s="666"/>
      <c r="Y12" s="326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5" t="s">
        <v>1691</v>
      </c>
      <c r="Q15" s="1263" t="str">
        <f t="shared" si="6"/>
        <v>居住社区成熟度</v>
      </c>
      <c r="R15" s="667" t="s">
        <v>14</v>
      </c>
      <c r="S15" s="668">
        <f t="shared" si="0"/>
        <v>100</v>
      </c>
      <c r="T15" s="667" t="s">
        <v>14</v>
      </c>
      <c r="U15" s="668">
        <f t="shared" si="1"/>
        <v>100</v>
      </c>
      <c r="V15" s="667" t="s">
        <v>14</v>
      </c>
      <c r="W15" s="668">
        <f t="shared" si="2"/>
        <v>100</v>
      </c>
      <c r="X15" s="1265"/>
      <c r="Y15" s="339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96"/>
      <c r="Q16" s="1263"/>
      <c r="R16" s="667"/>
      <c r="S16" s="668"/>
      <c r="T16" s="667"/>
      <c r="U16" s="668"/>
      <c r="V16" s="667"/>
      <c r="W16" s="668"/>
      <c r="X16" s="1265"/>
      <c r="Y16" s="339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6"/>
      <c r="Q17" s="1263" t="str">
        <f>B17</f>
        <v>商业繁华度</v>
      </c>
      <c r="R17" s="667" t="s">
        <v>14</v>
      </c>
      <c r="S17" s="668">
        <f>F17</f>
        <v>100</v>
      </c>
      <c r="T17" s="667" t="s">
        <v>14</v>
      </c>
      <c r="U17" s="668">
        <f>H17</f>
        <v>100</v>
      </c>
      <c r="V17" s="667" t="s">
        <v>14</v>
      </c>
      <c r="W17" s="668">
        <f>J17</f>
        <v>100</v>
      </c>
      <c r="X17" s="1265"/>
      <c r="Y17" s="339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96"/>
      <c r="Q18" s="1263"/>
      <c r="R18" s="667"/>
      <c r="S18" s="668"/>
      <c r="T18" s="667"/>
      <c r="U18" s="668"/>
      <c r="V18" s="667"/>
      <c r="W18" s="668"/>
      <c r="X18" s="1265"/>
      <c r="Y18" s="3396"/>
      <c r="Z18" s="1264"/>
      <c r="AA18" s="1264">
        <v>1</v>
      </c>
      <c r="AB18" s="1264">
        <v>1</v>
      </c>
      <c r="AC18" s="1264">
        <v>1</v>
      </c>
    </row>
    <row r="19" spans="1:29" ht="71.25">
      <c r="A19" s="367"/>
      <c r="B19" s="390" t="s">
        <v>1811</v>
      </c>
      <c r="C19" s="1806" t="str">
        <f>估价对象房地状况!C17</f>
        <v>估价对象位于XX商圈，周边办公楼项目较多，入驻率高，办公集聚程度较好：无</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6"/>
      <c r="Q19" s="1263" t="str">
        <f>B19</f>
        <v>办公集聚程度</v>
      </c>
      <c r="R19" s="667" t="s">
        <v>14</v>
      </c>
      <c r="S19" s="668">
        <f>F19</f>
        <v>100</v>
      </c>
      <c r="T19" s="667" t="s">
        <v>14</v>
      </c>
      <c r="U19" s="668">
        <f>H19</f>
        <v>100</v>
      </c>
      <c r="V19" s="667" t="s">
        <v>14</v>
      </c>
      <c r="W19" s="668">
        <f>J19</f>
        <v>100</v>
      </c>
      <c r="X19" s="1265"/>
      <c r="Y19" s="339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96"/>
      <c r="Q20" s="1263"/>
      <c r="R20" s="667"/>
      <c r="S20" s="668"/>
      <c r="T20" s="667"/>
      <c r="U20" s="668"/>
      <c r="V20" s="667"/>
      <c r="W20" s="668"/>
      <c r="X20" s="1265"/>
      <c r="Y20" s="3396"/>
      <c r="Z20" s="1264"/>
      <c r="AA20" s="1264">
        <v>1</v>
      </c>
      <c r="AB20" s="1264">
        <v>1</v>
      </c>
      <c r="AC20" s="1264">
        <v>1</v>
      </c>
    </row>
    <row r="21" spans="1:29" ht="228">
      <c r="A21" s="367"/>
      <c r="B21" s="390" t="s">
        <v>1833</v>
      </c>
      <c r="C21" s="1754"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6"/>
      <c r="Q21" s="1263" t="str">
        <f>B21</f>
        <v>交通便捷度</v>
      </c>
      <c r="R21" s="667" t="s">
        <v>14</v>
      </c>
      <c r="S21" s="668">
        <f>F21</f>
        <v>100</v>
      </c>
      <c r="T21" s="667" t="s">
        <v>14</v>
      </c>
      <c r="U21" s="668">
        <f>H21</f>
        <v>100</v>
      </c>
      <c r="V21" s="667" t="s">
        <v>14</v>
      </c>
      <c r="W21" s="668">
        <f>J21</f>
        <v>100</v>
      </c>
      <c r="X21" s="1265"/>
      <c r="Y21" s="339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96"/>
      <c r="Q22" s="1263"/>
      <c r="R22" s="667"/>
      <c r="S22" s="668"/>
      <c r="T22" s="667"/>
      <c r="U22" s="668"/>
      <c r="V22" s="667"/>
      <c r="W22" s="668"/>
      <c r="X22" s="1265"/>
      <c r="Y22" s="339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6"/>
      <c r="Q23" s="1263" t="str">
        <f t="shared" ref="Q23:Q37" si="8">B23</f>
        <v>区域土地利用方向</v>
      </c>
      <c r="R23" s="667" t="s">
        <v>14</v>
      </c>
      <c r="S23" s="668">
        <f>F23</f>
        <v>100</v>
      </c>
      <c r="T23" s="667" t="s">
        <v>14</v>
      </c>
      <c r="U23" s="668">
        <f>H23</f>
        <v>100</v>
      </c>
      <c r="V23" s="667" t="s">
        <v>14</v>
      </c>
      <c r="W23" s="668">
        <f>J23</f>
        <v>100</v>
      </c>
      <c r="X23" s="1265"/>
      <c r="Y23" s="339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96"/>
      <c r="Q24" s="1263"/>
      <c r="R24" s="667"/>
      <c r="S24" s="668"/>
      <c r="T24" s="667"/>
      <c r="U24" s="668"/>
      <c r="V24" s="667"/>
      <c r="W24" s="668"/>
      <c r="X24" s="1265"/>
      <c r="Y24" s="3396"/>
      <c r="Z24" s="1264"/>
      <c r="AA24" s="1264"/>
      <c r="AB24" s="1264"/>
      <c r="AC24" s="1264"/>
    </row>
    <row r="25" spans="1:29" ht="171">
      <c r="A25" s="348"/>
      <c r="B25" s="586" t="s">
        <v>1872</v>
      </c>
      <c r="C25" s="1806" t="str">
        <f>估价对象房地状况!C20</f>
        <v>区域自然环境：东沙河滨水公园、沙河大学城主题公园；人文环境：北京邮电大学（沙河校区）、北京航空航天大学（沙河校区）、北京师范大学（昌平校园）；综合评价环境状况一般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6"/>
      <c r="Q25" s="1263" t="str">
        <f t="shared" si="8"/>
        <v>自然及人文环境状况</v>
      </c>
      <c r="R25" s="667" t="s">
        <v>14</v>
      </c>
      <c r="S25" s="668">
        <f>F25</f>
        <v>100</v>
      </c>
      <c r="T25" s="667" t="s">
        <v>14</v>
      </c>
      <c r="U25" s="668">
        <f>H25</f>
        <v>100</v>
      </c>
      <c r="V25" s="667" t="s">
        <v>14</v>
      </c>
      <c r="W25" s="668">
        <f>J25</f>
        <v>100</v>
      </c>
      <c r="X25" s="1265"/>
      <c r="Y25" s="339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96"/>
      <c r="Q26" s="1263"/>
      <c r="R26" s="667"/>
      <c r="S26" s="668"/>
      <c r="T26" s="667"/>
      <c r="U26" s="668"/>
      <c r="V26" s="667"/>
      <c r="W26" s="668"/>
      <c r="X26" s="1265"/>
      <c r="Y26" s="3396"/>
      <c r="Z26" s="1264"/>
      <c r="AA26" s="1264">
        <v>1</v>
      </c>
      <c r="AB26" s="1264">
        <v>1</v>
      </c>
      <c r="AC26" s="1264">
        <v>1</v>
      </c>
    </row>
    <row r="27" spans="1:29" s="102" customFormat="1" ht="409.5">
      <c r="A27" s="443"/>
      <c r="B27" s="586" t="s">
        <v>1778</v>
      </c>
      <c r="C27" s="1754"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96"/>
      <c r="Q27" s="530" t="str">
        <f t="shared" si="8"/>
        <v>公共配套设施</v>
      </c>
      <c r="R27" s="664" t="s">
        <v>14</v>
      </c>
      <c r="S27" s="665">
        <f>F27</f>
        <v>100</v>
      </c>
      <c r="T27" s="664" t="s">
        <v>14</v>
      </c>
      <c r="U27" s="665">
        <f>H27</f>
        <v>100</v>
      </c>
      <c r="V27" s="664" t="s">
        <v>14</v>
      </c>
      <c r="W27" s="665">
        <f>J27</f>
        <v>100</v>
      </c>
      <c r="X27" s="666"/>
      <c r="Y27" s="339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96"/>
      <c r="Q28" s="530"/>
      <c r="R28" s="664"/>
      <c r="S28" s="665"/>
      <c r="T28" s="664"/>
      <c r="U28" s="665"/>
      <c r="V28" s="664"/>
      <c r="W28" s="665"/>
      <c r="X28" s="666"/>
      <c r="Y28" s="339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96"/>
      <c r="Q29" s="530" t="str">
        <f t="shared" ref="Q29" si="9">B29</f>
        <v>基础设施水平</v>
      </c>
      <c r="R29" s="664" t="s">
        <v>14</v>
      </c>
      <c r="S29" s="665">
        <f>F29</f>
        <v>100</v>
      </c>
      <c r="T29" s="664" t="s">
        <v>14</v>
      </c>
      <c r="U29" s="665">
        <f>H29</f>
        <v>100</v>
      </c>
      <c r="V29" s="664" t="s">
        <v>14</v>
      </c>
      <c r="W29" s="665">
        <f>J29</f>
        <v>100</v>
      </c>
      <c r="X29" s="666"/>
      <c r="Y29" s="339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96"/>
      <c r="Q30" s="530"/>
      <c r="R30" s="664"/>
      <c r="S30" s="665"/>
      <c r="T30" s="664"/>
      <c r="U30" s="665"/>
      <c r="V30" s="664"/>
      <c r="W30" s="665"/>
      <c r="X30" s="666"/>
      <c r="Y30" s="339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6"/>
      <c r="Q32" s="1263" t="str">
        <f t="shared" si="8"/>
        <v>毗邻道路的类型与等级</v>
      </c>
      <c r="R32" s="667" t="s">
        <v>14</v>
      </c>
      <c r="S32" s="668">
        <f t="shared" si="10"/>
        <v>100</v>
      </c>
      <c r="T32" s="667" t="s">
        <v>14</v>
      </c>
      <c r="U32" s="668">
        <f t="shared" si="11"/>
        <v>100</v>
      </c>
      <c r="V32" s="667" t="s">
        <v>14</v>
      </c>
      <c r="W32" s="668">
        <f t="shared" si="12"/>
        <v>100</v>
      </c>
      <c r="X32" s="1265"/>
      <c r="Y32" s="339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96"/>
      <c r="Q33" s="1263"/>
      <c r="R33" s="667"/>
      <c r="S33" s="668"/>
      <c r="T33" s="667"/>
      <c r="U33" s="668"/>
      <c r="V33" s="667"/>
      <c r="W33" s="668"/>
      <c r="X33" s="1265"/>
      <c r="Y33" s="339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6"/>
      <c r="Q34" s="1263" t="str">
        <f t="shared" si="8"/>
        <v>土地级别</v>
      </c>
      <c r="R34" s="667" t="s">
        <v>14</v>
      </c>
      <c r="S34" s="668">
        <f t="shared" si="10"/>
        <v>100</v>
      </c>
      <c r="T34" s="667" t="s">
        <v>14</v>
      </c>
      <c r="U34" s="668">
        <f t="shared" si="11"/>
        <v>100</v>
      </c>
      <c r="V34" s="667" t="s">
        <v>14</v>
      </c>
      <c r="W34" s="668">
        <f t="shared" si="12"/>
        <v>100</v>
      </c>
      <c r="X34" s="1265"/>
      <c r="Y34" s="339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6"/>
      <c r="Q35" s="1263">
        <f t="shared" si="8"/>
        <v>111</v>
      </c>
      <c r="R35" s="667" t="s">
        <v>14</v>
      </c>
      <c r="S35" s="668">
        <f t="shared" si="10"/>
        <v>100</v>
      </c>
      <c r="T35" s="667" t="s">
        <v>14</v>
      </c>
      <c r="U35" s="668">
        <f t="shared" si="11"/>
        <v>100</v>
      </c>
      <c r="V35" s="667" t="s">
        <v>14</v>
      </c>
      <c r="W35" s="668">
        <f t="shared" si="12"/>
        <v>100</v>
      </c>
      <c r="X35" s="1265"/>
      <c r="Y35" s="339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2" t="s">
        <v>1696</v>
      </c>
      <c r="Q36" s="1263">
        <f t="shared" si="8"/>
        <v>111</v>
      </c>
      <c r="R36" s="667" t="s">
        <v>14</v>
      </c>
      <c r="S36" s="668">
        <f t="shared" si="10"/>
        <v>100</v>
      </c>
      <c r="T36" s="667" t="s">
        <v>14</v>
      </c>
      <c r="U36" s="668">
        <f t="shared" si="11"/>
        <v>100</v>
      </c>
      <c r="V36" s="667" t="s">
        <v>14</v>
      </c>
      <c r="W36" s="668">
        <f t="shared" si="12"/>
        <v>100</v>
      </c>
      <c r="X36" s="1265"/>
      <c r="Y36" s="340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0"/>
      <c r="Q37" s="1263">
        <f t="shared" si="8"/>
        <v>111</v>
      </c>
      <c r="R37" s="669" t="s">
        <v>14</v>
      </c>
      <c r="S37" s="670">
        <f t="shared" si="10"/>
        <v>100</v>
      </c>
      <c r="T37" s="669" t="s">
        <v>14</v>
      </c>
      <c r="U37" s="670">
        <f t="shared" si="11"/>
        <v>100</v>
      </c>
      <c r="V37" s="669" t="s">
        <v>14</v>
      </c>
      <c r="W37" s="670">
        <f t="shared" si="12"/>
        <v>100</v>
      </c>
      <c r="X37" s="671"/>
      <c r="Y37" s="340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0"/>
      <c r="Q38" s="1263" t="str">
        <f>B38</f>
        <v>宗地面积</v>
      </c>
      <c r="R38" s="667" t="s">
        <v>14</v>
      </c>
      <c r="S38" s="668" t="e">
        <f t="shared" si="10"/>
        <v>#N/A</v>
      </c>
      <c r="T38" s="667" t="s">
        <v>14</v>
      </c>
      <c r="U38" s="668" t="e">
        <f t="shared" si="11"/>
        <v>#N/A</v>
      </c>
      <c r="V38" s="667" t="s">
        <v>14</v>
      </c>
      <c r="W38" s="668" t="e">
        <f t="shared" si="12"/>
        <v>#N/A</v>
      </c>
      <c r="X38" s="1265"/>
      <c r="Y38" s="340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0"/>
      <c r="Q39" s="1263" t="str">
        <f t="shared" ref="Q39:Q45" si="14">B39</f>
        <v>宗地形状</v>
      </c>
      <c r="R39" s="667" t="s">
        <v>14</v>
      </c>
      <c r="S39" s="668">
        <f t="shared" si="10"/>
        <v>100</v>
      </c>
      <c r="T39" s="667" t="s">
        <v>14</v>
      </c>
      <c r="U39" s="668">
        <f t="shared" si="11"/>
        <v>100</v>
      </c>
      <c r="V39" s="667" t="s">
        <v>14</v>
      </c>
      <c r="W39" s="668">
        <f t="shared" si="12"/>
        <v>100</v>
      </c>
      <c r="X39" s="1265"/>
      <c r="Y39" s="340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0"/>
      <c r="Q40" s="1263" t="str">
        <f t="shared" si="14"/>
        <v>临街宽度及深度</v>
      </c>
      <c r="R40" s="667" t="s">
        <v>14</v>
      </c>
      <c r="S40" s="668">
        <f t="shared" si="10"/>
        <v>100</v>
      </c>
      <c r="T40" s="667" t="s">
        <v>14</v>
      </c>
      <c r="U40" s="668">
        <f t="shared" si="11"/>
        <v>100</v>
      </c>
      <c r="V40" s="667" t="s">
        <v>14</v>
      </c>
      <c r="W40" s="668">
        <f t="shared" si="12"/>
        <v>100</v>
      </c>
      <c r="X40" s="1265"/>
      <c r="Y40" s="340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0"/>
      <c r="Q41" s="1263" t="str">
        <f t="shared" si="14"/>
        <v>宗地开发程度</v>
      </c>
      <c r="R41" s="664" t="s">
        <v>14</v>
      </c>
      <c r="S41" s="665">
        <f t="shared" si="10"/>
        <v>100</v>
      </c>
      <c r="T41" s="664" t="s">
        <v>14</v>
      </c>
      <c r="U41" s="665">
        <f t="shared" si="11"/>
        <v>100</v>
      </c>
      <c r="V41" s="664" t="s">
        <v>14</v>
      </c>
      <c r="W41" s="665">
        <f t="shared" si="12"/>
        <v>100</v>
      </c>
      <c r="X41" s="666"/>
      <c r="Y41" s="340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0" t="s">
        <v>1696</v>
      </c>
      <c r="Q42" s="1263" t="str">
        <f t="shared" si="14"/>
        <v>工程地质条件</v>
      </c>
      <c r="R42" s="667" t="s">
        <v>14</v>
      </c>
      <c r="S42" s="668">
        <f t="shared" si="10"/>
        <v>100</v>
      </c>
      <c r="T42" s="667" t="s">
        <v>14</v>
      </c>
      <c r="U42" s="668">
        <f t="shared" si="11"/>
        <v>100</v>
      </c>
      <c r="V42" s="667" t="s">
        <v>14</v>
      </c>
      <c r="W42" s="668">
        <f t="shared" si="12"/>
        <v>100</v>
      </c>
      <c r="X42" s="1265"/>
      <c r="Y42" s="340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0"/>
      <c r="Q43" s="1263">
        <f t="shared" si="14"/>
        <v>111</v>
      </c>
      <c r="R43" s="667" t="s">
        <v>14</v>
      </c>
      <c r="S43" s="668">
        <f t="shared" si="10"/>
        <v>100</v>
      </c>
      <c r="T43" s="667" t="s">
        <v>14</v>
      </c>
      <c r="U43" s="668">
        <f t="shared" si="11"/>
        <v>100</v>
      </c>
      <c r="V43" s="667" t="s">
        <v>14</v>
      </c>
      <c r="W43" s="668">
        <f t="shared" si="12"/>
        <v>100</v>
      </c>
      <c r="X43" s="1265"/>
      <c r="Y43" s="340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0"/>
      <c r="Q44" s="1263">
        <f t="shared" si="14"/>
        <v>111</v>
      </c>
      <c r="R44" s="667" t="s">
        <v>14</v>
      </c>
      <c r="S44" s="668">
        <f t="shared" si="10"/>
        <v>100</v>
      </c>
      <c r="T44" s="667" t="s">
        <v>14</v>
      </c>
      <c r="U44" s="668">
        <f t="shared" si="11"/>
        <v>100</v>
      </c>
      <c r="V44" s="667" t="s">
        <v>14</v>
      </c>
      <c r="W44" s="668">
        <f t="shared" si="12"/>
        <v>100</v>
      </c>
      <c r="X44" s="1265"/>
      <c r="Y44" s="340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0"/>
      <c r="Q45" s="1263">
        <f t="shared" si="14"/>
        <v>111</v>
      </c>
      <c r="R45" s="669" t="s">
        <v>14</v>
      </c>
      <c r="S45" s="670">
        <f t="shared" si="10"/>
        <v>100</v>
      </c>
      <c r="T45" s="669" t="s">
        <v>14</v>
      </c>
      <c r="U45" s="670">
        <f t="shared" si="11"/>
        <v>100</v>
      </c>
      <c r="V45" s="669" t="s">
        <v>14</v>
      </c>
      <c r="W45" s="670">
        <f t="shared" si="12"/>
        <v>100</v>
      </c>
      <c r="X45" s="671"/>
      <c r="Y45" s="340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393" t="str">
        <f>A46</f>
        <v>成交单价</v>
      </c>
      <c r="Q46" s="3393"/>
      <c r="R46" s="3394">
        <f>E46</f>
        <v>0</v>
      </c>
      <c r="S46" s="3394"/>
      <c r="T46" s="3394">
        <f>G46</f>
        <v>0</v>
      </c>
      <c r="U46" s="3394"/>
      <c r="V46" s="3394">
        <f>I46</f>
        <v>0</v>
      </c>
      <c r="W46" s="339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93" t="str">
        <f>A47</f>
        <v>比较价值（元/平方米）</v>
      </c>
      <c r="Q47" s="3393"/>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90" t="str">
        <f>A48</f>
        <v>估价对象XX用房的比较价值（楼面单价，元/平方米）</v>
      </c>
      <c r="Q48" s="3391"/>
      <c r="R48" s="3455" t="e">
        <f>ROUND(IF(D47="简单平均",AVERAGE(R47:W47),R47*F47+T47*H47+V47*J47),0)</f>
        <v>#DIV/0!</v>
      </c>
      <c r="S48" s="3455"/>
      <c r="T48" s="3455"/>
      <c r="U48" s="3455"/>
      <c r="V48" s="3455"/>
      <c r="W48" s="345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8" t="s">
        <v>1887</v>
      </c>
      <c r="H55" s="345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89.54</v>
      </c>
      <c r="F56" s="833" t="e">
        <f t="shared" ref="F56:F64" si="15">ROUND(B56*E56/10000,0)</f>
        <v>#DIV/0!</v>
      </c>
      <c r="G56" s="3404"/>
      <c r="H56" s="339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89.54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4"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5"/>
      <c r="M4" s="2486"/>
      <c r="N4" s="2486"/>
      <c r="O4" s="2486"/>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5"/>
      <c r="M5" s="2486"/>
      <c r="N5" s="2486"/>
      <c r="O5" s="2486"/>
      <c r="P5" s="3414"/>
      <c r="Q5" s="3415"/>
      <c r="R5" s="3420"/>
      <c r="S5" s="3421"/>
      <c r="T5" s="3420"/>
      <c r="U5" s="3421"/>
      <c r="V5" s="3394"/>
      <c r="W5" s="3394"/>
      <c r="X5" s="1265"/>
      <c r="Y5" s="3420"/>
      <c r="Z5" s="3421"/>
      <c r="AA5" s="3406"/>
      <c r="AB5" s="3406"/>
      <c r="AC5" s="3406"/>
    </row>
    <row r="6" spans="1:29" ht="15.75" thickBot="1">
      <c r="A6" s="350"/>
      <c r="B6" s="351"/>
      <c r="C6" s="3457" t="s">
        <v>1919</v>
      </c>
      <c r="D6" s="3458"/>
      <c r="E6" s="3459" t="s">
        <v>1919</v>
      </c>
      <c r="F6" s="3460"/>
      <c r="G6" s="3457" t="s">
        <v>1919</v>
      </c>
      <c r="H6" s="3458"/>
      <c r="I6" s="3457" t="s">
        <v>1919</v>
      </c>
      <c r="J6" s="3458"/>
      <c r="K6" s="537" t="s">
        <v>1678</v>
      </c>
      <c r="L6" s="2485"/>
      <c r="M6" s="2486"/>
      <c r="N6" s="2486"/>
      <c r="O6" s="2486"/>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45601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28" t="s">
        <v>1683</v>
      </c>
      <c r="Q8" s="3429"/>
      <c r="R8" s="664" t="s">
        <v>14</v>
      </c>
      <c r="S8" s="665">
        <f t="shared" si="0"/>
        <v>0</v>
      </c>
      <c r="T8" s="664" t="s">
        <v>14</v>
      </c>
      <c r="U8" s="665">
        <f t="shared" si="1"/>
        <v>0</v>
      </c>
      <c r="V8" s="664" t="s">
        <v>14</v>
      </c>
      <c r="W8" s="665">
        <f t="shared" si="2"/>
        <v>0</v>
      </c>
      <c r="X8" s="666"/>
      <c r="Y8" s="3428" t="s">
        <v>1683</v>
      </c>
      <c r="Z8" s="342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93"/>
      <c r="Q10" s="530" t="str">
        <f t="shared" si="6"/>
        <v>土地使用年限（年）</v>
      </c>
      <c r="R10" s="664" t="s">
        <v>14</v>
      </c>
      <c r="S10" s="665" t="e">
        <f t="shared" si="0"/>
        <v>#DIV/0!</v>
      </c>
      <c r="T10" s="664" t="s">
        <v>14</v>
      </c>
      <c r="U10" s="665" t="e">
        <f t="shared" si="1"/>
        <v>#DIV/0!</v>
      </c>
      <c r="V10" s="664" t="s">
        <v>14</v>
      </c>
      <c r="W10" s="665" t="e">
        <f t="shared" si="2"/>
        <v>#DIV/0!</v>
      </c>
      <c r="X10" s="666"/>
      <c r="Y10" s="326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3"/>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96"/>
      <c r="Q16" s="1263"/>
      <c r="R16" s="667"/>
      <c r="S16" s="668"/>
      <c r="T16" s="667"/>
      <c r="U16" s="668"/>
      <c r="V16" s="667"/>
      <c r="W16" s="668"/>
      <c r="X16" s="1265"/>
      <c r="Y16" s="339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96"/>
      <c r="Q18" s="1263"/>
      <c r="R18" s="667"/>
      <c r="S18" s="668"/>
      <c r="T18" s="667"/>
      <c r="U18" s="668"/>
      <c r="V18" s="667"/>
      <c r="W18" s="668"/>
      <c r="X18" s="1265"/>
      <c r="Y18" s="339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6"/>
      <c r="Q19" s="1263" t="str">
        <f t="shared" ref="Q19:Q33" si="8">B19</f>
        <v>区域土地利用方向</v>
      </c>
      <c r="R19" s="667" t="s">
        <v>14</v>
      </c>
      <c r="S19" s="668">
        <f>F19</f>
        <v>100</v>
      </c>
      <c r="T19" s="667" t="s">
        <v>14</v>
      </c>
      <c r="U19" s="668">
        <f>H19</f>
        <v>100</v>
      </c>
      <c r="V19" s="667" t="s">
        <v>14</v>
      </c>
      <c r="W19" s="668">
        <f>J19</f>
        <v>100</v>
      </c>
      <c r="X19" s="1265"/>
      <c r="Y19" s="339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96"/>
      <c r="Q20" s="1263"/>
      <c r="R20" s="667"/>
      <c r="S20" s="668"/>
      <c r="T20" s="667"/>
      <c r="U20" s="668"/>
      <c r="V20" s="667"/>
      <c r="W20" s="668"/>
      <c r="X20" s="1265"/>
      <c r="Y20" s="339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6"/>
      <c r="Q21" s="1263" t="str">
        <f t="shared" si="8"/>
        <v>环境状况</v>
      </c>
      <c r="R21" s="667" t="s">
        <v>14</v>
      </c>
      <c r="S21" s="668">
        <f>F21</f>
        <v>100</v>
      </c>
      <c r="T21" s="667" t="s">
        <v>14</v>
      </c>
      <c r="U21" s="668">
        <f>H21</f>
        <v>100</v>
      </c>
      <c r="V21" s="667" t="s">
        <v>14</v>
      </c>
      <c r="W21" s="668">
        <f>J21</f>
        <v>100</v>
      </c>
      <c r="X21" s="1265"/>
      <c r="Y21" s="339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96"/>
      <c r="Q22" s="1263"/>
      <c r="R22" s="667"/>
      <c r="S22" s="668"/>
      <c r="T22" s="667"/>
      <c r="U22" s="668"/>
      <c r="V22" s="667"/>
      <c r="W22" s="668"/>
      <c r="X22" s="1265"/>
      <c r="Y22" s="339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96"/>
      <c r="Q23" s="530" t="str">
        <f t="shared" si="8"/>
        <v>公共配套设施</v>
      </c>
      <c r="R23" s="664" t="s">
        <v>14</v>
      </c>
      <c r="S23" s="665">
        <f>F23</f>
        <v>100</v>
      </c>
      <c r="T23" s="664" t="s">
        <v>14</v>
      </c>
      <c r="U23" s="665">
        <f>H23</f>
        <v>100</v>
      </c>
      <c r="V23" s="664" t="s">
        <v>14</v>
      </c>
      <c r="W23" s="665">
        <f>J23</f>
        <v>100</v>
      </c>
      <c r="X23" s="666"/>
      <c r="Y23" s="339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96"/>
      <c r="Q24" s="530"/>
      <c r="R24" s="664"/>
      <c r="S24" s="665"/>
      <c r="T24" s="664"/>
      <c r="U24" s="665"/>
      <c r="V24" s="664"/>
      <c r="W24" s="665"/>
      <c r="X24" s="666"/>
      <c r="Y24" s="339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96"/>
      <c r="Q25" s="530" t="str">
        <f t="shared" ref="Q25" si="9">B25</f>
        <v>基础设施水平</v>
      </c>
      <c r="R25" s="664" t="s">
        <v>14</v>
      </c>
      <c r="S25" s="665">
        <f>F25</f>
        <v>100</v>
      </c>
      <c r="T25" s="664" t="s">
        <v>14</v>
      </c>
      <c r="U25" s="665">
        <f>H25</f>
        <v>100</v>
      </c>
      <c r="V25" s="664" t="s">
        <v>14</v>
      </c>
      <c r="W25" s="665">
        <f>J25</f>
        <v>100</v>
      </c>
      <c r="X25" s="666"/>
      <c r="Y25" s="339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96"/>
      <c r="Q26" s="530"/>
      <c r="R26" s="664"/>
      <c r="S26" s="665"/>
      <c r="T26" s="664"/>
      <c r="U26" s="665"/>
      <c r="V26" s="664"/>
      <c r="W26" s="665"/>
      <c r="X26" s="666"/>
      <c r="Y26" s="339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6"/>
      <c r="Q28" s="1263" t="str">
        <f t="shared" si="8"/>
        <v>毗邻道路的类型与等级</v>
      </c>
      <c r="R28" s="667" t="s">
        <v>14</v>
      </c>
      <c r="S28" s="668">
        <f t="shared" si="10"/>
        <v>100</v>
      </c>
      <c r="T28" s="667" t="s">
        <v>14</v>
      </c>
      <c r="U28" s="668">
        <f t="shared" si="11"/>
        <v>100</v>
      </c>
      <c r="V28" s="667" t="s">
        <v>14</v>
      </c>
      <c r="W28" s="668">
        <f t="shared" si="12"/>
        <v>100</v>
      </c>
      <c r="X28" s="1265"/>
      <c r="Y28" s="339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96"/>
      <c r="Q29" s="1263"/>
      <c r="R29" s="667"/>
      <c r="S29" s="668"/>
      <c r="T29" s="667"/>
      <c r="U29" s="668"/>
      <c r="V29" s="667"/>
      <c r="W29" s="668"/>
      <c r="X29" s="1265"/>
      <c r="Y29" s="339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6"/>
      <c r="Q30" s="1263" t="str">
        <f t="shared" si="8"/>
        <v>土地级别</v>
      </c>
      <c r="R30" s="667" t="s">
        <v>14</v>
      </c>
      <c r="S30" s="668">
        <f t="shared" si="10"/>
        <v>100</v>
      </c>
      <c r="T30" s="667" t="s">
        <v>14</v>
      </c>
      <c r="U30" s="668">
        <f t="shared" si="11"/>
        <v>100</v>
      </c>
      <c r="V30" s="667" t="s">
        <v>14</v>
      </c>
      <c r="W30" s="668">
        <f t="shared" si="12"/>
        <v>100</v>
      </c>
      <c r="X30" s="1265"/>
      <c r="Y30" s="339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6"/>
      <c r="Q31" s="1263">
        <f t="shared" si="8"/>
        <v>111</v>
      </c>
      <c r="R31" s="667" t="s">
        <v>14</v>
      </c>
      <c r="S31" s="668">
        <f t="shared" si="10"/>
        <v>100</v>
      </c>
      <c r="T31" s="667" t="s">
        <v>14</v>
      </c>
      <c r="U31" s="668">
        <f t="shared" si="11"/>
        <v>100</v>
      </c>
      <c r="V31" s="667" t="s">
        <v>14</v>
      </c>
      <c r="W31" s="668">
        <f t="shared" si="12"/>
        <v>100</v>
      </c>
      <c r="X31" s="1265"/>
      <c r="Y31" s="339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2" t="s">
        <v>1696</v>
      </c>
      <c r="Q32" s="1263">
        <f t="shared" si="8"/>
        <v>111</v>
      </c>
      <c r="R32" s="667" t="s">
        <v>14</v>
      </c>
      <c r="S32" s="668">
        <f t="shared" si="10"/>
        <v>100</v>
      </c>
      <c r="T32" s="667" t="s">
        <v>14</v>
      </c>
      <c r="U32" s="668">
        <f t="shared" si="11"/>
        <v>100</v>
      </c>
      <c r="V32" s="667" t="s">
        <v>14</v>
      </c>
      <c r="W32" s="668">
        <f t="shared" si="12"/>
        <v>100</v>
      </c>
      <c r="X32" s="1265"/>
      <c r="Y32" s="340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0"/>
      <c r="Q33" s="1263">
        <f t="shared" si="8"/>
        <v>111</v>
      </c>
      <c r="R33" s="669" t="s">
        <v>14</v>
      </c>
      <c r="S33" s="670">
        <f t="shared" si="10"/>
        <v>100</v>
      </c>
      <c r="T33" s="669" t="s">
        <v>14</v>
      </c>
      <c r="U33" s="670">
        <f t="shared" si="11"/>
        <v>100</v>
      </c>
      <c r="V33" s="669" t="s">
        <v>14</v>
      </c>
      <c r="W33" s="670">
        <f t="shared" si="12"/>
        <v>100</v>
      </c>
      <c r="X33" s="671"/>
      <c r="Y33" s="340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0"/>
      <c r="Q34" s="1263" t="str">
        <f>B34</f>
        <v>宗地面积</v>
      </c>
      <c r="R34" s="667" t="s">
        <v>14</v>
      </c>
      <c r="S34" s="668" t="e">
        <f t="shared" si="10"/>
        <v>#N/A</v>
      </c>
      <c r="T34" s="667" t="s">
        <v>14</v>
      </c>
      <c r="U34" s="668" t="e">
        <f t="shared" si="11"/>
        <v>#N/A</v>
      </c>
      <c r="V34" s="667" t="s">
        <v>14</v>
      </c>
      <c r="W34" s="668" t="e">
        <f t="shared" si="12"/>
        <v>#N/A</v>
      </c>
      <c r="X34" s="1265"/>
      <c r="Y34" s="340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0"/>
      <c r="Q35" s="1263" t="str">
        <f t="shared" ref="Q35:Q40" si="14">B35</f>
        <v>宗地形状</v>
      </c>
      <c r="R35" s="667" t="s">
        <v>14</v>
      </c>
      <c r="S35" s="668">
        <f t="shared" si="10"/>
        <v>100</v>
      </c>
      <c r="T35" s="667" t="s">
        <v>14</v>
      </c>
      <c r="U35" s="668">
        <f t="shared" si="11"/>
        <v>100</v>
      </c>
      <c r="V35" s="667" t="s">
        <v>14</v>
      </c>
      <c r="W35" s="668">
        <f t="shared" si="12"/>
        <v>100</v>
      </c>
      <c r="X35" s="1265"/>
      <c r="Y35" s="340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0"/>
      <c r="Q36" s="1263" t="str">
        <f t="shared" si="14"/>
        <v>宗地开发程度</v>
      </c>
      <c r="R36" s="664" t="s">
        <v>14</v>
      </c>
      <c r="S36" s="665">
        <f t="shared" si="10"/>
        <v>100</v>
      </c>
      <c r="T36" s="664" t="s">
        <v>14</v>
      </c>
      <c r="U36" s="665">
        <f t="shared" si="11"/>
        <v>100</v>
      </c>
      <c r="V36" s="664" t="s">
        <v>14</v>
      </c>
      <c r="W36" s="665">
        <f t="shared" si="12"/>
        <v>100</v>
      </c>
      <c r="X36" s="666"/>
      <c r="Y36" s="340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0" t="s">
        <v>1696</v>
      </c>
      <c r="Q37" s="1263" t="str">
        <f t="shared" si="14"/>
        <v>工程地质条件</v>
      </c>
      <c r="R37" s="667" t="s">
        <v>14</v>
      </c>
      <c r="S37" s="668">
        <f t="shared" si="10"/>
        <v>100</v>
      </c>
      <c r="T37" s="667" t="s">
        <v>14</v>
      </c>
      <c r="U37" s="668">
        <f t="shared" si="11"/>
        <v>100</v>
      </c>
      <c r="V37" s="667" t="s">
        <v>14</v>
      </c>
      <c r="W37" s="668">
        <f t="shared" si="12"/>
        <v>100</v>
      </c>
      <c r="X37" s="1265"/>
      <c r="Y37" s="340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0"/>
      <c r="Q38" s="1263">
        <f t="shared" si="14"/>
        <v>111</v>
      </c>
      <c r="R38" s="667" t="s">
        <v>14</v>
      </c>
      <c r="S38" s="668">
        <f t="shared" si="10"/>
        <v>100</v>
      </c>
      <c r="T38" s="667" t="s">
        <v>14</v>
      </c>
      <c r="U38" s="668">
        <f t="shared" si="11"/>
        <v>100</v>
      </c>
      <c r="V38" s="667" t="s">
        <v>14</v>
      </c>
      <c r="W38" s="668">
        <f t="shared" si="12"/>
        <v>100</v>
      </c>
      <c r="X38" s="1265"/>
      <c r="Y38" s="340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0"/>
      <c r="Q39" s="1263">
        <f t="shared" si="14"/>
        <v>111</v>
      </c>
      <c r="R39" s="667" t="s">
        <v>14</v>
      </c>
      <c r="S39" s="668">
        <f t="shared" si="10"/>
        <v>100</v>
      </c>
      <c r="T39" s="667" t="s">
        <v>14</v>
      </c>
      <c r="U39" s="668">
        <f t="shared" si="11"/>
        <v>100</v>
      </c>
      <c r="V39" s="667" t="s">
        <v>14</v>
      </c>
      <c r="W39" s="668">
        <f t="shared" si="12"/>
        <v>100</v>
      </c>
      <c r="X39" s="1265"/>
      <c r="Y39" s="340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0"/>
      <c r="Q40" s="1263">
        <f t="shared" si="14"/>
        <v>111</v>
      </c>
      <c r="R40" s="669" t="s">
        <v>14</v>
      </c>
      <c r="S40" s="670">
        <f t="shared" si="10"/>
        <v>100</v>
      </c>
      <c r="T40" s="669" t="s">
        <v>14</v>
      </c>
      <c r="U40" s="670">
        <f t="shared" si="11"/>
        <v>100</v>
      </c>
      <c r="V40" s="669" t="s">
        <v>14</v>
      </c>
      <c r="W40" s="670">
        <f t="shared" si="12"/>
        <v>100</v>
      </c>
      <c r="X40" s="671"/>
      <c r="Y40" s="340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393" t="str">
        <f>A41</f>
        <v>成交单价</v>
      </c>
      <c r="Q41" s="3393"/>
      <c r="R41" s="3394">
        <f>E41</f>
        <v>0</v>
      </c>
      <c r="S41" s="3394"/>
      <c r="T41" s="3394">
        <f>G41</f>
        <v>0</v>
      </c>
      <c r="U41" s="3394"/>
      <c r="V41" s="3394">
        <f>I41</f>
        <v>0</v>
      </c>
      <c r="W41" s="339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93" t="str">
        <f>A42</f>
        <v>比较价值（元/平方米）</v>
      </c>
      <c r="Q42" s="3393"/>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90" t="str">
        <f>A43</f>
        <v>估价对象XX用房的比较价值（楼面单价，元/平方米）</v>
      </c>
      <c r="Q43" s="3391"/>
      <c r="R43" s="3455" t="e">
        <f>ROUND(IF(D42="简单平均",AVERAGE(R42:W42),R42*F42+T42*H42+V42*J42),0)</f>
        <v>#DIV/0!</v>
      </c>
      <c r="S43" s="3455"/>
      <c r="T43" s="3455"/>
      <c r="U43" s="3455"/>
      <c r="V43" s="3455"/>
      <c r="W43" s="345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408" t="s">
        <v>1887</v>
      </c>
      <c r="H50" s="345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89.54</v>
      </c>
      <c r="F51" s="611" t="e">
        <f t="shared" ref="F51:F60" si="15">ROUND(B51*E51/10000,0)</f>
        <v>#DIV/0!</v>
      </c>
      <c r="G51" s="3404"/>
      <c r="H51" s="339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75">
      <c r="A3" s="1984" t="s">
        <v>2076</v>
      </c>
      <c r="B3" s="2387" t="e">
        <f ca="1">ROUND(B2*10000/E2,0)</f>
        <v>#DIV/0!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74"/>
      <c r="B4" s="3475"/>
      <c r="C4" s="3475"/>
      <c r="D4" s="3476"/>
      <c r="E4" s="3476"/>
      <c r="F4" s="3476"/>
      <c r="G4" s="3476"/>
      <c r="H4" s="3476"/>
      <c r="I4" s="3476"/>
      <c r="J4" s="347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71" t="s">
        <v>1960</v>
      </c>
      <c r="X8" s="347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73"/>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7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78" t="s">
        <v>3254</v>
      </c>
      <c r="B20" s="159" t="s">
        <v>1994</v>
      </c>
      <c r="C20" s="3030" t="e">
        <f>ROUND(IF(F21="与级别开发程度一致",0,(G21-E21)/C21),0)</f>
        <v>#DIV/0!</v>
      </c>
      <c r="D20" s="3045" t="s">
        <v>1998</v>
      </c>
      <c r="E20" s="3046"/>
      <c r="F20" s="3484" t="s">
        <v>1995</v>
      </c>
      <c r="G20" s="348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5" thickBot="1">
      <c r="A21" s="347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45601</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2"/>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3"/>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3"/>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14.75">
      <c r="A51" s="1970" t="s">
        <v>2053</v>
      </c>
      <c r="B51" s="1262"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展思门路支路</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04">
      <c r="A56" s="1976" t="s">
        <v>2059</v>
      </c>
      <c r="B56" s="124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90" thickBot="1">
      <c r="A58" s="1977" t="s">
        <v>2061</v>
      </c>
      <c r="B58" s="1978" t="str">
        <f>估价对象房地状况!C20</f>
        <v>区域自然环境：东沙河滨水公园、沙河大学城主题公园；人文环境：北京邮电大学（沙河校区）、北京航空航天大学（沙河校区）、北京师范大学（昌平校园）；综合评价环境状况一般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估价对象位于XX商圈，周边办公楼项目较多，入驻率高，办公集聚程度较好：无</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14.75">
      <c r="A62" s="1970" t="s">
        <v>2053</v>
      </c>
      <c r="B62" s="1262"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展思门路支路</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04">
      <c r="A67" s="1970" t="s">
        <v>2059</v>
      </c>
      <c r="B67" s="124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90" thickBot="1">
      <c r="A69" s="1977" t="s">
        <v>2061</v>
      </c>
      <c r="B69" s="1979" t="str">
        <f>估价对象房地状况!C20</f>
        <v>区域自然环境：东沙河滨水公园、沙河大学城主题公园；人文环境：北京邮电大学（沙河校区）、北京航空航天大学（沙河校区）、北京师范大学（昌平校园）；综合评价环境状况一般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14.75">
      <c r="A73" s="1970" t="s">
        <v>2053</v>
      </c>
      <c r="B73" s="1262"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展思门路支路</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04">
      <c r="A76" s="1970" t="s">
        <v>2059</v>
      </c>
      <c r="B76" s="124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89.25">
      <c r="A79" s="1970" t="s">
        <v>2061</v>
      </c>
      <c r="B79" s="1973" t="str">
        <f>估价对象房地状况!C20</f>
        <v>区域自然环境：东沙河滨水公园、沙河大学城主题公园；人文环境：北京邮电大学（沙河校区）、北京航空航天大学（沙河校区）、北京师范大学（昌平校园）；综合评价环境状况一般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114.75">
      <c r="A94" s="3079" t="s">
        <v>3273</v>
      </c>
      <c r="B94" s="3070"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t="str">
        <f>估价对象房地状况!C24</f>
        <v>展思门路支路</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04">
      <c r="A99" s="3079" t="s">
        <v>3277</v>
      </c>
      <c r="B99" s="307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90" thickBot="1">
      <c r="A101" s="3080" t="s">
        <v>3279</v>
      </c>
      <c r="B101" s="3087" t="str">
        <f>估价对象房地状况!C20</f>
        <v>区域自然环境：东沙河滨水公园、沙河大学城主题公园；人文环境：北京邮电大学（沙河校区）、北京航空航天大学（沙河校区）、北京师范大学（昌平校园）；综合评价环境状况一般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80" t="s">
        <v>3294</v>
      </c>
      <c r="B103" s="3480"/>
      <c r="C103" s="3480"/>
      <c r="D103" s="3480"/>
      <c r="E103" s="3480"/>
      <c r="F103" s="3480"/>
      <c r="G103" s="3480"/>
      <c r="H103" s="3480"/>
      <c r="I103" s="3480"/>
      <c r="J103" s="3480"/>
      <c r="K103" s="1667"/>
      <c r="L103" s="1667"/>
      <c r="M103" s="1667"/>
      <c r="N103" s="1667"/>
    </row>
    <row r="104" spans="1:14">
      <c r="A104" s="3481" t="s">
        <v>3295</v>
      </c>
      <c r="B104" s="3481" t="s">
        <v>3296</v>
      </c>
      <c r="C104" s="3089" t="s">
        <v>3297</v>
      </c>
      <c r="D104" s="3090"/>
      <c r="E104" s="3090"/>
      <c r="F104" s="3090"/>
      <c r="G104" s="3090"/>
      <c r="H104" s="3090"/>
      <c r="I104" s="3090"/>
      <c r="J104" s="3091"/>
      <c r="K104" s="3092"/>
      <c r="L104" s="3092"/>
      <c r="M104" s="3092"/>
      <c r="N104" s="3092"/>
    </row>
    <row r="105" spans="1:14">
      <c r="A105" s="3481"/>
      <c r="B105" s="3481"/>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67"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8"/>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70" t="s">
        <v>3311</v>
      </c>
      <c r="B113" s="3470"/>
      <c r="C113" s="3470"/>
      <c r="D113" s="3470"/>
      <c r="E113" s="3470"/>
      <c r="F113" s="3470"/>
      <c r="G113" s="3470"/>
      <c r="H113" s="3470"/>
      <c r="I113" s="3470"/>
      <c r="J113" s="347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5" t="s">
        <v>2607</v>
      </c>
      <c r="B20" s="3490" t="s">
        <v>2628</v>
      </c>
      <c r="C20" s="2841" t="s">
        <v>2439</v>
      </c>
      <c r="D20" s="2842"/>
      <c r="E20" s="2843">
        <v>1</v>
      </c>
      <c r="F20" s="2844" t="s">
        <v>2440</v>
      </c>
      <c r="G20" s="2844"/>
    </row>
    <row r="21" spans="1:13" ht="19.5" customHeight="1">
      <c r="A21" s="3496"/>
      <c r="B21" s="3489"/>
      <c r="C21" s="2845" t="s">
        <v>2441</v>
      </c>
      <c r="D21" s="2846"/>
      <c r="E21" s="2847">
        <v>1</v>
      </c>
      <c r="F21" s="2844" t="s">
        <v>2442</v>
      </c>
      <c r="G21" s="2844"/>
    </row>
    <row r="22" spans="1:13" ht="19.5" customHeight="1">
      <c r="A22" s="3496"/>
      <c r="B22" s="3489"/>
      <c r="C22" s="2845" t="s">
        <v>2443</v>
      </c>
      <c r="D22" s="2846"/>
      <c r="E22" s="2847">
        <v>0.9</v>
      </c>
      <c r="F22" s="2844" t="s">
        <v>2444</v>
      </c>
      <c r="G22" s="2844"/>
    </row>
    <row r="23" spans="1:13" ht="19.5" customHeight="1">
      <c r="A23" s="3496"/>
      <c r="B23" s="3489"/>
      <c r="C23" s="2845" t="s">
        <v>2445</v>
      </c>
      <c r="D23" s="2846"/>
      <c r="E23" s="2847">
        <v>0.9</v>
      </c>
      <c r="F23" s="2844" t="s">
        <v>2446</v>
      </c>
      <c r="G23" s="2844"/>
    </row>
    <row r="24" spans="1:13" ht="19.5" customHeight="1">
      <c r="A24" s="3496"/>
      <c r="B24" s="3489"/>
      <c r="C24" s="2845" t="s">
        <v>2447</v>
      </c>
      <c r="D24" s="2846"/>
      <c r="E24" s="2847">
        <v>0.8</v>
      </c>
      <c r="F24" s="2844" t="s">
        <v>2448</v>
      </c>
      <c r="G24" s="2844"/>
    </row>
    <row r="25" spans="1:13" ht="19.5" customHeight="1" thickBot="1">
      <c r="A25" s="3497"/>
      <c r="B25" s="3491"/>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92" t="s">
        <v>2631</v>
      </c>
      <c r="B27" s="3490" t="s">
        <v>2612</v>
      </c>
      <c r="C27" s="2841" t="s">
        <v>2452</v>
      </c>
      <c r="D27" s="2842"/>
      <c r="E27" s="2843">
        <v>1</v>
      </c>
      <c r="F27" s="2844" t="s">
        <v>2453</v>
      </c>
      <c r="G27" s="2844"/>
    </row>
    <row r="28" spans="1:13" ht="19.5" customHeight="1">
      <c r="A28" s="3493"/>
      <c r="B28" s="3489"/>
      <c r="C28" s="2845" t="s">
        <v>2454</v>
      </c>
      <c r="D28" s="2846"/>
      <c r="E28" s="2847">
        <v>1</v>
      </c>
      <c r="F28" s="2844" t="s">
        <v>2455</v>
      </c>
      <c r="G28" s="2844"/>
    </row>
    <row r="29" spans="1:13" ht="19.5" customHeight="1">
      <c r="A29" s="3493"/>
      <c r="B29" s="3489"/>
      <c r="C29" s="2845" t="s">
        <v>2456</v>
      </c>
      <c r="D29" s="2846"/>
      <c r="E29" s="2847">
        <v>0.8</v>
      </c>
      <c r="F29" s="2844" t="s">
        <v>2457</v>
      </c>
      <c r="G29" s="2844"/>
    </row>
    <row r="30" spans="1:13" ht="19.5" customHeight="1">
      <c r="A30" s="3493"/>
      <c r="B30" s="3489"/>
      <c r="C30" s="2845" t="s">
        <v>2458</v>
      </c>
      <c r="D30" s="2846"/>
      <c r="E30" s="2847">
        <v>0.8</v>
      </c>
      <c r="F30" s="2844" t="s">
        <v>2459</v>
      </c>
      <c r="G30" s="2844"/>
    </row>
    <row r="31" spans="1:13" ht="19.5" customHeight="1">
      <c r="A31" s="3493"/>
      <c r="B31" s="3489"/>
      <c r="C31" s="2845" t="s">
        <v>2460</v>
      </c>
      <c r="D31" s="2846"/>
      <c r="E31" s="2847">
        <v>0.8</v>
      </c>
      <c r="F31" s="2844" t="s">
        <v>2461</v>
      </c>
      <c r="G31" s="2844"/>
    </row>
    <row r="32" spans="1:13" ht="19.5" customHeight="1">
      <c r="A32" s="3493"/>
      <c r="B32" s="3489"/>
      <c r="C32" s="2845" t="s">
        <v>2462</v>
      </c>
      <c r="D32" s="2846"/>
      <c r="E32" s="2847">
        <v>0.7</v>
      </c>
      <c r="F32" s="2844" t="s">
        <v>2463</v>
      </c>
      <c r="G32" s="2844"/>
    </row>
    <row r="33" spans="1:7" ht="19.5" customHeight="1">
      <c r="A33" s="3493"/>
      <c r="B33" s="3489"/>
      <c r="C33" s="2845" t="s">
        <v>2464</v>
      </c>
      <c r="D33" s="2846"/>
      <c r="E33" s="2847">
        <v>0.8</v>
      </c>
      <c r="F33" s="2844" t="s">
        <v>2465</v>
      </c>
      <c r="G33" s="2844"/>
    </row>
    <row r="34" spans="1:7" ht="19.5" customHeight="1">
      <c r="A34" s="3493"/>
      <c r="B34" s="3489"/>
      <c r="C34" s="2845" t="s">
        <v>2466</v>
      </c>
      <c r="D34" s="2846"/>
      <c r="E34" s="2847">
        <v>0.6</v>
      </c>
      <c r="F34" s="2844" t="s">
        <v>2467</v>
      </c>
      <c r="G34" s="2844"/>
    </row>
    <row r="35" spans="1:7" ht="19.5" customHeight="1">
      <c r="A35" s="3493"/>
      <c r="B35" s="3489"/>
      <c r="C35" s="2845" t="s">
        <v>2468</v>
      </c>
      <c r="D35" s="2846"/>
      <c r="E35" s="2847">
        <v>0.2</v>
      </c>
      <c r="F35" s="2844" t="s">
        <v>2469</v>
      </c>
      <c r="G35" s="2844"/>
    </row>
    <row r="36" spans="1:7" ht="19.5" customHeight="1">
      <c r="A36" s="3493"/>
      <c r="B36" s="3489"/>
      <c r="C36" s="2845" t="s">
        <v>2470</v>
      </c>
      <c r="D36" s="2846"/>
      <c r="E36" s="2847">
        <v>0.2</v>
      </c>
      <c r="F36" s="2844" t="s">
        <v>2471</v>
      </c>
      <c r="G36" s="2844"/>
    </row>
    <row r="37" spans="1:7" ht="19.5" customHeight="1">
      <c r="A37" s="3493"/>
      <c r="B37" s="3487" t="s">
        <v>2632</v>
      </c>
      <c r="C37" s="2845" t="s">
        <v>2472</v>
      </c>
      <c r="D37" s="2846"/>
      <c r="E37" s="2847">
        <v>0.6</v>
      </c>
      <c r="F37" s="2844" t="s">
        <v>2473</v>
      </c>
      <c r="G37" s="2844"/>
    </row>
    <row r="38" spans="1:7" ht="19.5" customHeight="1">
      <c r="A38" s="3493"/>
      <c r="B38" s="3489"/>
      <c r="C38" s="2845" t="s">
        <v>2474</v>
      </c>
      <c r="D38" s="2846"/>
      <c r="E38" s="2847">
        <v>0.6</v>
      </c>
      <c r="F38" s="2844" t="s">
        <v>2475</v>
      </c>
      <c r="G38" s="2844"/>
    </row>
    <row r="39" spans="1:7" ht="19.5" customHeight="1" thickBot="1">
      <c r="A39" s="3494"/>
      <c r="B39" s="3491"/>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95" t="s">
        <v>2610</v>
      </c>
      <c r="B41" s="3490" t="s">
        <v>2634</v>
      </c>
      <c r="C41" s="2841" t="s">
        <v>2479</v>
      </c>
      <c r="D41" s="2842"/>
      <c r="E41" s="2843">
        <v>1</v>
      </c>
      <c r="F41" s="2844" t="s">
        <v>2480</v>
      </c>
      <c r="G41" s="2844"/>
    </row>
    <row r="42" spans="1:7" ht="19.5" customHeight="1">
      <c r="A42" s="3496"/>
      <c r="B42" s="3489"/>
      <c r="C42" s="2845" t="s">
        <v>2481</v>
      </c>
      <c r="D42" s="2846"/>
      <c r="E42" s="2847">
        <v>1</v>
      </c>
      <c r="F42" s="2844" t="s">
        <v>2482</v>
      </c>
      <c r="G42" s="2844"/>
    </row>
    <row r="43" spans="1:7" ht="19.5" customHeight="1">
      <c r="A43" s="3496"/>
      <c r="B43" s="3488"/>
      <c r="C43" s="2845" t="s">
        <v>2483</v>
      </c>
      <c r="D43" s="2846"/>
      <c r="E43" s="2847">
        <v>1.5</v>
      </c>
      <c r="F43" s="2844" t="s">
        <v>2484</v>
      </c>
      <c r="G43" s="2844"/>
    </row>
    <row r="44" spans="1:7" ht="19.5" customHeight="1">
      <c r="A44" s="3496"/>
      <c r="B44" s="2856" t="s">
        <v>2635</v>
      </c>
      <c r="C44" s="2845" t="s">
        <v>2636</v>
      </c>
      <c r="D44" s="2846"/>
      <c r="E44" s="2847">
        <v>2</v>
      </c>
      <c r="F44" s="2844" t="s">
        <v>2485</v>
      </c>
      <c r="G44" s="2844"/>
    </row>
    <row r="45" spans="1:7" ht="19.5" customHeight="1">
      <c r="A45" s="3496"/>
      <c r="B45" s="3487" t="s">
        <v>2637</v>
      </c>
      <c r="C45" s="2845" t="s">
        <v>2486</v>
      </c>
      <c r="D45" s="2846"/>
      <c r="E45" s="2847">
        <v>1</v>
      </c>
      <c r="F45" s="2844" t="s">
        <v>2487</v>
      </c>
      <c r="G45" s="2844"/>
    </row>
    <row r="46" spans="1:7" ht="19.5" customHeight="1">
      <c r="A46" s="3496"/>
      <c r="B46" s="3489"/>
      <c r="C46" s="2845" t="s">
        <v>2488</v>
      </c>
      <c r="D46" s="2846"/>
      <c r="E46" s="2847">
        <v>1</v>
      </c>
      <c r="F46" s="2844" t="s">
        <v>2489</v>
      </c>
      <c r="G46" s="2844"/>
    </row>
    <row r="47" spans="1:7" ht="19.5" customHeight="1">
      <c r="A47" s="3496"/>
      <c r="B47" s="3489"/>
      <c r="C47" s="2845" t="s">
        <v>2490</v>
      </c>
      <c r="D47" s="2846"/>
      <c r="E47" s="2847">
        <v>1</v>
      </c>
      <c r="F47" s="2844" t="s">
        <v>2491</v>
      </c>
      <c r="G47" s="2844"/>
    </row>
    <row r="48" spans="1:7" ht="19.5" customHeight="1">
      <c r="A48" s="3496"/>
      <c r="B48" s="3489"/>
      <c r="C48" s="2845" t="s">
        <v>2492</v>
      </c>
      <c r="D48" s="2846"/>
      <c r="E48" s="2847">
        <v>1</v>
      </c>
      <c r="F48" s="2844" t="s">
        <v>2493</v>
      </c>
      <c r="G48" s="2844"/>
    </row>
    <row r="49" spans="1:7" ht="19.5" customHeight="1">
      <c r="A49" s="3496"/>
      <c r="B49" s="3489"/>
      <c r="C49" s="2845" t="s">
        <v>2494</v>
      </c>
      <c r="D49" s="2846"/>
      <c r="E49" s="2847">
        <v>1</v>
      </c>
      <c r="F49" s="2844" t="s">
        <v>2495</v>
      </c>
      <c r="G49" s="2844"/>
    </row>
    <row r="50" spans="1:7" ht="19.5" customHeight="1">
      <c r="A50" s="3496"/>
      <c r="B50" s="3489"/>
      <c r="C50" s="2845" t="s">
        <v>2496</v>
      </c>
      <c r="D50" s="2846"/>
      <c r="E50" s="2847">
        <v>1</v>
      </c>
      <c r="F50" s="2844" t="s">
        <v>2497</v>
      </c>
      <c r="G50" s="2844"/>
    </row>
    <row r="51" spans="1:7" ht="19.5" customHeight="1" thickBot="1">
      <c r="A51" s="3497"/>
      <c r="B51" s="3491"/>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87" t="s">
        <v>2651</v>
      </c>
      <c r="C73" s="2830" t="s">
        <v>2652</v>
      </c>
      <c r="D73" s="2830" t="s">
        <v>2653</v>
      </c>
      <c r="E73" s="2856">
        <v>0.2</v>
      </c>
      <c r="F73" s="2856">
        <v>25</v>
      </c>
    </row>
    <row r="74" spans="1:7" ht="24">
      <c r="A74" s="2856">
        <v>2</v>
      </c>
      <c r="B74" s="3489"/>
      <c r="C74" s="2830" t="s">
        <v>2654</v>
      </c>
      <c r="D74" s="2830" t="s">
        <v>2655</v>
      </c>
      <c r="E74" s="2856">
        <v>0.2</v>
      </c>
      <c r="F74" s="2856">
        <v>25</v>
      </c>
    </row>
    <row r="75" spans="1:7" ht="24">
      <c r="A75" s="2856">
        <v>3</v>
      </c>
      <c r="B75" s="3489"/>
      <c r="C75" s="2830" t="s">
        <v>2656</v>
      </c>
      <c r="D75" s="2830" t="s">
        <v>2657</v>
      </c>
      <c r="E75" s="2856">
        <v>0.2</v>
      </c>
      <c r="F75" s="2856">
        <v>25</v>
      </c>
    </row>
    <row r="76" spans="1:7" ht="13.5">
      <c r="A76" s="2856">
        <v>4</v>
      </c>
      <c r="B76" s="3489"/>
      <c r="C76" s="2830" t="s">
        <v>2658</v>
      </c>
      <c r="D76" s="2830" t="s">
        <v>2659</v>
      </c>
      <c r="E76" s="2856">
        <v>0.15</v>
      </c>
      <c r="F76" s="2856">
        <v>20</v>
      </c>
    </row>
    <row r="77" spans="1:7" ht="24">
      <c r="A77" s="2856">
        <v>5</v>
      </c>
      <c r="B77" s="3489"/>
      <c r="C77" s="2830" t="s">
        <v>2660</v>
      </c>
      <c r="D77" s="2830" t="s">
        <v>2661</v>
      </c>
      <c r="E77" s="2856">
        <v>0.15</v>
      </c>
      <c r="F77" s="2856">
        <v>20</v>
      </c>
    </row>
    <row r="78" spans="1:7" ht="24">
      <c r="A78" s="2856">
        <v>6</v>
      </c>
      <c r="B78" s="3489"/>
      <c r="C78" s="2830" t="s">
        <v>2662</v>
      </c>
      <c r="D78" s="2830" t="s">
        <v>2663</v>
      </c>
      <c r="E78" s="2856">
        <v>0.15</v>
      </c>
      <c r="F78" s="2856">
        <v>20</v>
      </c>
    </row>
    <row r="79" spans="1:7" ht="24">
      <c r="A79" s="2856">
        <v>7</v>
      </c>
      <c r="B79" s="3489"/>
      <c r="C79" s="2830" t="s">
        <v>2664</v>
      </c>
      <c r="D79" s="2830" t="s">
        <v>2665</v>
      </c>
      <c r="E79" s="2856">
        <v>0.15</v>
      </c>
      <c r="F79" s="2856">
        <v>20</v>
      </c>
    </row>
    <row r="80" spans="1:7" ht="24">
      <c r="A80" s="2856">
        <v>8</v>
      </c>
      <c r="B80" s="3489"/>
      <c r="C80" s="2830" t="s">
        <v>2666</v>
      </c>
      <c r="D80" s="2830" t="s">
        <v>2667</v>
      </c>
      <c r="E80" s="2856">
        <v>0.1</v>
      </c>
      <c r="F80" s="2856">
        <v>15</v>
      </c>
    </row>
    <row r="81" spans="1:6" ht="24">
      <c r="A81" s="2856">
        <v>9</v>
      </c>
      <c r="B81" s="3489"/>
      <c r="C81" s="2830" t="s">
        <v>2668</v>
      </c>
      <c r="D81" s="2830" t="s">
        <v>2669</v>
      </c>
      <c r="E81" s="2856">
        <v>0.1</v>
      </c>
      <c r="F81" s="2856">
        <v>15</v>
      </c>
    </row>
    <row r="82" spans="1:6" ht="24">
      <c r="A82" s="2856">
        <v>10</v>
      </c>
      <c r="B82" s="3489"/>
      <c r="C82" s="2830" t="s">
        <v>2670</v>
      </c>
      <c r="D82" s="2830" t="s">
        <v>2671</v>
      </c>
      <c r="E82" s="2856">
        <v>0.1</v>
      </c>
      <c r="F82" s="2856">
        <v>15</v>
      </c>
    </row>
    <row r="83" spans="1:6" ht="24">
      <c r="A83" s="2856">
        <v>11</v>
      </c>
      <c r="B83" s="3489"/>
      <c r="C83" s="2830" t="s">
        <v>2672</v>
      </c>
      <c r="D83" s="2830" t="s">
        <v>2673</v>
      </c>
      <c r="E83" s="2856">
        <v>0.1</v>
      </c>
      <c r="F83" s="2856">
        <v>15</v>
      </c>
    </row>
    <row r="84" spans="1:6" ht="24">
      <c r="A84" s="2856">
        <v>12</v>
      </c>
      <c r="B84" s="3489"/>
      <c r="C84" s="2830" t="s">
        <v>2674</v>
      </c>
      <c r="D84" s="2830" t="s">
        <v>2675</v>
      </c>
      <c r="E84" s="2856">
        <v>0.1</v>
      </c>
      <c r="F84" s="2856">
        <v>15</v>
      </c>
    </row>
    <row r="85" spans="1:6" ht="13.5">
      <c r="A85" s="2856">
        <v>13</v>
      </c>
      <c r="B85" s="3489"/>
      <c r="C85" s="2830" t="s">
        <v>2676</v>
      </c>
      <c r="D85" s="2830" t="s">
        <v>2677</v>
      </c>
      <c r="E85" s="2856">
        <v>0.1</v>
      </c>
      <c r="F85" s="2856">
        <v>15</v>
      </c>
    </row>
    <row r="86" spans="1:6" ht="13.5">
      <c r="A86" s="2856">
        <v>14</v>
      </c>
      <c r="B86" s="3489"/>
      <c r="C86" s="2830" t="s">
        <v>2678</v>
      </c>
      <c r="D86" s="2830" t="s">
        <v>2679</v>
      </c>
      <c r="E86" s="2856">
        <v>0.1</v>
      </c>
      <c r="F86" s="2856">
        <v>15</v>
      </c>
    </row>
    <row r="87" spans="1:6" ht="13.5">
      <c r="A87" s="2856">
        <v>15</v>
      </c>
      <c r="B87" s="3489"/>
      <c r="C87" s="2830" t="s">
        <v>2680</v>
      </c>
      <c r="D87" s="2830" t="s">
        <v>2681</v>
      </c>
      <c r="E87" s="2856">
        <v>0.1</v>
      </c>
      <c r="F87" s="2856">
        <v>15</v>
      </c>
    </row>
    <row r="88" spans="1:6" ht="24">
      <c r="A88" s="2856">
        <v>16</v>
      </c>
      <c r="B88" s="3489"/>
      <c r="C88" s="2830" t="s">
        <v>2682</v>
      </c>
      <c r="D88" s="2830" t="s">
        <v>2683</v>
      </c>
      <c r="E88" s="2856">
        <v>0.1</v>
      </c>
      <c r="F88" s="2856">
        <v>15</v>
      </c>
    </row>
    <row r="89" spans="1:6" ht="24">
      <c r="A89" s="2856">
        <v>17</v>
      </c>
      <c r="B89" s="3488"/>
      <c r="C89" s="2830" t="s">
        <v>2684</v>
      </c>
      <c r="D89" s="2830" t="s">
        <v>2685</v>
      </c>
      <c r="E89" s="2856">
        <v>0.1</v>
      </c>
      <c r="F89" s="2856">
        <v>15</v>
      </c>
    </row>
    <row r="90" spans="1:6" ht="13.5">
      <c r="A90" s="2856">
        <v>18</v>
      </c>
      <c r="B90" s="3487" t="s">
        <v>2686</v>
      </c>
      <c r="C90" s="2830" t="s">
        <v>2687</v>
      </c>
      <c r="D90" s="2830" t="s">
        <v>2688</v>
      </c>
      <c r="E90" s="2856">
        <v>0.2</v>
      </c>
      <c r="F90" s="2856">
        <v>25</v>
      </c>
    </row>
    <row r="91" spans="1:6" ht="24">
      <c r="A91" s="2856">
        <v>19</v>
      </c>
      <c r="B91" s="3489"/>
      <c r="C91" s="2830" t="s">
        <v>2689</v>
      </c>
      <c r="D91" s="2830" t="s">
        <v>2690</v>
      </c>
      <c r="E91" s="2856">
        <v>0.2</v>
      </c>
      <c r="F91" s="2856">
        <v>25</v>
      </c>
    </row>
    <row r="92" spans="1:6" ht="13.5">
      <c r="A92" s="2856">
        <v>20</v>
      </c>
      <c r="B92" s="3489"/>
      <c r="C92" s="2830" t="s">
        <v>2691</v>
      </c>
      <c r="D92" s="2830" t="s">
        <v>2692</v>
      </c>
      <c r="E92" s="2856">
        <v>0.15</v>
      </c>
      <c r="F92" s="2856">
        <v>20</v>
      </c>
    </row>
    <row r="93" spans="1:6" ht="13.5">
      <c r="A93" s="2856">
        <v>21</v>
      </c>
      <c r="B93" s="3489"/>
      <c r="C93" s="2830" t="s">
        <v>2693</v>
      </c>
      <c r="D93" s="2830" t="s">
        <v>2694</v>
      </c>
      <c r="E93" s="2856">
        <v>0.15</v>
      </c>
      <c r="F93" s="2856">
        <v>20</v>
      </c>
    </row>
    <row r="94" spans="1:6" ht="13.5">
      <c r="A94" s="2856">
        <v>22</v>
      </c>
      <c r="B94" s="3489"/>
      <c r="C94" s="2830" t="s">
        <v>2695</v>
      </c>
      <c r="D94" s="2830" t="s">
        <v>2696</v>
      </c>
      <c r="E94" s="2856">
        <v>0.15</v>
      </c>
      <c r="F94" s="2856">
        <v>20</v>
      </c>
    </row>
    <row r="95" spans="1:6" ht="36">
      <c r="A95" s="2856">
        <v>23</v>
      </c>
      <c r="B95" s="3489"/>
      <c r="C95" s="2830" t="s">
        <v>2697</v>
      </c>
      <c r="D95" s="2830" t="s">
        <v>2698</v>
      </c>
      <c r="E95" s="2856">
        <v>0.15</v>
      </c>
      <c r="F95" s="2856">
        <v>20</v>
      </c>
    </row>
    <row r="96" spans="1:6" ht="13.5">
      <c r="A96" s="2856">
        <v>24</v>
      </c>
      <c r="B96" s="3489"/>
      <c r="C96" s="2830" t="s">
        <v>2699</v>
      </c>
      <c r="D96" s="2830" t="s">
        <v>2700</v>
      </c>
      <c r="E96" s="2856">
        <v>0.1</v>
      </c>
      <c r="F96" s="2856">
        <v>15</v>
      </c>
    </row>
    <row r="97" spans="1:6" ht="13.5">
      <c r="A97" s="2856">
        <v>25</v>
      </c>
      <c r="B97" s="3489"/>
      <c r="C97" s="2830" t="s">
        <v>2701</v>
      </c>
      <c r="D97" s="2830" t="s">
        <v>2702</v>
      </c>
      <c r="E97" s="2856">
        <v>0.1</v>
      </c>
      <c r="F97" s="2856">
        <v>15</v>
      </c>
    </row>
    <row r="98" spans="1:6" ht="24">
      <c r="A98" s="2856">
        <v>26</v>
      </c>
      <c r="B98" s="3489"/>
      <c r="C98" s="2830" t="s">
        <v>2703</v>
      </c>
      <c r="D98" s="2830" t="s">
        <v>2704</v>
      </c>
      <c r="E98" s="2856">
        <v>0.1</v>
      </c>
      <c r="F98" s="2856">
        <v>15</v>
      </c>
    </row>
    <row r="99" spans="1:6" ht="24">
      <c r="A99" s="2856">
        <v>27</v>
      </c>
      <c r="B99" s="3489"/>
      <c r="C99" s="2830" t="s">
        <v>2705</v>
      </c>
      <c r="D99" s="2830" t="s">
        <v>2706</v>
      </c>
      <c r="E99" s="2856">
        <v>0.1</v>
      </c>
      <c r="F99" s="2856">
        <v>15</v>
      </c>
    </row>
    <row r="100" spans="1:6" ht="13.5">
      <c r="A100" s="2856">
        <v>28</v>
      </c>
      <c r="B100" s="3489"/>
      <c r="C100" s="2830" t="s">
        <v>2707</v>
      </c>
      <c r="D100" s="2830" t="s">
        <v>2708</v>
      </c>
      <c r="E100" s="2856">
        <v>0.1</v>
      </c>
      <c r="F100" s="2856">
        <v>15</v>
      </c>
    </row>
    <row r="101" spans="1:6" ht="13.5">
      <c r="A101" s="2856">
        <v>29</v>
      </c>
      <c r="B101" s="3489"/>
      <c r="C101" s="2830" t="s">
        <v>2709</v>
      </c>
      <c r="D101" s="2830" t="s">
        <v>2710</v>
      </c>
      <c r="E101" s="2856">
        <v>0.1</v>
      </c>
      <c r="F101" s="2856">
        <v>15</v>
      </c>
    </row>
    <row r="102" spans="1:6" ht="13.5">
      <c r="A102" s="2856">
        <v>30</v>
      </c>
      <c r="B102" s="3489"/>
      <c r="C102" s="2830" t="s">
        <v>2711</v>
      </c>
      <c r="D102" s="2830" t="s">
        <v>2712</v>
      </c>
      <c r="E102" s="2856">
        <v>0.1</v>
      </c>
      <c r="F102" s="2856">
        <v>15</v>
      </c>
    </row>
    <row r="103" spans="1:6" ht="24">
      <c r="A103" s="2856">
        <v>31</v>
      </c>
      <c r="B103" s="3489"/>
      <c r="C103" s="2830" t="s">
        <v>2713</v>
      </c>
      <c r="D103" s="2830" t="s">
        <v>2714</v>
      </c>
      <c r="E103" s="2856">
        <v>0.1</v>
      </c>
      <c r="F103" s="2856">
        <v>15</v>
      </c>
    </row>
    <row r="104" spans="1:6" ht="24">
      <c r="A104" s="2856">
        <v>32</v>
      </c>
      <c r="B104" s="3489"/>
      <c r="C104" s="2830" t="s">
        <v>2715</v>
      </c>
      <c r="D104" s="2830" t="s">
        <v>2716</v>
      </c>
      <c r="E104" s="2856">
        <v>0.1</v>
      </c>
      <c r="F104" s="2856">
        <v>15</v>
      </c>
    </row>
    <row r="105" spans="1:6" ht="24">
      <c r="A105" s="2856">
        <v>33</v>
      </c>
      <c r="B105" s="3489"/>
      <c r="C105" s="2830" t="s">
        <v>2717</v>
      </c>
      <c r="D105" s="2830" t="s">
        <v>2718</v>
      </c>
      <c r="E105" s="2856">
        <v>0.1</v>
      </c>
      <c r="F105" s="2856">
        <v>15</v>
      </c>
    </row>
    <row r="106" spans="1:6" ht="24">
      <c r="A106" s="2856">
        <v>34</v>
      </c>
      <c r="B106" s="3488"/>
      <c r="C106" s="2830" t="s">
        <v>2719</v>
      </c>
      <c r="D106" s="2830" t="s">
        <v>2720</v>
      </c>
      <c r="E106" s="2856">
        <v>0.1</v>
      </c>
      <c r="F106" s="2856">
        <v>15</v>
      </c>
    </row>
    <row r="107" spans="1:6" ht="24">
      <c r="A107" s="2856">
        <v>35</v>
      </c>
      <c r="B107" s="3487" t="s">
        <v>2721</v>
      </c>
      <c r="C107" s="2856" t="s">
        <v>2722</v>
      </c>
      <c r="D107" s="2830" t="s">
        <v>2723</v>
      </c>
      <c r="E107" s="2856">
        <v>0.15</v>
      </c>
      <c r="F107" s="2856">
        <v>20</v>
      </c>
    </row>
    <row r="108" spans="1:6" ht="13.5">
      <c r="A108" s="2856">
        <v>36</v>
      </c>
      <c r="B108" s="3489"/>
      <c r="C108" s="2856" t="s">
        <v>2724</v>
      </c>
      <c r="D108" s="2830" t="s">
        <v>2725</v>
      </c>
      <c r="E108" s="2856">
        <v>0.15</v>
      </c>
      <c r="F108" s="2856">
        <v>20</v>
      </c>
    </row>
    <row r="109" spans="1:6" ht="13.5">
      <c r="A109" s="2856">
        <v>37</v>
      </c>
      <c r="B109" s="3489"/>
      <c r="C109" s="2856" t="s">
        <v>2726</v>
      </c>
      <c r="D109" s="2830" t="s">
        <v>2727</v>
      </c>
      <c r="E109" s="2856">
        <v>0.15</v>
      </c>
      <c r="F109" s="2856">
        <v>20</v>
      </c>
    </row>
    <row r="110" spans="1:6" ht="13.5">
      <c r="A110" s="2856">
        <v>38</v>
      </c>
      <c r="B110" s="3489"/>
      <c r="C110" s="2856" t="s">
        <v>2728</v>
      </c>
      <c r="D110" s="2830" t="s">
        <v>2729</v>
      </c>
      <c r="E110" s="2856">
        <v>0.1</v>
      </c>
      <c r="F110" s="2856">
        <v>15</v>
      </c>
    </row>
    <row r="111" spans="1:6" ht="24">
      <c r="A111" s="2856">
        <v>39</v>
      </c>
      <c r="B111" s="3489"/>
      <c r="C111" s="2856" t="s">
        <v>2730</v>
      </c>
      <c r="D111" s="2830" t="s">
        <v>2731</v>
      </c>
      <c r="E111" s="2856">
        <v>0.1</v>
      </c>
      <c r="F111" s="2856">
        <v>15</v>
      </c>
    </row>
    <row r="112" spans="1:6" ht="24">
      <c r="A112" s="2856">
        <v>40</v>
      </c>
      <c r="B112" s="3488"/>
      <c r="C112" s="2856" t="s">
        <v>2732</v>
      </c>
      <c r="D112" s="2830" t="s">
        <v>2733</v>
      </c>
      <c r="E112" s="2856">
        <v>0.1</v>
      </c>
      <c r="F112" s="2856">
        <v>15</v>
      </c>
    </row>
    <row r="113" spans="1:6" ht="13.5">
      <c r="A113" s="2856">
        <v>41</v>
      </c>
      <c r="B113" s="3486" t="s">
        <v>2734</v>
      </c>
      <c r="C113" s="2856" t="s">
        <v>2735</v>
      </c>
      <c r="D113" s="2830" t="s">
        <v>2736</v>
      </c>
      <c r="E113" s="2856">
        <v>0.1</v>
      </c>
      <c r="F113" s="2856">
        <v>15</v>
      </c>
    </row>
    <row r="114" spans="1:6" ht="13.5">
      <c r="A114" s="2856">
        <v>42</v>
      </c>
      <c r="B114" s="3486"/>
      <c r="C114" s="2856" t="s">
        <v>2737</v>
      </c>
      <c r="D114" s="2830" t="s">
        <v>2738</v>
      </c>
      <c r="E114" s="2856">
        <v>0.1</v>
      </c>
      <c r="F114" s="2856">
        <v>15</v>
      </c>
    </row>
    <row r="115" spans="1:6" ht="24">
      <c r="A115" s="2856">
        <v>43</v>
      </c>
      <c r="B115" s="3486"/>
      <c r="C115" s="2856" t="s">
        <v>2739</v>
      </c>
      <c r="D115" s="2830" t="s">
        <v>2740</v>
      </c>
      <c r="E115" s="2856">
        <v>0.1</v>
      </c>
      <c r="F115" s="2856">
        <v>15</v>
      </c>
    </row>
    <row r="116" spans="1:6" ht="13.5">
      <c r="A116" s="2856">
        <v>44</v>
      </c>
      <c r="B116" s="3487" t="s">
        <v>2741</v>
      </c>
      <c r="C116" s="2856" t="s">
        <v>2742</v>
      </c>
      <c r="D116" s="2830" t="s">
        <v>2743</v>
      </c>
      <c r="E116" s="2856">
        <v>0.1</v>
      </c>
      <c r="F116" s="2856">
        <v>15</v>
      </c>
    </row>
    <row r="117" spans="1:6" ht="24">
      <c r="A117" s="2856">
        <v>45</v>
      </c>
      <c r="B117" s="3488"/>
      <c r="C117" s="2830" t="s">
        <v>2744</v>
      </c>
      <c r="D117" s="2830" t="s">
        <v>2745</v>
      </c>
      <c r="E117" s="2856">
        <v>0.1</v>
      </c>
      <c r="F117" s="2856">
        <v>15</v>
      </c>
    </row>
    <row r="118" spans="1:6" ht="24">
      <c r="A118" s="2856">
        <v>46</v>
      </c>
      <c r="B118" s="3487" t="s">
        <v>2746</v>
      </c>
      <c r="C118" s="2856" t="s">
        <v>2747</v>
      </c>
      <c r="D118" s="2830" t="s">
        <v>2748</v>
      </c>
      <c r="E118" s="2856">
        <v>0.1</v>
      </c>
      <c r="F118" s="2856">
        <v>15</v>
      </c>
    </row>
    <row r="119" spans="1:6" ht="24">
      <c r="A119" s="2856">
        <v>47</v>
      </c>
      <c r="B119" s="3488"/>
      <c r="C119" s="2856" t="s">
        <v>2749</v>
      </c>
      <c r="D119" s="2830" t="s">
        <v>2750</v>
      </c>
      <c r="E119" s="2856">
        <v>0.1</v>
      </c>
      <c r="F119" s="2856">
        <v>15</v>
      </c>
    </row>
    <row r="120" spans="1:6" ht="13.5">
      <c r="A120" s="2856">
        <v>48</v>
      </c>
      <c r="B120" s="3487" t="s">
        <v>2751</v>
      </c>
      <c r="C120" s="2856" t="s">
        <v>2752</v>
      </c>
      <c r="D120" s="2830" t="s">
        <v>2753</v>
      </c>
      <c r="E120" s="2856">
        <v>0.1</v>
      </c>
      <c r="F120" s="2856">
        <v>15</v>
      </c>
    </row>
    <row r="121" spans="1:6" ht="13.5">
      <c r="A121" s="2856">
        <v>49</v>
      </c>
      <c r="B121" s="3488"/>
      <c r="C121" s="2856" t="s">
        <v>2754</v>
      </c>
      <c r="D121" s="2830" t="s">
        <v>2755</v>
      </c>
      <c r="E121" s="2856">
        <v>0.1</v>
      </c>
      <c r="F121" s="2856">
        <v>15</v>
      </c>
    </row>
    <row r="122" spans="1:6" ht="24">
      <c r="A122" s="2856">
        <v>50</v>
      </c>
      <c r="B122" s="3486" t="s">
        <v>2756</v>
      </c>
      <c r="C122" s="2856" t="s">
        <v>2757</v>
      </c>
      <c r="D122" s="2830" t="s">
        <v>2758</v>
      </c>
      <c r="E122" s="2856">
        <v>0.1</v>
      </c>
      <c r="F122" s="2856">
        <v>15</v>
      </c>
    </row>
    <row r="123" spans="1:6" ht="24">
      <c r="A123" s="2856">
        <v>51</v>
      </c>
      <c r="B123" s="3486"/>
      <c r="C123" s="2856" t="s">
        <v>2759</v>
      </c>
      <c r="D123" s="2830" t="s">
        <v>2760</v>
      </c>
      <c r="E123" s="2856">
        <v>0.1</v>
      </c>
      <c r="F123" s="2856">
        <v>15</v>
      </c>
    </row>
    <row r="124" spans="1:6" ht="24">
      <c r="A124" s="2856">
        <v>52</v>
      </c>
      <c r="B124" s="3486" t="s">
        <v>2761</v>
      </c>
      <c r="C124" s="2856" t="s">
        <v>2762</v>
      </c>
      <c r="D124" s="2830" t="s">
        <v>2763</v>
      </c>
      <c r="E124" s="2856">
        <v>0.1</v>
      </c>
      <c r="F124" s="2856">
        <v>15</v>
      </c>
    </row>
    <row r="125" spans="1:6" ht="24">
      <c r="A125" s="2856">
        <v>53</v>
      </c>
      <c r="B125" s="3486"/>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86" t="s">
        <v>2769</v>
      </c>
      <c r="C127" s="2856" t="s">
        <v>2770</v>
      </c>
      <c r="D127" s="2830" t="s">
        <v>2771</v>
      </c>
      <c r="E127" s="2856">
        <v>0.1</v>
      </c>
      <c r="F127" s="2856">
        <v>15</v>
      </c>
    </row>
    <row r="128" spans="1:6" ht="13.5">
      <c r="A128" s="2856">
        <v>56</v>
      </c>
      <c r="B128" s="3486"/>
      <c r="C128" s="2856" t="s">
        <v>2772</v>
      </c>
      <c r="D128" s="2830" t="s">
        <v>2773</v>
      </c>
      <c r="E128" s="2856">
        <v>0.1</v>
      </c>
      <c r="F128" s="2856">
        <v>15</v>
      </c>
    </row>
    <row r="129" spans="1:6" ht="24">
      <c r="A129" s="2856">
        <v>57</v>
      </c>
      <c r="B129" s="3486"/>
      <c r="C129" s="2856" t="s">
        <v>2774</v>
      </c>
      <c r="D129" s="2830" t="s">
        <v>2775</v>
      </c>
      <c r="E129" s="2856">
        <v>0.1</v>
      </c>
      <c r="F129" s="2856">
        <v>15</v>
      </c>
    </row>
    <row r="130" spans="1:6" ht="24">
      <c r="A130" s="2856">
        <v>58</v>
      </c>
      <c r="B130" s="3486" t="s">
        <v>2776</v>
      </c>
      <c r="C130" s="2856" t="s">
        <v>2777</v>
      </c>
      <c r="D130" s="2830" t="s">
        <v>2778</v>
      </c>
      <c r="E130" s="2856">
        <v>0.1</v>
      </c>
      <c r="F130" s="2856">
        <v>15</v>
      </c>
    </row>
    <row r="131" spans="1:6" ht="13.5">
      <c r="A131" s="2856">
        <v>59</v>
      </c>
      <c r="B131" s="3486"/>
      <c r="C131" s="2856" t="s">
        <v>2779</v>
      </c>
      <c r="D131" s="2830" t="s">
        <v>2780</v>
      </c>
      <c r="E131" s="2856">
        <v>0.1</v>
      </c>
      <c r="F131" s="2856">
        <v>15</v>
      </c>
    </row>
    <row r="132" spans="1:6" ht="13.5">
      <c r="A132" s="2856">
        <v>60</v>
      </c>
      <c r="B132" s="3487" t="s">
        <v>2781</v>
      </c>
      <c r="C132" s="2856" t="s">
        <v>2782</v>
      </c>
      <c r="D132" s="2830" t="s">
        <v>2783</v>
      </c>
      <c r="E132" s="2856">
        <v>0.1</v>
      </c>
      <c r="F132" s="2856">
        <v>15</v>
      </c>
    </row>
    <row r="133" spans="1:6" ht="13.5">
      <c r="A133" s="2856">
        <v>61</v>
      </c>
      <c r="B133" s="3488"/>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86" t="s">
        <v>2789</v>
      </c>
      <c r="C135" s="2856" t="s">
        <v>2790</v>
      </c>
      <c r="D135" s="2830" t="s">
        <v>2791</v>
      </c>
      <c r="E135" s="2856">
        <v>0.1</v>
      </c>
      <c r="F135" s="2856">
        <v>15</v>
      </c>
    </row>
    <row r="136" spans="1:6" ht="13.5">
      <c r="A136" s="2856">
        <v>64</v>
      </c>
      <c r="B136" s="3486"/>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91"/>
      <c r="B4" s="3183" t="s">
        <v>917</v>
      </c>
      <c r="C4" s="3183"/>
      <c r="D4" s="3183"/>
      <c r="E4" s="1391"/>
    </row>
    <row r="5" spans="1:5" ht="16.5" thickTop="1">
      <c r="B5" s="3181" t="s">
        <v>909</v>
      </c>
      <c r="C5" s="1392" t="s">
        <v>910</v>
      </c>
      <c r="D5" s="797" t="e">
        <f ca="1">结果表!H101</f>
        <v>#REF!</v>
      </c>
    </row>
    <row r="6" spans="1:5" ht="15.75">
      <c r="B6" s="3181"/>
      <c r="C6" s="1392" t="s">
        <v>911</v>
      </c>
      <c r="D6" s="797" t="e">
        <f ca="1">NUMBERSTRING(INT(D5*10000),2)&amp;"元整"</f>
        <v>#REF!</v>
      </c>
    </row>
    <row r="7" spans="1:5" ht="15.75">
      <c r="B7" s="3186"/>
      <c r="C7" s="1393" t="s">
        <v>912</v>
      </c>
      <c r="D7" s="798" t="e">
        <f ca="1">结果表!H102</f>
        <v>#REF!</v>
      </c>
    </row>
    <row r="8" spans="1:5" ht="15.75">
      <c r="B8" s="3187" t="str">
        <f>结果表!E103</f>
        <v>2.估价师知悉的法定优先受偿款</v>
      </c>
      <c r="C8" s="1394" t="s">
        <v>913</v>
      </c>
      <c r="D8" s="798">
        <f>结果表!H103</f>
        <v>0</v>
      </c>
    </row>
    <row r="9" spans="1:5" ht="15.75">
      <c r="B9" s="318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0" t="str">
        <f>结果表!E107</f>
        <v>3.房地产抵押价值</v>
      </c>
      <c r="C13" s="1397" t="s">
        <v>910</v>
      </c>
      <c r="D13" s="800" t="e">
        <f ca="1">结果表!H107</f>
        <v>#REF!</v>
      </c>
    </row>
    <row r="14" spans="1:5" ht="15.75">
      <c r="B14" s="3181"/>
      <c r="C14" s="1392" t="s">
        <v>911</v>
      </c>
      <c r="D14" s="797" t="e">
        <f ca="1">NUMBERSTRING(INT(D13*10000),2)&amp;"元整"</f>
        <v>#REF!</v>
      </c>
    </row>
    <row r="15" spans="1:5" ht="15">
      <c r="B15" s="3186"/>
      <c r="C15" s="1393" t="s">
        <v>921</v>
      </c>
      <c r="D15" s="806" t="e">
        <f ca="1">结果表!H108</f>
        <v>#REF!</v>
      </c>
    </row>
    <row r="16" spans="1:5" ht="15">
      <c r="B16" s="3187" t="str">
        <f>结果表!E109</f>
        <v>——</v>
      </c>
      <c r="C16" s="1397" t="s">
        <v>922</v>
      </c>
      <c r="D16" s="1398" t="str">
        <f>结果表!H109</f>
        <v>——</v>
      </c>
    </row>
    <row r="17" spans="1:5" ht="15.75">
      <c r="B17" s="3188"/>
      <c r="C17" s="1392" t="s">
        <v>923</v>
      </c>
      <c r="D17" s="797" t="e">
        <f>NUMBERSTRING(INT(D16*10000),2)&amp;"元整"</f>
        <v>#VALUE!</v>
      </c>
    </row>
    <row r="18" spans="1:5" ht="15">
      <c r="B18" s="3189"/>
      <c r="C18" s="1393" t="s">
        <v>912</v>
      </c>
      <c r="D18" s="806" t="str">
        <f>结果表!H110</f>
        <v>——</v>
      </c>
    </row>
    <row r="19" spans="1:5" ht="15.75">
      <c r="B19" s="3180" t="str">
        <f>结果表!E111</f>
        <v>——</v>
      </c>
      <c r="C19" s="1397" t="s">
        <v>910</v>
      </c>
      <c r="D19" s="798" t="str">
        <f>结果表!H111</f>
        <v>——</v>
      </c>
    </row>
    <row r="20" spans="1:5" ht="15.75">
      <c r="B20" s="3181"/>
      <c r="C20" s="1392" t="s">
        <v>923</v>
      </c>
      <c r="D20" s="797" t="e">
        <f>NUMBERSTRING(INT(D19*10000),2)&amp;"元整"</f>
        <v>#VALUE!</v>
      </c>
    </row>
    <row r="21" spans="1:5" ht="15.75" thickBot="1">
      <c r="B21" s="318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89.54</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89.54</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89.54</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61" t="s">
        <v>94</v>
      </c>
    </row>
    <row r="43" spans="1:7" ht="13.5" customHeight="1">
      <c r="A43" s="734" t="s">
        <v>347</v>
      </c>
      <c r="B43" s="207" t="s">
        <v>426</v>
      </c>
      <c r="C43" s="230" t="e">
        <f ca="1">ROUND(IF('数据-取费表'!B22&lt;=1,C39*F22*'数据-取费表'!B21/2,C39*(POWER((1+F22),'数据-取费表'!B21/2)-1)),0)</f>
        <v>#VALUE!</v>
      </c>
      <c r="D43" s="230"/>
      <c r="E43" s="230"/>
      <c r="F43" s="231"/>
      <c r="G43" s="3362"/>
    </row>
    <row r="44" spans="1:7" ht="13.5" customHeight="1">
      <c r="A44" s="734" t="s">
        <v>348</v>
      </c>
      <c r="B44" s="207" t="s">
        <v>428</v>
      </c>
      <c r="C44" s="230" t="e">
        <f ca="1">ROUND(IF('数据-取费表'!B22&lt;=1,C40*F22*'数据-取费表'!B21/2,C40*(POWER((1+F22),'数据-取费表'!B21/2)-1)),4)</f>
        <v>#VALUE!</v>
      </c>
      <c r="D44" s="230"/>
      <c r="E44" s="230"/>
      <c r="F44" s="231"/>
      <c r="G44" s="3363"/>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00" t="s">
        <v>2839</v>
      </c>
      <c r="B1" s="3500"/>
      <c r="C1" s="3500"/>
      <c r="D1" s="3500"/>
      <c r="E1" s="3500"/>
      <c r="F1" s="3500"/>
      <c r="G1" s="3501"/>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8"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499"/>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2" t="s">
        <v>3181</v>
      </c>
      <c r="B1" s="3502"/>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03" t="s">
        <v>3232</v>
      </c>
      <c r="B1" s="3503"/>
      <c r="C1" s="3503"/>
      <c r="D1" s="3503"/>
      <c r="E1" s="3503"/>
      <c r="F1" s="3504"/>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6">
        <f>基准地价修正!G23</f>
        <v>45601</v>
      </c>
      <c r="B1" s="2928" t="s">
        <v>3382</v>
      </c>
      <c r="C1" s="2929"/>
      <c r="D1" s="2929"/>
      <c r="E1" s="2929"/>
      <c r="F1" s="2929"/>
      <c r="G1" s="2929"/>
      <c r="H1" s="2929"/>
      <c r="I1" s="2929"/>
      <c r="J1" s="2895"/>
      <c r="K1" s="2929" t="s">
        <v>454</v>
      </c>
      <c r="L1" s="2929"/>
      <c r="M1" s="2929"/>
      <c r="N1" s="2929"/>
      <c r="O1" s="2929"/>
      <c r="P1" s="2929"/>
      <c r="Q1" s="2895"/>
      <c r="R1" s="3505" t="s">
        <v>456</v>
      </c>
      <c r="S1" s="3506"/>
      <c r="T1" s="3506"/>
      <c r="U1" s="3506"/>
      <c r="V1" s="3506"/>
      <c r="W1" s="3506"/>
      <c r="X1" s="2895"/>
      <c r="Y1" s="3505" t="s">
        <v>457</v>
      </c>
      <c r="Z1" s="3506"/>
      <c r="AA1" s="3506"/>
      <c r="AB1" s="3506"/>
      <c r="AC1" s="3506"/>
      <c r="AD1" s="3506"/>
    </row>
    <row r="2" spans="1:30"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2.75">
      <c r="A3" s="2883" t="s">
        <v>2819</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3378</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3387</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2.75">
      <c r="A7" s="2040" t="s">
        <v>3386</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3379</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3385</v>
      </c>
    </row>
    <row r="24" spans="1:30">
      <c r="I24" s="1405" t="s">
        <v>2825</v>
      </c>
    </row>
    <row r="26" spans="1:30" s="2009" customFormat="1" ht="12.75">
      <c r="B26" s="2928" t="s">
        <v>3383</v>
      </c>
      <c r="C26" s="2929"/>
      <c r="D26" s="2929"/>
      <c r="E26" s="2929"/>
      <c r="F26" s="2929"/>
      <c r="G26" s="2929"/>
      <c r="H26" s="2929"/>
      <c r="I26" s="2929"/>
      <c r="J26" s="2895"/>
      <c r="K26" s="2929" t="s">
        <v>2826</v>
      </c>
      <c r="L26" s="2929"/>
      <c r="M26" s="2929"/>
      <c r="N26" s="2929"/>
      <c r="O26" s="2929"/>
      <c r="P26" s="2929"/>
      <c r="Q26" s="2895"/>
      <c r="R26" s="3505" t="s">
        <v>2827</v>
      </c>
      <c r="S26" s="3506"/>
      <c r="T26" s="3506"/>
      <c r="U26" s="3506"/>
      <c r="V26" s="3506"/>
      <c r="W26" s="3506"/>
      <c r="X26" s="2895"/>
      <c r="Y26" s="3505" t="s">
        <v>2828</v>
      </c>
      <c r="Z26" s="3506"/>
      <c r="AA26" s="3506"/>
      <c r="AB26" s="3506"/>
      <c r="AC26" s="3506"/>
      <c r="AD26" s="3506"/>
    </row>
    <row r="27" spans="1:30" s="2010" customFormat="1" ht="14.2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2.75">
      <c r="A28" s="2883" t="s">
        <v>2834</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3378</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3380</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2.75">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3381</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45601</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3"/>
      <c r="B3" s="3193"/>
      <c r="C3" s="3193"/>
      <c r="D3" s="801" t="s">
        <v>925</v>
      </c>
      <c r="E3" s="801" t="s">
        <v>931</v>
      </c>
      <c r="F3" s="801" t="s">
        <v>925</v>
      </c>
      <c r="G3" s="801" t="s">
        <v>926</v>
      </c>
      <c r="H3" s="801" t="s">
        <v>925</v>
      </c>
      <c r="I3" s="801" t="s">
        <v>926</v>
      </c>
    </row>
    <row r="4" spans="1:9" ht="30">
      <c r="A4" s="1403" t="str">
        <f>项目基本情况!S2</f>
        <v>北京市昌平区沙河镇扶京门路14号房地产</v>
      </c>
      <c r="B4" s="801">
        <f>项目基本情况!C17</f>
        <v>89.54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3" t="s">
        <v>927</v>
      </c>
      <c r="B5" s="3193"/>
      <c r="C5" s="3193"/>
      <c r="D5" s="3193" t="e">
        <f ca="1">结果表!D119</f>
        <v>#REF!</v>
      </c>
      <c r="E5" s="3193"/>
      <c r="F5" s="3193" t="e">
        <f ca="1">结果表!F119</f>
        <v>#REF!</v>
      </c>
      <c r="G5" s="3193"/>
      <c r="H5" s="3193" t="e">
        <f ca="1">结果表!H119</f>
        <v>#REF!</v>
      </c>
      <c r="I5" s="3193"/>
    </row>
    <row r="6" spans="1:9" ht="15.75">
      <c r="A6" s="3192" t="str">
        <f>结果表!A120</f>
        <v>估价师知悉的法定优先受偿款</v>
      </c>
      <c r="B6" s="3192"/>
      <c r="C6" s="3192"/>
      <c r="D6" s="3192">
        <f>结果表!D120</f>
        <v>0</v>
      </c>
      <c r="E6" s="3192"/>
      <c r="F6" s="3192"/>
      <c r="G6" s="3192"/>
      <c r="H6" s="3192"/>
      <c r="I6" s="3192"/>
    </row>
    <row r="7" spans="1:9" ht="15">
      <c r="A7" s="3193" t="s">
        <v>927</v>
      </c>
      <c r="B7" s="3193"/>
      <c r="C7" s="3193"/>
      <c r="D7" s="3194" t="str">
        <f>结果表!D121</f>
        <v>零元整</v>
      </c>
      <c r="E7" s="3195"/>
      <c r="F7" s="3195"/>
      <c r="G7" s="3195"/>
      <c r="H7" s="3195"/>
      <c r="I7" s="3196"/>
    </row>
    <row r="8" spans="1:9" ht="15.75">
      <c r="A8" s="3192" t="str">
        <f>结果表!A122</f>
        <v>房地产抵押价值</v>
      </c>
      <c r="B8" s="3192"/>
      <c r="C8" s="3192"/>
      <c r="D8" s="3192" t="e">
        <f ca="1">结果表!D122</f>
        <v>#REF!</v>
      </c>
      <c r="E8" s="3192"/>
      <c r="F8" s="3192"/>
      <c r="G8" s="3192"/>
      <c r="H8" s="3192"/>
      <c r="I8" s="3192"/>
    </row>
    <row r="9" spans="1:9" ht="15">
      <c r="A9" s="3193" t="s">
        <v>927</v>
      </c>
      <c r="B9" s="3193"/>
      <c r="C9" s="3193"/>
      <c r="D9" s="3193" t="e">
        <f ca="1">结果表!D123</f>
        <v>#REF!</v>
      </c>
      <c r="E9" s="3193"/>
      <c r="F9" s="3193"/>
      <c r="G9" s="3193"/>
      <c r="H9" s="3193"/>
      <c r="I9" s="3193"/>
    </row>
    <row r="10" spans="1:9" ht="15.75">
      <c r="A10" s="3192" t="str">
        <f>结果表!A124</f>
        <v/>
      </c>
      <c r="B10" s="3192"/>
      <c r="C10" s="3192"/>
      <c r="D10" s="3192" t="str">
        <f>结果表!D124</f>
        <v>——</v>
      </c>
      <c r="E10" s="3192"/>
      <c r="F10" s="3192"/>
      <c r="G10" s="3192"/>
      <c r="H10" s="3192"/>
      <c r="I10" s="3192"/>
    </row>
    <row r="11" spans="1:9" ht="15">
      <c r="A11" s="3193" t="s">
        <v>927</v>
      </c>
      <c r="B11" s="3193"/>
      <c r="C11" s="3193"/>
      <c r="D11" s="3193" t="e">
        <f>结果表!D125</f>
        <v>#VALUE!</v>
      </c>
      <c r="E11" s="3193"/>
      <c r="F11" s="3193"/>
      <c r="G11" s="3193"/>
      <c r="H11" s="3193"/>
      <c r="I11" s="3193"/>
    </row>
    <row r="12" spans="1:9" ht="15.75">
      <c r="A12" s="3192" t="str">
        <f>结果表!A126</f>
        <v/>
      </c>
      <c r="B12" s="3192"/>
      <c r="C12" s="3192"/>
      <c r="D12" s="3192" t="str">
        <f>结果表!D126</f>
        <v>——</v>
      </c>
      <c r="E12" s="3192"/>
      <c r="F12" s="3192"/>
      <c r="G12" s="3192"/>
      <c r="H12" s="3192"/>
      <c r="I12" s="3192"/>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5" t="s">
        <v>949</v>
      </c>
      <c r="B1" s="3205"/>
      <c r="C1" s="3205"/>
      <c r="D1" s="3205"/>
    </row>
    <row r="2" spans="1:4" ht="18">
      <c r="A2" s="3206" t="s">
        <v>933</v>
      </c>
      <c r="B2" s="3206"/>
      <c r="C2" s="3206"/>
      <c r="D2" s="320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6" t="s">
        <v>939</v>
      </c>
      <c r="B6" s="3206"/>
      <c r="C6" s="3206"/>
      <c r="D6" s="320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7" t="s">
        <v>942</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4"/>
      <c r="C12" s="3204"/>
      <c r="D12" s="3204"/>
    </row>
    <row r="13" spans="1:4" ht="30" customHeight="1">
      <c r="A13" s="3199" t="str">
        <f>IF(项目基本情况!B8="抵押","3.抵押双方在办理抵押登记手续时，应使用本公司出具的正式《房地产评估报告》，特提醒报告使用者注意。","——")</f>
        <v>——</v>
      </c>
      <c r="B13" s="3204"/>
      <c r="C13" s="3204"/>
      <c r="D13" s="3204"/>
    </row>
    <row r="14" spans="1:4" ht="15.75" customHeight="1">
      <c r="A14" s="3199" t="str">
        <f>IF(项目基本情况!B8="抵押","4.本次评估估价师所知悉的法定优先受偿款情况说明如下：","——")</f>
        <v>——</v>
      </c>
      <c r="B14" s="3204"/>
      <c r="C14" s="3204"/>
      <c r="D14" s="3204"/>
    </row>
    <row r="15" spans="1:4" ht="42" customHeight="1">
      <c r="A15" s="3199" t="str">
        <f>IF(项目基本情况!B8="抵押","（1）"&amp;CONCATENATE(项目基本情况!L20,项目基本情况!L21,项目基本情况!L22),"——")</f>
        <v>——</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3" t="s">
        <v>956</v>
      </c>
      <c r="B15" s="3208" t="s">
        <v>109</v>
      </c>
      <c r="C15" s="3209"/>
    </row>
    <row r="16" spans="1:7" ht="13.5">
      <c r="A16" s="3214"/>
      <c r="B16" s="3208" t="s">
        <v>42</v>
      </c>
      <c r="C16" s="3209"/>
    </row>
    <row r="17" spans="1:3" ht="13.5">
      <c r="A17" s="3214"/>
      <c r="B17" s="3211" t="s">
        <v>957</v>
      </c>
      <c r="C17" s="1429" t="s">
        <v>956</v>
      </c>
    </row>
    <row r="18" spans="1:3" ht="13.5">
      <c r="A18" s="3214"/>
      <c r="B18" s="3211"/>
      <c r="C18" s="1429" t="s">
        <v>958</v>
      </c>
    </row>
    <row r="19" spans="1:3" ht="13.5">
      <c r="A19" s="3214"/>
      <c r="B19" s="3211"/>
      <c r="C19" s="1429" t="s">
        <v>959</v>
      </c>
    </row>
    <row r="20" spans="1:3" ht="13.5">
      <c r="A20" s="3215"/>
      <c r="B20" s="3210" t="s">
        <v>960</v>
      </c>
      <c r="C20" s="3209"/>
    </row>
    <row r="21" spans="1:3" ht="13.5">
      <c r="A21" s="1430" t="s">
        <v>961</v>
      </c>
      <c r="B21" s="1431"/>
      <c r="C21" s="1432"/>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9" t="s">
        <v>967</v>
      </c>
    </row>
    <row r="26" spans="1:3" ht="13.5">
      <c r="A26" s="3212"/>
      <c r="B26" s="3211"/>
      <c r="C26" s="1429" t="s">
        <v>968</v>
      </c>
    </row>
    <row r="27" spans="1:3" ht="13.5">
      <c r="A27" s="3212"/>
      <c r="B27" s="3211"/>
      <c r="C27" s="1429" t="s">
        <v>969</v>
      </c>
    </row>
    <row r="28" spans="1:3" ht="13.5">
      <c r="A28" s="3212"/>
      <c r="B28" s="3211"/>
      <c r="C28" s="1429" t="s">
        <v>970</v>
      </c>
    </row>
    <row r="29" spans="1:3" ht="13.5">
      <c r="A29" s="3212"/>
      <c r="B29" s="3211"/>
      <c r="C29" s="1429" t="s">
        <v>971</v>
      </c>
    </row>
    <row r="30" spans="1:3" ht="13.5">
      <c r="A30" s="3212"/>
      <c r="B30" s="3211"/>
      <c r="C30" s="1429" t="s">
        <v>972</v>
      </c>
    </row>
    <row r="31" spans="1:3" ht="13.5">
      <c r="A31" s="3212"/>
      <c r="B31" s="3211"/>
      <c r="C31" s="1429" t="s">
        <v>973</v>
      </c>
    </row>
    <row r="32" spans="1:3" ht="13.5">
      <c r="A32" s="3212"/>
      <c r="B32" s="3211"/>
      <c r="C32" s="1429" t="s">
        <v>974</v>
      </c>
    </row>
    <row r="33" spans="1:3" ht="13.5">
      <c r="A33" s="3212"/>
      <c r="B33" s="321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45610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60"/>
      <c r="E18" s="3218" t="s">
        <v>2162</v>
      </c>
      <c r="F18" s="3217"/>
      <c r="G18" s="32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比较法-办公扶京门路</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'比较法-办公扶京门路'!Print_Area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2024-11-14T05:27:47Z</dcterms:modified>
</cp:coreProperties>
</file>