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esktop\2023-1-0806北京市丰台区大红门一期A区棚户区改造项目被搬迁房屋价值（非住宅）\F01CQGJ3\最终\"/>
    </mc:Choice>
  </mc:AlternateContent>
  <bookViews>
    <workbookView xWindow="105" yWindow="1080" windowWidth="11310" windowHeight="10380" tabRatio="899" firstSheet="11"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state="hidden" r:id="rId17"/>
    <sheet name="结果表" sheetId="9" state="hidden"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成本法!$A$1:$G$65</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57" i="80" l="1"/>
  <c r="C1" i="80"/>
  <c r="F60" i="68" l="1"/>
  <c r="F59" i="68"/>
  <c r="E60" i="68"/>
  <c r="E59" i="68"/>
  <c r="B21" i="1" l="1"/>
  <c r="L7" i="1"/>
  <c r="F20" i="6" l="1"/>
  <c r="F19" i="6"/>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N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U10" i="79"/>
  <c r="R11" i="79"/>
  <c r="V11" i="79"/>
  <c r="S12" i="79"/>
  <c r="S13" i="79"/>
  <c r="U23" i="79"/>
  <c r="AD30" i="79"/>
  <c r="S31" i="79"/>
  <c r="T32" i="79"/>
  <c r="W32" i="79" s="1"/>
  <c r="U33" i="79"/>
  <c r="AD34" i="79"/>
  <c r="N3" i="79"/>
  <c r="AA3" i="79"/>
  <c r="AD3" i="79" s="1"/>
  <c r="S10" i="79"/>
  <c r="U12" i="79"/>
  <c r="U13" i="79"/>
  <c r="U31" i="79"/>
  <c r="AD32" i="79"/>
  <c r="S33"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AA13" i="71" s="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F87" i="71" s="1"/>
  <c r="F86" i="71" s="1"/>
  <c r="E88" i="71"/>
  <c r="E87" i="71"/>
  <c r="E86" i="71" s="1"/>
  <c r="C88" i="71"/>
  <c r="D88" i="71"/>
  <c r="B88" i="71"/>
  <c r="B87" i="71" s="1"/>
  <c r="B86" i="71" s="1"/>
  <c r="D85" i="71"/>
  <c r="F84" i="71"/>
  <c r="F83" i="71" s="1"/>
  <c r="F82" i="71" s="1"/>
  <c r="E84" i="71"/>
  <c r="E83" i="71"/>
  <c r="E82" i="71" s="1"/>
  <c r="C84" i="71"/>
  <c r="D84" i="71"/>
  <c r="B84" i="71"/>
  <c r="B83" i="71" s="1"/>
  <c r="B82" i="71" s="1"/>
  <c r="D81" i="71"/>
  <c r="Q80" i="71"/>
  <c r="P80" i="71"/>
  <c r="O80" i="71"/>
  <c r="N80" i="71"/>
  <c r="F80" i="71"/>
  <c r="V80" i="71"/>
  <c r="E80" i="71"/>
  <c r="U80" i="71" s="1"/>
  <c r="C80" i="71"/>
  <c r="T80" i="71"/>
  <c r="B80" i="71"/>
  <c r="Q79" i="71"/>
  <c r="P79" i="71"/>
  <c r="O79" i="71"/>
  <c r="N79" i="71"/>
  <c r="F79" i="71"/>
  <c r="F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Q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O57" i="71"/>
  <c r="C58" i="71" s="1"/>
  <c r="C59" i="71" s="1"/>
  <c r="C60" i="71" s="1"/>
  <c r="D60" i="71" s="1"/>
  <c r="N57" i="71"/>
  <c r="B58" i="71"/>
  <c r="D57" i="71"/>
  <c r="Q56" i="71"/>
  <c r="P56" i="71"/>
  <c r="O56" i="71"/>
  <c r="N56" i="71"/>
  <c r="Q55" i="71"/>
  <c r="P55" i="71"/>
  <c r="O55" i="71"/>
  <c r="N55" i="71"/>
  <c r="Q54" i="71"/>
  <c r="P54" i="71"/>
  <c r="O54" i="71"/>
  <c r="N54" i="71"/>
  <c r="C54" i="71"/>
  <c r="D54" i="71" s="1"/>
  <c r="Q53" i="71"/>
  <c r="F54" i="71" s="1"/>
  <c r="P53" i="71"/>
  <c r="E54" i="71"/>
  <c r="O53" i="71"/>
  <c r="N53" i="71"/>
  <c r="B54" i="71" s="1"/>
  <c r="B55" i="71" s="1"/>
  <c r="B56" i="71" s="1"/>
  <c r="S56" i="71" s="1"/>
  <c r="D53" i="71"/>
  <c r="Q52" i="71"/>
  <c r="P52" i="71"/>
  <c r="O52" i="71"/>
  <c r="N52" i="71"/>
  <c r="Q51" i="71"/>
  <c r="P51" i="71"/>
  <c r="O51" i="71"/>
  <c r="N51" i="71"/>
  <c r="Q50" i="71"/>
  <c r="P50" i="71"/>
  <c r="O50" i="71"/>
  <c r="N50" i="71"/>
  <c r="Q49" i="71"/>
  <c r="F50" i="71"/>
  <c r="P49" i="71"/>
  <c r="E50" i="71" s="1"/>
  <c r="O49" i="71"/>
  <c r="C50" i="7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N42" i="71"/>
  <c r="B43" i="71" s="1"/>
  <c r="B44" i="71" s="1"/>
  <c r="S44" i="71" s="1"/>
  <c r="F44" i="71"/>
  <c r="V44" i="71" s="1"/>
  <c r="Q41" i="71"/>
  <c r="F42" i="71" s="1"/>
  <c r="F43" i="71" s="1"/>
  <c r="P41" i="71"/>
  <c r="E42" i="71"/>
  <c r="E43" i="71" s="1"/>
  <c r="E44" i="71" s="1"/>
  <c r="U44" i="71" s="1"/>
  <c r="O41" i="71"/>
  <c r="C42" i="71"/>
  <c r="N41" i="71"/>
  <c r="B42" i="71"/>
  <c r="D41" i="71"/>
  <c r="Q40" i="71"/>
  <c r="P40" i="71"/>
  <c r="O40" i="71"/>
  <c r="N40" i="71"/>
  <c r="AB39" i="71"/>
  <c r="Q39" i="71"/>
  <c r="P39" i="71"/>
  <c r="AA39" i="71"/>
  <c r="O39" i="71"/>
  <c r="Y39" i="71" s="1"/>
  <c r="Z39" i="71" s="1"/>
  <c r="N39" i="71"/>
  <c r="X39" i="71"/>
  <c r="Q38" i="71"/>
  <c r="AB38" i="71" s="1"/>
  <c r="P38" i="71"/>
  <c r="O38" i="71"/>
  <c r="N38" i="71"/>
  <c r="Q37" i="71"/>
  <c r="AB37" i="71" s="1"/>
  <c r="P37" i="71"/>
  <c r="O37" i="71"/>
  <c r="N37" i="71"/>
  <c r="D37" i="71"/>
  <c r="Q36" i="71"/>
  <c r="AB34" i="71" s="1"/>
  <c r="P36" i="71"/>
  <c r="O36" i="71"/>
  <c r="N36" i="71"/>
  <c r="Q35" i="71"/>
  <c r="AB35" i="71"/>
  <c r="P35" i="71"/>
  <c r="O35" i="71"/>
  <c r="N35" i="71"/>
  <c r="Q34" i="71"/>
  <c r="P34" i="71"/>
  <c r="O34" i="71"/>
  <c r="N34" i="71"/>
  <c r="F36" i="71"/>
  <c r="V36" i="71" s="1"/>
  <c r="Q33" i="71"/>
  <c r="F34" i="71" s="1"/>
  <c r="F35" i="71" s="1"/>
  <c r="P33" i="71"/>
  <c r="O33" i="71"/>
  <c r="N33" i="71"/>
  <c r="X33" i="71" s="1"/>
  <c r="D33" i="71"/>
  <c r="Q32" i="71"/>
  <c r="AB32" i="71"/>
  <c r="P32" i="71"/>
  <c r="O32" i="71"/>
  <c r="N32" i="71"/>
  <c r="X32" i="71" s="1"/>
  <c r="Q31" i="71"/>
  <c r="P31" i="71"/>
  <c r="AA31" i="71" s="1"/>
  <c r="O31" i="71"/>
  <c r="N31" i="71"/>
  <c r="X25" i="71" s="1"/>
  <c r="Q30" i="71"/>
  <c r="AB30" i="71" s="1"/>
  <c r="P30" i="71"/>
  <c r="O30" i="71"/>
  <c r="N30" i="71"/>
  <c r="Q29" i="71"/>
  <c r="P29" i="71"/>
  <c r="E30" i="71" s="1"/>
  <c r="E31" i="71" s="1"/>
  <c r="E32" i="71" s="1"/>
  <c r="U32" i="71" s="1"/>
  <c r="O29" i="71"/>
  <c r="N29" i="71"/>
  <c r="D29" i="71"/>
  <c r="O28" i="71"/>
  <c r="C28" i="71" s="1"/>
  <c r="N28" i="71"/>
  <c r="B30" i="71"/>
  <c r="B31" i="71"/>
  <c r="B32" i="71" s="1"/>
  <c r="S32" i="71" s="1"/>
  <c r="AA29" i="71"/>
  <c r="B34" i="71"/>
  <c r="B35" i="71" s="1"/>
  <c r="B36" i="71" s="1"/>
  <c r="S36" i="71" s="1"/>
  <c r="B38" i="71"/>
  <c r="B39" i="71"/>
  <c r="B40" i="71"/>
  <c r="S40" i="71" s="1"/>
  <c r="X37" i="71"/>
  <c r="N68" i="71"/>
  <c r="E34" i="71"/>
  <c r="E35" i="71" s="1"/>
  <c r="E36" i="71" s="1"/>
  <c r="U36" i="71" s="1"/>
  <c r="C30" i="71"/>
  <c r="C34" i="71"/>
  <c r="X34" i="71"/>
  <c r="X35" i="71"/>
  <c r="AA35" i="71"/>
  <c r="X36" i="71"/>
  <c r="C38" i="71"/>
  <c r="X38" i="71"/>
  <c r="AA38" i="71"/>
  <c r="F51" i="71"/>
  <c r="F52" i="71" s="1"/>
  <c r="V52" i="71" s="1"/>
  <c r="Y25" i="71"/>
  <c r="Z25" i="71" s="1"/>
  <c r="B28" i="71"/>
  <c r="B27" i="71" s="1"/>
  <c r="B26" i="71" s="1"/>
  <c r="C31" i="71"/>
  <c r="D30" i="71"/>
  <c r="C47" i="71"/>
  <c r="D47" i="71" s="1"/>
  <c r="D46" i="71"/>
  <c r="C51" i="71"/>
  <c r="D51" i="71" s="1"/>
  <c r="D50" i="71"/>
  <c r="P28" i="71"/>
  <c r="AA14" i="71" s="1"/>
  <c r="E55" i="71"/>
  <c r="E56" i="71" s="1"/>
  <c r="U56" i="71" s="1"/>
  <c r="E59" i="71"/>
  <c r="E60" i="71"/>
  <c r="U60" i="71" s="1"/>
  <c r="E63" i="71"/>
  <c r="E64" i="71" s="1"/>
  <c r="U64" i="71"/>
  <c r="Q65" i="71"/>
  <c r="U68" i="71"/>
  <c r="E67" i="71"/>
  <c r="Q28" i="71"/>
  <c r="C55" i="71"/>
  <c r="D55" i="71" s="1"/>
  <c r="D58" i="71"/>
  <c r="B66" i="71"/>
  <c r="N66" i="71" s="1"/>
  <c r="Q67" i="71"/>
  <c r="T68" i="71"/>
  <c r="O68" i="71"/>
  <c r="D68" i="71"/>
  <c r="C67" i="71"/>
  <c r="O67" i="71" s="1"/>
  <c r="Q68" i="71"/>
  <c r="E71" i="71"/>
  <c r="E70" i="71" s="1"/>
  <c r="E75" i="71"/>
  <c r="E74" i="71" s="1"/>
  <c r="C79" i="71"/>
  <c r="E79" i="71"/>
  <c r="E78" i="71" s="1"/>
  <c r="D80" i="71"/>
  <c r="C83" i="71"/>
  <c r="C87" i="71"/>
  <c r="S28" i="71"/>
  <c r="E28" i="71"/>
  <c r="E27" i="71"/>
  <c r="E26" i="71" s="1"/>
  <c r="AA26" i="71"/>
  <c r="C66" i="71"/>
  <c r="D66" i="71" s="1"/>
  <c r="D83" i="71"/>
  <c r="C82" i="71"/>
  <c r="D82" i="71"/>
  <c r="D79" i="71"/>
  <c r="C78" i="71"/>
  <c r="D78" i="71" s="1"/>
  <c r="D59" i="71"/>
  <c r="C56" i="71"/>
  <c r="T56" i="71" s="1"/>
  <c r="P67" i="71"/>
  <c r="E66" i="71"/>
  <c r="P65" i="71" s="1"/>
  <c r="C52" i="71"/>
  <c r="C32" i="71"/>
  <c r="D31" i="71"/>
  <c r="V28" i="71"/>
  <c r="P66" i="71"/>
  <c r="O66" i="71"/>
  <c r="T32" i="71"/>
  <c r="D32" i="71"/>
  <c r="T52" i="71"/>
  <c r="D52" i="71"/>
  <c r="T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c r="F18" i="35"/>
  <c r="S18" i="35" s="1"/>
  <c r="AA18" i="35"/>
  <c r="C18" i="35"/>
  <c r="Q21" i="37"/>
  <c r="Z21" i="37" s="1"/>
  <c r="D77" i="37"/>
  <c r="E77" i="37" s="1"/>
  <c r="C21" i="37"/>
  <c r="Q21" i="34"/>
  <c r="Z21" i="34" s="1"/>
  <c r="D84" i="34"/>
  <c r="E84" i="34"/>
  <c r="F21" i="34"/>
  <c r="S21" i="34" s="1"/>
  <c r="AA21" i="34"/>
  <c r="C21" i="34"/>
  <c r="Q21" i="33"/>
  <c r="Z21" i="33" s="1"/>
  <c r="D83" i="33"/>
  <c r="E83" i="33" s="1"/>
  <c r="F83" i="33" s="1"/>
  <c r="G83" i="33" s="1"/>
  <c r="C21" i="33"/>
  <c r="C21" i="21"/>
  <c r="Q21" i="21"/>
  <c r="Z21" i="21" s="1"/>
  <c r="H19" i="21"/>
  <c r="D83" i="21"/>
  <c r="F21" i="21"/>
  <c r="D81" i="21"/>
  <c r="G20" i="20"/>
  <c r="C25" i="40" s="1"/>
  <c r="B88" i="43"/>
  <c r="C22" i="20"/>
  <c r="B100" i="43" s="1"/>
  <c r="B77" i="43"/>
  <c r="B57" i="43"/>
  <c r="B68" i="43"/>
  <c r="C29" i="39"/>
  <c r="H25" i="40"/>
  <c r="J25" i="40"/>
  <c r="H29" i="39"/>
  <c r="AB29" i="39" s="1"/>
  <c r="J29" i="39"/>
  <c r="AC29" i="39" s="1"/>
  <c r="J18" i="36"/>
  <c r="AC18" i="36" s="1"/>
  <c r="F68" i="35"/>
  <c r="H18" i="35"/>
  <c r="G68" i="35"/>
  <c r="J18" i="35"/>
  <c r="F77" i="37"/>
  <c r="G77" i="37" s="1"/>
  <c r="H21" i="37"/>
  <c r="F21" i="37"/>
  <c r="AA21" i="37" s="1"/>
  <c r="F84" i="34"/>
  <c r="H21" i="34"/>
  <c r="H21" i="33"/>
  <c r="U21" i="33" s="1"/>
  <c r="F21" i="33"/>
  <c r="E83" i="21"/>
  <c r="F83" i="21" s="1"/>
  <c r="G83" i="21" s="1"/>
  <c r="H1" i="69"/>
  <c r="AC25" i="40"/>
  <c r="W25" i="40"/>
  <c r="U29" i="39"/>
  <c r="W29" i="39"/>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AB21" i="21"/>
  <c r="J21" i="21"/>
  <c r="AC21" i="21" s="1"/>
  <c r="F38" i="68"/>
  <c r="E37" i="68"/>
  <c r="F36" i="68"/>
  <c r="F35" i="68"/>
  <c r="F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A73" i="3" s="1"/>
  <c r="AZ73" i="3" s="1"/>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N55" i="3"/>
  <c r="BL55" i="3" s="1"/>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G54" i="3" s="1"/>
  <c r="H54" i="3"/>
  <c r="BT53" i="3"/>
  <c r="BS53" i="3"/>
  <c r="BR53" i="3"/>
  <c r="BQ53" i="3"/>
  <c r="BP53" i="3"/>
  <c r="BO53" i="3"/>
  <c r="BL53" i="3" s="1"/>
  <c r="BN53" i="3"/>
  <c r="BM53" i="3"/>
  <c r="BK53" i="3"/>
  <c r="BJ53" i="3"/>
  <c r="BI53" i="3"/>
  <c r="BH53" i="3"/>
  <c r="BG53" i="3"/>
  <c r="BF53" i="3"/>
  <c r="BE53" i="3"/>
  <c r="BD53" i="3"/>
  <c r="BC53" i="3"/>
  <c r="BA53" i="3" s="1"/>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G49" i="3" s="1"/>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N43" i="3"/>
  <c r="BM43" i="3"/>
  <c r="BL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G42" i="3" s="1"/>
  <c r="H42" i="3"/>
  <c r="BT41" i="3"/>
  <c r="BS41" i="3"/>
  <c r="BR41" i="3"/>
  <c r="BQ41" i="3"/>
  <c r="BP41" i="3"/>
  <c r="BO41" i="3"/>
  <c r="BL41" i="3" s="1"/>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L38" i="3" s="1"/>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L36" i="3" s="1"/>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L32" i="3" s="1"/>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L25" i="3" s="1"/>
  <c r="BN25" i="3"/>
  <c r="BM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G18" i="3" s="1"/>
  <c r="BT207" i="3"/>
  <c r="BS207" i="3"/>
  <c r="BR207" i="3"/>
  <c r="BQ207" i="3"/>
  <c r="BP207" i="3"/>
  <c r="BO207" i="3"/>
  <c r="BL207" i="3" s="1"/>
  <c r="BN207" i="3"/>
  <c r="BM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BC129" i="3"/>
  <c r="BB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BT125" i="3"/>
  <c r="BS125" i="3"/>
  <c r="BR125" i="3"/>
  <c r="BQ125" i="3"/>
  <c r="BP125" i="3"/>
  <c r="BO125" i="3"/>
  <c r="BL125" i="3" s="1"/>
  <c r="BN125" i="3"/>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BC294" i="3"/>
  <c r="BB294" i="3"/>
  <c r="AZ294" i="3"/>
  <c r="AX294" i="3"/>
  <c r="AW294" i="3"/>
  <c r="AV294" i="3"/>
  <c r="AC294" i="3"/>
  <c r="H294" i="3"/>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L252" i="3" s="1"/>
  <c r="BN252" i="3"/>
  <c r="BM252" i="3"/>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A487" i="3" s="1"/>
  <c r="AZ487" i="3" s="1"/>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BC484" i="3"/>
  <c r="BB484" i="3"/>
  <c r="AZ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A469" i="3" s="1"/>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L453" i="3" s="1"/>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J38" i="40"/>
  <c r="AC38" i="40" s="1"/>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s="1"/>
  <c r="Q27" i="37"/>
  <c r="Z27" i="37" s="1"/>
  <c r="Q26" i="37"/>
  <c r="Z26" i="37" s="1"/>
  <c r="J26" i="37"/>
  <c r="AC26" i="37" s="1"/>
  <c r="H26" i="37"/>
  <c r="AB26" i="37"/>
  <c r="F26" i="37"/>
  <c r="AA26" i="37" s="1"/>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c r="H81" i="36" s="1"/>
  <c r="I81" i="36" s="1"/>
  <c r="J81" i="36" s="1"/>
  <c r="K81" i="36" s="1"/>
  <c r="L81" i="36" s="1"/>
  <c r="M81" i="36" s="1"/>
  <c r="F79" i="36"/>
  <c r="E79" i="36"/>
  <c r="D79" i="36"/>
  <c r="C79" i="36"/>
  <c r="B93" i="36"/>
  <c r="H33" i="36" s="1"/>
  <c r="B91" i="36"/>
  <c r="F32" i="36" s="1"/>
  <c r="B95" i="36"/>
  <c r="H34" i="36" s="1"/>
  <c r="D83" i="36"/>
  <c r="E83" i="36" s="1"/>
  <c r="F83" i="36"/>
  <c r="G83" i="36"/>
  <c r="H83" i="36" s="1"/>
  <c r="I83" i="36" s="1"/>
  <c r="J83" i="36" s="1"/>
  <c r="K83" i="36" s="1"/>
  <c r="L83" i="36" s="1"/>
  <c r="M83" i="36" s="1"/>
  <c r="D78" i="36"/>
  <c r="E78" i="36" s="1"/>
  <c r="F78" i="36" s="1"/>
  <c r="G78" i="36" s="1"/>
  <c r="H78" i="36" s="1"/>
  <c r="I78" i="36" s="1"/>
  <c r="J78" i="36" s="1"/>
  <c r="K78" i="36" s="1"/>
  <c r="L78" i="36" s="1"/>
  <c r="M78" i="36" s="1"/>
  <c r="B75" i="36"/>
  <c r="B73" i="36"/>
  <c r="J24" i="36"/>
  <c r="AC24" i="36"/>
  <c r="B71" i="36"/>
  <c r="H23" i="36" s="1"/>
  <c r="D70" i="36"/>
  <c r="H22" i="36"/>
  <c r="AB22" i="36"/>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H23" i="35"/>
  <c r="U23" i="35" s="1"/>
  <c r="B57" i="35"/>
  <c r="B61" i="35"/>
  <c r="B59" i="35"/>
  <c r="B131" i="34"/>
  <c r="B129" i="34"/>
  <c r="B127" i="34"/>
  <c r="B99" i="34"/>
  <c r="B97" i="34"/>
  <c r="B95" i="34"/>
  <c r="B93" i="34"/>
  <c r="B75" i="34"/>
  <c r="B73" i="34"/>
  <c r="B71" i="34"/>
  <c r="H12" i="34" s="1"/>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s="1"/>
  <c r="P39" i="35"/>
  <c r="P38" i="35"/>
  <c r="V37" i="35"/>
  <c r="T37" i="35"/>
  <c r="R37" i="35"/>
  <c r="P37" i="35"/>
  <c r="Q36" i="35"/>
  <c r="Z36" i="35" s="1"/>
  <c r="J36" i="35"/>
  <c r="AC36" i="35"/>
  <c r="Q35" i="35"/>
  <c r="Z35" i="35" s="1"/>
  <c r="Q34" i="35"/>
  <c r="Z34" i="35"/>
  <c r="J34" i="35"/>
  <c r="AC34" i="35" s="1"/>
  <c r="H34" i="35"/>
  <c r="AB34" i="35"/>
  <c r="F34" i="35"/>
  <c r="AA34" i="35" s="1"/>
  <c r="Q33" i="35"/>
  <c r="Z33" i="35"/>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J12" i="34"/>
  <c r="W12" i="34" s="1"/>
  <c r="Q11" i="34"/>
  <c r="Z11" i="34" s="1"/>
  <c r="Q10" i="34"/>
  <c r="Z10" i="34" s="1"/>
  <c r="F10" i="34"/>
  <c r="AA10" i="34" s="1"/>
  <c r="Q9" i="34"/>
  <c r="Z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c r="B96" i="21"/>
  <c r="B94" i="21"/>
  <c r="J29" i="21"/>
  <c r="AC29" i="21"/>
  <c r="B92" i="21"/>
  <c r="B90" i="21"/>
  <c r="J27" i="21"/>
  <c r="W27" i="21"/>
  <c r="B74" i="21"/>
  <c r="B72" i="21"/>
  <c r="H13" i="21"/>
  <c r="B70" i="21"/>
  <c r="F12" i="21" s="1"/>
  <c r="S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c r="J12" i="21"/>
  <c r="AC12" i="21" s="1"/>
  <c r="J26" i="21"/>
  <c r="W26" i="21"/>
  <c r="F26" i="21"/>
  <c r="S26" i="21" s="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c r="AC27" i="35"/>
  <c r="W28" i="35"/>
  <c r="U31" i="35"/>
  <c r="S34" i="35"/>
  <c r="W34" i="35"/>
  <c r="W36" i="35"/>
  <c r="W22" i="35"/>
  <c r="S31" i="35"/>
  <c r="U34" i="35"/>
  <c r="F36" i="34"/>
  <c r="J35" i="34"/>
  <c r="U34" i="34"/>
  <c r="H39" i="33"/>
  <c r="AB39" i="33" s="1"/>
  <c r="F26" i="33"/>
  <c r="AA26" i="33"/>
  <c r="U33" i="33"/>
  <c r="U35" i="33"/>
  <c r="S40" i="33"/>
  <c r="W33" i="33"/>
  <c r="W39" i="33"/>
  <c r="H39" i="37"/>
  <c r="AB39" i="37"/>
  <c r="S27" i="35"/>
  <c r="F11" i="40"/>
  <c r="AA11" i="40" s="1"/>
  <c r="H11" i="40"/>
  <c r="AB11" i="40"/>
  <c r="W8" i="40"/>
  <c r="AC40" i="40"/>
  <c r="AA9" i="40"/>
  <c r="AC9" i="40"/>
  <c r="U9" i="40"/>
  <c r="S34" i="40"/>
  <c r="U38" i="40"/>
  <c r="S40"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B12" i="33"/>
  <c r="AC12" i="34"/>
  <c r="AB12" i="35"/>
  <c r="W32" i="40"/>
  <c r="S44" i="39"/>
  <c r="F37" i="39"/>
  <c r="AA37" i="39" s="1"/>
  <c r="J34" i="36"/>
  <c r="W34" i="36" s="1"/>
  <c r="U30" i="36"/>
  <c r="J30" i="35"/>
  <c r="W30" i="35" s="1"/>
  <c r="H30" i="35"/>
  <c r="AB30" i="35" s="1"/>
  <c r="F22" i="35"/>
  <c r="AA22" i="35"/>
  <c r="H10" i="35"/>
  <c r="U10" i="35" s="1"/>
  <c r="AC16" i="36"/>
  <c r="F33" i="36"/>
  <c r="AA33" i="36"/>
  <c r="W30" i="36"/>
  <c r="H16" i="36"/>
  <c r="AB16" i="36" s="1"/>
  <c r="E85" i="36"/>
  <c r="F85" i="36"/>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c r="H16" i="35"/>
  <c r="U16" i="35" s="1"/>
  <c r="F16" i="35"/>
  <c r="S16" i="35"/>
  <c r="H14" i="35"/>
  <c r="AB14" i="35" s="1"/>
  <c r="J29" i="35"/>
  <c r="H33" i="35"/>
  <c r="AB33" i="35" s="1"/>
  <c r="J20" i="35"/>
  <c r="W20" i="35"/>
  <c r="F35" i="37"/>
  <c r="S35" i="37" s="1"/>
  <c r="E101" i="37"/>
  <c r="F101" i="37"/>
  <c r="G101" i="37"/>
  <c r="H101" i="37" s="1"/>
  <c r="I101" i="37" s="1"/>
  <c r="J101" i="37" s="1"/>
  <c r="K101" i="37" s="1"/>
  <c r="L101" i="37" s="1"/>
  <c r="M101" i="37" s="1"/>
  <c r="J34" i="37"/>
  <c r="W34" i="37"/>
  <c r="AA39" i="37"/>
  <c r="AB34" i="37"/>
  <c r="J33" i="37"/>
  <c r="AC33" i="37" s="1"/>
  <c r="U42" i="34"/>
  <c r="H40" i="34"/>
  <c r="U40" i="34" s="1"/>
  <c r="E114" i="34"/>
  <c r="H36" i="34"/>
  <c r="U36" i="34" s="1"/>
  <c r="F37" i="34"/>
  <c r="AA37" i="34" s="1"/>
  <c r="S35" i="34"/>
  <c r="F28" i="34"/>
  <c r="AA28" i="34" s="1"/>
  <c r="F27" i="34"/>
  <c r="AA27" i="34"/>
  <c r="F25" i="34"/>
  <c r="S25" i="34" s="1"/>
  <c r="H23" i="34"/>
  <c r="U23" i="34" s="1"/>
  <c r="J23" i="34"/>
  <c r="F19" i="34"/>
  <c r="H17" i="34"/>
  <c r="U17" i="34" s="1"/>
  <c r="F15" i="34"/>
  <c r="AA15" i="34" s="1"/>
  <c r="J15" i="34"/>
  <c r="H15" i="34"/>
  <c r="AB15" i="34" s="1"/>
  <c r="W8" i="34"/>
  <c r="J28" i="34"/>
  <c r="W28" i="34" s="1"/>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c r="F15" i="40"/>
  <c r="S15" i="40" s="1"/>
  <c r="H15" i="40"/>
  <c r="AB15" i="40"/>
  <c r="AC11"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c r="F17" i="34"/>
  <c r="AA17" i="34"/>
  <c r="J17" i="34"/>
  <c r="W17" i="34"/>
  <c r="AB17" i="34"/>
  <c r="S15" i="34"/>
  <c r="S41" i="33"/>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U23" i="40"/>
  <c r="I123" i="21"/>
  <c r="J123" i="21" s="1"/>
  <c r="K123" i="21" s="1"/>
  <c r="L123" i="21" s="1"/>
  <c r="M123" i="21" s="1"/>
  <c r="J42" i="21"/>
  <c r="AC42" i="21" s="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H36" i="37"/>
  <c r="AB36" i="37" s="1"/>
  <c r="F107" i="37"/>
  <c r="J37" i="37"/>
  <c r="AC37" i="37"/>
  <c r="H37" i="37"/>
  <c r="U37" i="37" s="1"/>
  <c r="H40" i="37"/>
  <c r="U40" i="37" s="1"/>
  <c r="J40" i="37"/>
  <c r="AC40" i="37" s="1"/>
  <c r="F40" i="37"/>
  <c r="AA40" i="37"/>
  <c r="AC12" i="40"/>
  <c r="W12" i="40"/>
  <c r="H14" i="33"/>
  <c r="U14" i="33"/>
  <c r="F14" i="33"/>
  <c r="S14" i="33" s="1"/>
  <c r="J14" i="33"/>
  <c r="H30" i="33"/>
  <c r="AB30" i="33"/>
  <c r="F30" i="33"/>
  <c r="J30" i="33"/>
  <c r="H44" i="33"/>
  <c r="J44" i="33"/>
  <c r="AC44" i="33" s="1"/>
  <c r="F44" i="33"/>
  <c r="S44" i="33"/>
  <c r="J46" i="33"/>
  <c r="AC46" i="33" s="1"/>
  <c r="F46" i="33"/>
  <c r="AA46" i="33" s="1"/>
  <c r="H46" i="33"/>
  <c r="AB46" i="33" s="1"/>
  <c r="H13" i="34"/>
  <c r="U13" i="34"/>
  <c r="J13" i="34"/>
  <c r="W13" i="34" s="1"/>
  <c r="F13" i="34"/>
  <c r="AA13" i="34" s="1"/>
  <c r="J29" i="34"/>
  <c r="F29" i="34"/>
  <c r="S29" i="34" s="1"/>
  <c r="H29" i="34"/>
  <c r="AB29" i="34"/>
  <c r="J31" i="34"/>
  <c r="AC31" i="34" s="1"/>
  <c r="H31" i="34"/>
  <c r="U31" i="34" s="1"/>
  <c r="F31" i="34"/>
  <c r="S31" i="34" s="1"/>
  <c r="H45" i="34"/>
  <c r="U45" i="34"/>
  <c r="J45" i="34"/>
  <c r="W45" i="34" s="1"/>
  <c r="F45" i="34"/>
  <c r="S45" i="34" s="1"/>
  <c r="H47" i="34"/>
  <c r="U47" i="34" s="1"/>
  <c r="F47" i="34"/>
  <c r="S47" i="34"/>
  <c r="J47" i="34"/>
  <c r="AC47" i="34" s="1"/>
  <c r="F13" i="35"/>
  <c r="S13" i="35" s="1"/>
  <c r="J13" i="35"/>
  <c r="AC13" i="35" s="1"/>
  <c r="H13" i="35"/>
  <c r="U13" i="35"/>
  <c r="J25" i="35"/>
  <c r="W25" i="35" s="1"/>
  <c r="F25" i="35"/>
  <c r="S25" i="35" s="1"/>
  <c r="H25" i="35"/>
  <c r="AB25" i="35" s="1"/>
  <c r="J35" i="35"/>
  <c r="AC35" i="35"/>
  <c r="F35" i="35"/>
  <c r="AA35" i="35" s="1"/>
  <c r="H35" i="35"/>
  <c r="AB35" i="35" s="1"/>
  <c r="J25" i="36"/>
  <c r="W25" i="36" s="1"/>
  <c r="F25" i="36"/>
  <c r="S25" i="36"/>
  <c r="H25" i="36"/>
  <c r="AB25" i="36" s="1"/>
  <c r="H13" i="37"/>
  <c r="AB13" i="37" s="1"/>
  <c r="F13" i="37"/>
  <c r="S13" i="37"/>
  <c r="J13" i="37"/>
  <c r="W13" i="37" s="1"/>
  <c r="F28" i="37"/>
  <c r="AA28" i="37" s="1"/>
  <c r="J28" i="37"/>
  <c r="AC28" i="37" s="1"/>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s="1"/>
  <c r="BL578" i="3"/>
  <c r="BL574" i="3"/>
  <c r="BL570" i="3"/>
  <c r="BL566" i="3"/>
  <c r="AZ566" i="3" s="1"/>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Z521" i="3" s="1"/>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AZ508" i="3" s="1"/>
  <c r="G507" i="3"/>
  <c r="G505" i="3"/>
  <c r="G503" i="3"/>
  <c r="G501" i="3"/>
  <c r="G499" i="3"/>
  <c r="G497" i="3"/>
  <c r="G495" i="3"/>
  <c r="BQ507" i="3"/>
  <c r="BL507" i="3"/>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c r="J25" i="21"/>
  <c r="AC25" i="21" s="1"/>
  <c r="E125" i="33"/>
  <c r="F125" i="33"/>
  <c r="H43" i="33"/>
  <c r="AB43" i="33" s="1"/>
  <c r="H17" i="37"/>
  <c r="U17" i="37"/>
  <c r="AB27" i="37"/>
  <c r="U32" i="33"/>
  <c r="AA36" i="39"/>
  <c r="F39" i="33"/>
  <c r="AA39" i="33"/>
  <c r="E123" i="33"/>
  <c r="F42" i="33"/>
  <c r="AA42" i="33"/>
  <c r="H28" i="34"/>
  <c r="AB28" i="34" s="1"/>
  <c r="F14" i="36"/>
  <c r="AA14" i="36"/>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G125" i="33"/>
  <c r="J43" i="33"/>
  <c r="AC43" i="33" s="1"/>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AC12" i="37"/>
  <c r="F94" i="37"/>
  <c r="G94" i="37"/>
  <c r="H94" i="37"/>
  <c r="I94" i="37" s="1"/>
  <c r="J94" i="37" s="1"/>
  <c r="K94" i="37" s="1"/>
  <c r="L94" i="37" s="1"/>
  <c r="M94" i="37" s="1"/>
  <c r="H31" i="37"/>
  <c r="U31" i="37"/>
  <c r="F71" i="37"/>
  <c r="G71" i="37" s="1"/>
  <c r="J15" i="37"/>
  <c r="W15" i="37" s="1"/>
  <c r="AT6" i="3"/>
  <c r="H5" i="3"/>
  <c r="AA25" i="21"/>
  <c r="H19" i="40"/>
  <c r="U19" i="40" s="1"/>
  <c r="F88" i="40"/>
  <c r="G88" i="40"/>
  <c r="F19" i="40"/>
  <c r="S19" i="40" s="1"/>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s="1"/>
  <c r="S11" i="39"/>
  <c r="G4" i="4"/>
  <c r="I4" i="4"/>
  <c r="A2" i="9"/>
  <c r="F61" i="43"/>
  <c r="H64" i="43" s="1"/>
  <c r="G64" i="43" s="1"/>
  <c r="AZ20" i="3"/>
  <c r="AZ24" i="3"/>
  <c r="AZ28" i="3"/>
  <c r="AZ32" i="3"/>
  <c r="BL549" i="3"/>
  <c r="AZ494" i="3"/>
  <c r="AZ502" i="3"/>
  <c r="AZ514" i="3"/>
  <c r="AZ522" i="3"/>
  <c r="AZ530" i="3"/>
  <c r="AZ546"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AZ327" i="3" s="1"/>
  <c r="G335" i="3"/>
  <c r="BL336" i="3"/>
  <c r="G337" i="3"/>
  <c r="BL338" i="3"/>
  <c r="BA340" i="3"/>
  <c r="AZ340" i="3"/>
  <c r="BA341" i="3"/>
  <c r="AZ341" i="3" s="1"/>
  <c r="BL341" i="3"/>
  <c r="BA343" i="3"/>
  <c r="BA345" i="3"/>
  <c r="BL355" i="3"/>
  <c r="G356" i="3"/>
  <c r="BL357" i="3"/>
  <c r="BA359" i="3"/>
  <c r="AZ359" i="3"/>
  <c r="BA360" i="3"/>
  <c r="BL360" i="3"/>
  <c r="G361" i="3"/>
  <c r="BA362" i="3"/>
  <c r="AZ362" i="3" s="1"/>
  <c r="G370" i="3"/>
  <c r="BL371" i="3"/>
  <c r="G372" i="3"/>
  <c r="BL373" i="3"/>
  <c r="BA375" i="3"/>
  <c r="AZ375" i="3"/>
  <c r="BA376" i="3"/>
  <c r="AZ376" i="3" s="1"/>
  <c r="BL376" i="3"/>
  <c r="G377" i="3"/>
  <c r="BA378" i="3"/>
  <c r="AZ378" i="3"/>
  <c r="BL378" i="3"/>
  <c r="G379" i="3"/>
  <c r="BA380" i="3"/>
  <c r="AZ380" i="3" s="1"/>
  <c r="G388" i="3"/>
  <c r="BL389" i="3"/>
  <c r="AZ389" i="3" s="1"/>
  <c r="G390" i="3"/>
  <c r="BL391" i="3"/>
  <c r="BA393" i="3"/>
  <c r="AZ393" i="3" s="1"/>
  <c r="BA394" i="3"/>
  <c r="BL394" i="3"/>
  <c r="G113" i="3"/>
  <c r="BA115" i="3"/>
  <c r="AZ115" i="3" s="1"/>
  <c r="BL116" i="3"/>
  <c r="AZ116" i="3"/>
  <c r="G117" i="3"/>
  <c r="BA119" i="3"/>
  <c r="AZ119" i="3"/>
  <c r="BL120" i="3"/>
  <c r="G121" i="3"/>
  <c r="BA123" i="3"/>
  <c r="AZ123" i="3"/>
  <c r="BL124" i="3"/>
  <c r="AZ124" i="3" s="1"/>
  <c r="G125" i="3"/>
  <c r="BA127" i="3"/>
  <c r="AZ127" i="3"/>
  <c r="BL128" i="3"/>
  <c r="G129" i="3"/>
  <c r="BA131" i="3"/>
  <c r="AZ131" i="3"/>
  <c r="BL132" i="3"/>
  <c r="AZ132" i="3" s="1"/>
  <c r="G133" i="3"/>
  <c r="BA135" i="3"/>
  <c r="AZ135" i="3" s="1"/>
  <c r="BL136" i="3"/>
  <c r="G137" i="3"/>
  <c r="BA139" i="3"/>
  <c r="AZ139" i="3" s="1"/>
  <c r="BL140" i="3"/>
  <c r="AZ140" i="3"/>
  <c r="G141" i="3"/>
  <c r="BA143" i="3"/>
  <c r="AZ143" i="3" s="1"/>
  <c r="BL144" i="3"/>
  <c r="G145" i="3"/>
  <c r="BA147" i="3"/>
  <c r="AZ147" i="3" s="1"/>
  <c r="BL148" i="3"/>
  <c r="AZ148" i="3"/>
  <c r="G149" i="3"/>
  <c r="BA151" i="3"/>
  <c r="AZ151" i="3"/>
  <c r="BL152" i="3"/>
  <c r="AZ152" i="3" s="1"/>
  <c r="G153" i="3"/>
  <c r="BA155" i="3"/>
  <c r="AZ155" i="3"/>
  <c r="BL156" i="3"/>
  <c r="AZ156" i="3" s="1"/>
  <c r="G157" i="3"/>
  <c r="BA159" i="3"/>
  <c r="AZ159" i="3"/>
  <c r="BL160" i="3"/>
  <c r="AZ160" i="3" s="1"/>
  <c r="G161" i="3"/>
  <c r="BA163" i="3"/>
  <c r="AZ163" i="3"/>
  <c r="BL164" i="3"/>
  <c r="AZ164" i="3" s="1"/>
  <c r="G165" i="3"/>
  <c r="BA167" i="3"/>
  <c r="AZ167" i="3" s="1"/>
  <c r="BL168" i="3"/>
  <c r="G169" i="3"/>
  <c r="BA171" i="3"/>
  <c r="AZ171" i="3" s="1"/>
  <c r="BL172" i="3"/>
  <c r="AZ172" i="3"/>
  <c r="G173" i="3"/>
  <c r="BA175" i="3"/>
  <c r="AZ175" i="3" s="1"/>
  <c r="BL176" i="3"/>
  <c r="G177" i="3"/>
  <c r="BA179" i="3"/>
  <c r="AZ179" i="3" s="1"/>
  <c r="BL180" i="3"/>
  <c r="AZ180" i="3"/>
  <c r="G181" i="3"/>
  <c r="BA183" i="3"/>
  <c r="AZ183" i="3"/>
  <c r="BL184" i="3"/>
  <c r="AZ184" i="3" s="1"/>
  <c r="G185" i="3"/>
  <c r="BA187" i="3"/>
  <c r="AZ187" i="3"/>
  <c r="BL188" i="3"/>
  <c r="AZ188" i="3" s="1"/>
  <c r="G189" i="3"/>
  <c r="BA191" i="3"/>
  <c r="AZ191" i="3"/>
  <c r="BL192" i="3"/>
  <c r="AZ192" i="3" s="1"/>
  <c r="G193" i="3"/>
  <c r="BA195" i="3"/>
  <c r="AZ195" i="3"/>
  <c r="BL196" i="3"/>
  <c r="AZ196" i="3" s="1"/>
  <c r="G197" i="3"/>
  <c r="BA199" i="3"/>
  <c r="AZ199" i="3" s="1"/>
  <c r="BL200" i="3"/>
  <c r="G201" i="3"/>
  <c r="BA203" i="3"/>
  <c r="AZ203" i="3" s="1"/>
  <c r="BL204" i="3"/>
  <c r="AZ204" i="3"/>
  <c r="AZ39" i="3"/>
  <c r="AZ43" i="3"/>
  <c r="AZ47" i="3"/>
  <c r="AZ51" i="3"/>
  <c r="AZ59" i="3"/>
  <c r="AZ63" i="3"/>
  <c r="AZ136" i="3"/>
  <c r="AZ144" i="3"/>
  <c r="AZ168" i="3"/>
  <c r="AZ176" i="3"/>
  <c r="AZ200" i="3"/>
  <c r="AZ97" i="3"/>
  <c r="AZ101" i="3"/>
  <c r="AZ105"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BA336" i="3"/>
  <c r="AZ336" i="3" s="1"/>
  <c r="BA337" i="3"/>
  <c r="BL337" i="3"/>
  <c r="AZ337" i="3" s="1"/>
  <c r="G338" i="3"/>
  <c r="G341" i="3"/>
  <c r="BA342" i="3"/>
  <c r="BL342" i="3"/>
  <c r="AZ342" i="3" s="1"/>
  <c r="BA344" i="3"/>
  <c r="BL344" i="3"/>
  <c r="AZ344" i="3"/>
  <c r="BA346" i="3"/>
  <c r="AZ346" i="3" s="1"/>
  <c r="BA347" i="3"/>
  <c r="AZ347" i="3"/>
  <c r="BL347" i="3"/>
  <c r="G350" i="3"/>
  <c r="BA351" i="3"/>
  <c r="AZ351" i="3"/>
  <c r="BL351" i="3"/>
  <c r="G352" i="3"/>
  <c r="G354" i="3"/>
  <c r="BA355" i="3"/>
  <c r="AZ355" i="3" s="1"/>
  <c r="BA356" i="3"/>
  <c r="BL356" i="3"/>
  <c r="AZ356" i="3" s="1"/>
  <c r="G357" i="3"/>
  <c r="G360" i="3"/>
  <c r="BL361" i="3"/>
  <c r="BA363" i="3"/>
  <c r="AZ363" i="3"/>
  <c r="BA364" i="3"/>
  <c r="BL364" i="3"/>
  <c r="G365" i="3"/>
  <c r="G368" i="3"/>
  <c r="BL369" i="3"/>
  <c r="BA371" i="3"/>
  <c r="AZ371" i="3"/>
  <c r="BA372" i="3"/>
  <c r="AZ372" i="3" s="1"/>
  <c r="BL372" i="3"/>
  <c r="G373" i="3"/>
  <c r="G376" i="3"/>
  <c r="BL377" i="3"/>
  <c r="BL379" i="3"/>
  <c r="BA381" i="3"/>
  <c r="AZ381" i="3"/>
  <c r="BA382" i="3"/>
  <c r="BL382" i="3"/>
  <c r="G383" i="3"/>
  <c r="G386" i="3"/>
  <c r="BL387" i="3"/>
  <c r="BA389" i="3"/>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s="1"/>
  <c r="G304" i="3"/>
  <c r="BA306" i="3"/>
  <c r="AZ306" i="3"/>
  <c r="BL307" i="3"/>
  <c r="AZ307" i="3" s="1"/>
  <c r="G308" i="3"/>
  <c r="BA310" i="3"/>
  <c r="AZ310" i="3" s="1"/>
  <c r="BL311" i="3"/>
  <c r="AZ311" i="3"/>
  <c r="G312" i="3"/>
  <c r="BA314" i="3"/>
  <c r="AZ314" i="3" s="1"/>
  <c r="BL315" i="3"/>
  <c r="AZ315" i="3"/>
  <c r="G316" i="3"/>
  <c r="BA318" i="3"/>
  <c r="AZ318" i="3"/>
  <c r="BL319" i="3"/>
  <c r="AZ319" i="3" s="1"/>
  <c r="G320" i="3"/>
  <c r="BA322" i="3"/>
  <c r="AZ322" i="3"/>
  <c r="BL323" i="3"/>
  <c r="AZ323" i="3" s="1"/>
  <c r="G324" i="3"/>
  <c r="BA326" i="3"/>
  <c r="AZ326" i="3"/>
  <c r="BL327" i="3"/>
  <c r="G328" i="3"/>
  <c r="BA330" i="3"/>
  <c r="AZ330" i="3" s="1"/>
  <c r="BL331" i="3"/>
  <c r="AZ331" i="3"/>
  <c r="G332" i="3"/>
  <c r="BA334" i="3"/>
  <c r="AZ334" i="3" s="1"/>
  <c r="BL335" i="3"/>
  <c r="G336" i="3"/>
  <c r="BA338" i="3"/>
  <c r="AZ338" i="3" s="1"/>
  <c r="BL339" i="3"/>
  <c r="AZ339" i="3"/>
  <c r="G340" i="3"/>
  <c r="BL343" i="3"/>
  <c r="G344" i="3"/>
  <c r="G348" i="3"/>
  <c r="G355" i="3"/>
  <c r="AZ209" i="3"/>
  <c r="AZ214" i="3"/>
  <c r="AZ218" i="3"/>
  <c r="AZ222" i="3"/>
  <c r="AZ335" i="3"/>
  <c r="G342" i="3"/>
  <c r="BL345" i="3"/>
  <c r="AZ345" i="3"/>
  <c r="G346" i="3"/>
  <c r="AZ348" i="3"/>
  <c r="BL349" i="3"/>
  <c r="AZ349" i="3"/>
  <c r="BL352" i="3"/>
  <c r="AZ352" i="3" s="1"/>
  <c r="G353" i="3"/>
  <c r="BA357" i="3"/>
  <c r="AZ357" i="3"/>
  <c r="BL358" i="3"/>
  <c r="AZ358" i="3" s="1"/>
  <c r="G359" i="3"/>
  <c r="BA361" i="3"/>
  <c r="AZ361" i="3"/>
  <c r="BL362" i="3"/>
  <c r="G363" i="3"/>
  <c r="BA365" i="3"/>
  <c r="AZ365" i="3"/>
  <c r="BL366" i="3"/>
  <c r="AZ366" i="3" s="1"/>
  <c r="G367" i="3"/>
  <c r="BA369" i="3"/>
  <c r="AZ369" i="3" s="1"/>
  <c r="BL370" i="3"/>
  <c r="G371" i="3"/>
  <c r="BA373" i="3"/>
  <c r="AZ373" i="3" s="1"/>
  <c r="BL374" i="3"/>
  <c r="AZ374" i="3"/>
  <c r="G375" i="3"/>
  <c r="BA377" i="3"/>
  <c r="AZ377" i="3" s="1"/>
  <c r="AZ229" i="3"/>
  <c r="AZ233" i="3"/>
  <c r="AZ237" i="3"/>
  <c r="AZ241" i="3"/>
  <c r="AZ245" i="3"/>
  <c r="AZ249" i="3"/>
  <c r="AZ257" i="3"/>
  <c r="AZ265" i="3"/>
  <c r="AZ269" i="3"/>
  <c r="AZ273" i="3"/>
  <c r="AZ370" i="3"/>
  <c r="BA379" i="3"/>
  <c r="AZ379" i="3" s="1"/>
  <c r="BL380" i="3"/>
  <c r="G381" i="3"/>
  <c r="BA383" i="3"/>
  <c r="AZ383" i="3" s="1"/>
  <c r="BL384" i="3"/>
  <c r="G385" i="3"/>
  <c r="BA387" i="3"/>
  <c r="AZ387" i="3" s="1"/>
  <c r="BL388" i="3"/>
  <c r="G389" i="3"/>
  <c r="BA391" i="3"/>
  <c r="AZ391" i="3" s="1"/>
  <c r="BL392" i="3"/>
  <c r="G393" i="3"/>
  <c r="AZ275" i="3"/>
  <c r="AZ279" i="3"/>
  <c r="AZ283" i="3"/>
  <c r="AZ291" i="3"/>
  <c r="AZ295" i="3"/>
  <c r="AZ299" i="3"/>
  <c r="BO5" i="3"/>
  <c r="BM5" i="3"/>
  <c r="BJ5" i="3"/>
  <c r="BH5" i="3"/>
  <c r="BF5" i="3"/>
  <c r="BD5" i="3"/>
  <c r="AZ317" i="3"/>
  <c r="AZ325" i="3"/>
  <c r="AZ333" i="3"/>
  <c r="BQ5" i="3"/>
  <c r="AC5" i="3"/>
  <c r="AZ549" i="3"/>
  <c r="AZ506" i="3"/>
  <c r="AZ496" i="3"/>
  <c r="G548" i="3"/>
  <c r="G538" i="3"/>
  <c r="G520" i="3"/>
  <c r="G502" i="3"/>
  <c r="BS5" i="3"/>
  <c r="BP5" i="3"/>
  <c r="BN5" i="3"/>
  <c r="AZ343" i="3"/>
  <c r="BK5" i="3"/>
  <c r="BI5" i="3"/>
  <c r="BG5" i="3"/>
  <c r="BE5" i="3"/>
  <c r="BC5" i="3"/>
  <c r="G17" i="3"/>
  <c r="BA17" i="3"/>
  <c r="BT5" i="3"/>
  <c r="AZ350" i="3"/>
  <c r="AZ360" i="3"/>
  <c r="AZ364" i="3"/>
  <c r="AZ368" i="3"/>
  <c r="BA15" i="3"/>
  <c r="AZ15" i="3"/>
  <c r="BB5" i="3"/>
  <c r="BR5" i="3"/>
  <c r="AZ384" i="3"/>
  <c r="AZ388" i="3"/>
  <c r="AZ392" i="3"/>
  <c r="AZ396" i="3"/>
  <c r="AZ394" i="3"/>
  <c r="G509" i="3"/>
  <c r="BL493" i="3"/>
  <c r="AZ491" i="3"/>
  <c r="AZ382"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c r="W12" i="36"/>
  <c r="AC12" i="36"/>
  <c r="H20" i="36"/>
  <c r="U20" i="36"/>
  <c r="J20" i="36"/>
  <c r="W20" i="36" s="1"/>
  <c r="W24" i="36"/>
  <c r="J27" i="36"/>
  <c r="W27" i="36" s="1"/>
  <c r="AB25" i="37"/>
  <c r="AC33" i="40"/>
  <c r="F111" i="40"/>
  <c r="G111" i="40"/>
  <c r="H111" i="40" s="1"/>
  <c r="I111" i="40" s="1"/>
  <c r="J111" i="40" s="1"/>
  <c r="K111" i="40" s="1"/>
  <c r="L111" i="40" s="1"/>
  <c r="M111" i="40" s="1"/>
  <c r="H35" i="40"/>
  <c r="AB35" i="40"/>
  <c r="AC29" i="35"/>
  <c r="W29" i="35"/>
  <c r="H35" i="37"/>
  <c r="U35" i="37" s="1"/>
  <c r="AC14" i="35"/>
  <c r="H20" i="35"/>
  <c r="U20" i="35"/>
  <c r="F20" i="35"/>
  <c r="AA20" i="35" s="1"/>
  <c r="AB23" i="35"/>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c r="H34" i="33"/>
  <c r="U34" i="33" s="1"/>
  <c r="F35" i="33"/>
  <c r="S35" i="33"/>
  <c r="F39" i="34"/>
  <c r="S39" i="34" s="1"/>
  <c r="J39" i="34"/>
  <c r="W39" i="34"/>
  <c r="F40" i="34"/>
  <c r="S40" i="34" s="1"/>
  <c r="F43" i="34"/>
  <c r="AA43"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9" i="3"/>
  <c r="AZ280" i="3"/>
  <c r="AZ288" i="3"/>
  <c r="AZ296" i="3"/>
  <c r="AZ114" i="3"/>
  <c r="AZ117" i="3"/>
  <c r="AZ130" i="3"/>
  <c r="AZ133" i="3"/>
  <c r="AZ21" i="3"/>
  <c r="AZ29" i="3"/>
  <c r="AZ31" i="3"/>
  <c r="AZ33" i="3"/>
  <c r="AZ37" i="3"/>
  <c r="AZ53" i="3"/>
  <c r="AZ58" i="3"/>
  <c r="AZ61" i="3"/>
  <c r="AZ66" i="3"/>
  <c r="AZ72" i="3"/>
  <c r="AZ74" i="3"/>
  <c r="AZ82" i="3"/>
  <c r="AZ86" i="3"/>
  <c r="AZ94" i="3"/>
  <c r="AZ102" i="3"/>
  <c r="F23" i="39"/>
  <c r="AA23" i="39" s="1"/>
  <c r="H27" i="36"/>
  <c r="U27" i="36" s="1"/>
  <c r="F27" i="36"/>
  <c r="AA27" i="36" s="1"/>
  <c r="H33" i="34"/>
  <c r="U33" i="34" s="1"/>
  <c r="F32" i="37"/>
  <c r="AA32" i="37"/>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AA39" i="34"/>
  <c r="F28" i="6"/>
  <c r="BL14" i="3"/>
  <c r="U30" i="33"/>
  <c r="AC13" i="34"/>
  <c r="AA47" i="34"/>
  <c r="W28" i="37"/>
  <c r="S19" i="39"/>
  <c r="F12" i="33"/>
  <c r="H12" i="39"/>
  <c r="AB12" i="39"/>
  <c r="F39" i="40"/>
  <c r="BA14" i="3"/>
  <c r="AZ14" i="3" s="1"/>
  <c r="AZ367" i="3"/>
  <c r="AZ213" i="3"/>
  <c r="AZ224" i="3"/>
  <c r="AZ234" i="3"/>
  <c r="AZ238" i="3"/>
  <c r="AZ250" i="3"/>
  <c r="AZ254" i="3"/>
  <c r="AZ286" i="3"/>
  <c r="AZ297" i="3"/>
  <c r="AZ149" i="3"/>
  <c r="AZ157" i="3"/>
  <c r="AZ165" i="3"/>
  <c r="AZ173" i="3"/>
  <c r="AZ181" i="3"/>
  <c r="AZ189" i="3"/>
  <c r="AZ197" i="3"/>
  <c r="AZ19" i="3"/>
  <c r="AZ26" i="3"/>
  <c r="AZ35" i="3"/>
  <c r="AZ41" i="3"/>
  <c r="B12" i="1"/>
  <c r="E12" i="1" s="1"/>
  <c r="B10" i="1"/>
  <c r="E10" i="1" s="1"/>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U19" i="33" s="1"/>
  <c r="G81" i="33"/>
  <c r="G79" i="33"/>
  <c r="H17" i="33"/>
  <c r="F17" i="33"/>
  <c r="AA17" i="33" s="1"/>
  <c r="W17" i="33"/>
  <c r="AC17" i="33"/>
  <c r="S37" i="21"/>
  <c r="AA23" i="21"/>
  <c r="AB15" i="21"/>
  <c r="J23" i="21"/>
  <c r="W23" i="21" s="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s="1"/>
  <c r="K63" i="37" s="1"/>
  <c r="L63" i="37" s="1"/>
  <c r="M63" i="37" s="1"/>
  <c r="J11" i="37"/>
  <c r="AC11" i="37" s="1"/>
  <c r="H70" i="34"/>
  <c r="I70" i="34"/>
  <c r="J70" i="34"/>
  <c r="K70" i="34" s="1"/>
  <c r="L70" i="34" s="1"/>
  <c r="M70" i="34" s="1"/>
  <c r="J11" i="34"/>
  <c r="W11" i="34" s="1"/>
  <c r="AB36" i="33"/>
  <c r="W27" i="33"/>
  <c r="AC27" i="33"/>
  <c r="W25" i="33"/>
  <c r="AC25" i="33"/>
  <c r="AA23" i="33"/>
  <c r="S23" i="33"/>
  <c r="AB19" i="33"/>
  <c r="S17" i="33"/>
  <c r="U17" i="33"/>
  <c r="AB17" i="33"/>
  <c r="U23" i="21"/>
  <c r="AB23" i="21"/>
  <c r="AC23" i="21"/>
  <c r="H109" i="9"/>
  <c r="M49" i="9" s="1"/>
  <c r="D16" i="53"/>
  <c r="B34" i="72" s="1"/>
  <c r="H112" i="9"/>
  <c r="D21" i="53" s="1"/>
  <c r="B39" i="72" s="1"/>
  <c r="H111" i="9"/>
  <c r="D126" i="9" s="1"/>
  <c r="AD3" i="71"/>
  <c r="J1" i="73"/>
  <c r="H69" i="43"/>
  <c r="G69" i="43" s="1"/>
  <c r="M69" i="43" s="1"/>
  <c r="N69" i="43" s="1"/>
  <c r="C22" i="71"/>
  <c r="C21" i="71" s="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D19" i="9"/>
  <c r="F3" i="73"/>
  <c r="AO13" i="1"/>
  <c r="F42" i="67"/>
  <c r="C76" i="15"/>
  <c r="J15" i="67"/>
  <c r="F26" i="15"/>
  <c r="F40" i="67"/>
  <c r="F42" i="15"/>
  <c r="F7" i="15"/>
  <c r="L48" i="67"/>
  <c r="E7" i="76"/>
  <c r="B13" i="76"/>
  <c r="F6" i="15"/>
  <c r="E12" i="76"/>
  <c r="J15" i="15"/>
  <c r="M6" i="15"/>
  <c r="F36" i="67"/>
  <c r="F43" i="67"/>
  <c r="D20" i="9"/>
  <c r="M8" i="67"/>
  <c r="L47" i="15"/>
  <c r="B8" i="76"/>
  <c r="F9" i="15"/>
  <c r="F8" i="15"/>
  <c r="F7" i="73"/>
  <c r="F13" i="67"/>
  <c r="F4" i="73"/>
  <c r="F13" i="15"/>
  <c r="B9" i="76"/>
  <c r="B12" i="76"/>
  <c r="E2" i="68"/>
  <c r="M28" i="15"/>
  <c r="F20" i="31"/>
  <c r="F43" i="15"/>
  <c r="F37" i="15"/>
  <c r="F38" i="15"/>
  <c r="F38" i="67"/>
  <c r="M23" i="67"/>
  <c r="D4" i="73"/>
  <c r="L47" i="67"/>
  <c r="M9" i="67"/>
  <c r="M24" i="67"/>
  <c r="D34" i="9"/>
  <c r="F8" i="67"/>
  <c r="M29" i="67"/>
  <c r="F6" i="67"/>
  <c r="M6" i="67"/>
  <c r="F9" i="67"/>
  <c r="M24" i="15"/>
  <c r="E2" i="69"/>
  <c r="L48" i="15"/>
  <c r="F26" i="67"/>
  <c r="M9" i="15"/>
  <c r="M22" i="15"/>
  <c r="F6" i="73"/>
  <c r="B11" i="76"/>
  <c r="D6" i="73"/>
  <c r="M8" i="15"/>
  <c r="F16" i="15"/>
  <c r="C76" i="67"/>
  <c r="F37" i="67"/>
  <c r="B10" i="76"/>
  <c r="E9" i="76"/>
  <c r="B7" i="76"/>
  <c r="F5" i="73"/>
  <c r="E8" i="76"/>
  <c r="D7" i="73"/>
  <c r="D35" i="9"/>
  <c r="M26" i="15"/>
  <c r="E10" i="76"/>
  <c r="F36" i="15"/>
  <c r="M26" i="67"/>
  <c r="C20" i="9"/>
  <c r="F16" i="67"/>
  <c r="D3" i="73"/>
  <c r="M28" i="67"/>
  <c r="M22" i="67"/>
  <c r="F7" i="67"/>
  <c r="E13" i="76"/>
  <c r="E11" i="76"/>
  <c r="F40" i="15"/>
  <c r="M29" i="15"/>
  <c r="M23" i="15"/>
  <c r="C19" i="9"/>
  <c r="D5" i="73"/>
  <c r="C20" i="71" l="1"/>
  <c r="D21" i="71"/>
  <c r="K64" i="43"/>
  <c r="J64" i="43" s="1"/>
  <c r="M64" i="43"/>
  <c r="N64" i="43" s="1"/>
  <c r="AA41" i="34"/>
  <c r="W17" i="21"/>
  <c r="S30" i="40"/>
  <c r="AB31" i="34"/>
  <c r="U33" i="35"/>
  <c r="W31" i="40"/>
  <c r="AC31" i="40"/>
  <c r="K67" i="43"/>
  <c r="J67" i="43" s="1"/>
  <c r="M67" i="43"/>
  <c r="N67" i="43" s="1"/>
  <c r="AB40" i="40"/>
  <c r="U40" i="40"/>
  <c r="E15" i="71"/>
  <c r="E14" i="71" s="1"/>
  <c r="E13" i="71" s="1"/>
  <c r="E12" i="71" s="1"/>
  <c r="V16" i="71"/>
  <c r="D19" i="53"/>
  <c r="B38" i="72" s="1"/>
  <c r="AZ409" i="3"/>
  <c r="AZ413" i="3"/>
  <c r="AZ427" i="3"/>
  <c r="AZ443" i="3"/>
  <c r="AZ444" i="3"/>
  <c r="AZ447" i="3"/>
  <c r="AZ464" i="3"/>
  <c r="AZ466" i="3"/>
  <c r="AZ469" i="3"/>
  <c r="AZ480" i="3"/>
  <c r="J9" i="34"/>
  <c r="F12" i="34"/>
  <c r="H12" i="36"/>
  <c r="F23" i="36"/>
  <c r="H39" i="40"/>
  <c r="AZ406" i="3"/>
  <c r="AZ407" i="3"/>
  <c r="AZ434" i="3"/>
  <c r="AZ435" i="3"/>
  <c r="AZ448" i="3"/>
  <c r="AZ451" i="3"/>
  <c r="AZ452" i="3"/>
  <c r="AZ462" i="3"/>
  <c r="AZ463" i="3"/>
  <c r="H12" i="21"/>
  <c r="BA551" i="3"/>
  <c r="AZ551" i="3" s="1"/>
  <c r="BA550" i="3"/>
  <c r="AZ550" i="3" s="1"/>
  <c r="BL548" i="3"/>
  <c r="AZ548" i="3" s="1"/>
  <c r="AZ398" i="3"/>
  <c r="AZ400" i="3"/>
  <c r="AZ402" i="3"/>
  <c r="AZ403" i="3"/>
  <c r="AZ419" i="3"/>
  <c r="AZ420" i="3"/>
  <c r="AZ424" i="3"/>
  <c r="B73" i="43"/>
  <c r="B76" i="43"/>
  <c r="AZ414" i="3"/>
  <c r="BL471" i="3"/>
  <c r="AZ471" i="3" s="1"/>
  <c r="G476" i="3"/>
  <c r="BA477" i="3"/>
  <c r="AZ477" i="3" s="1"/>
  <c r="BA478" i="3"/>
  <c r="AZ478" i="3" s="1"/>
  <c r="BA479" i="3"/>
  <c r="AZ479" i="3" s="1"/>
  <c r="G484" i="3"/>
  <c r="AZ486" i="3"/>
  <c r="G491" i="3"/>
  <c r="BL492" i="3"/>
  <c r="AZ492" i="3" s="1"/>
  <c r="AZ239" i="3"/>
  <c r="G473" i="3"/>
  <c r="G488" i="3"/>
  <c r="BA468" i="3"/>
  <c r="AZ468" i="3" s="1"/>
  <c r="BA472" i="3"/>
  <c r="AZ472" i="3" s="1"/>
  <c r="BL474" i="3"/>
  <c r="AZ474" i="3" s="1"/>
  <c r="G480" i="3"/>
  <c r="AZ481" i="3"/>
  <c r="AZ482" i="3"/>
  <c r="AZ485" i="3"/>
  <c r="AZ212" i="3"/>
  <c r="AZ226" i="3"/>
  <c r="AZ236" i="3"/>
  <c r="AZ246" i="3"/>
  <c r="BA258" i="3"/>
  <c r="BL260" i="3"/>
  <c r="G265" i="3"/>
  <c r="AZ292" i="3"/>
  <c r="AZ260" i="3"/>
  <c r="BL281" i="3"/>
  <c r="AZ281" i="3" s="1"/>
  <c r="BA285" i="3"/>
  <c r="AZ285" i="3" s="1"/>
  <c r="BA287" i="3"/>
  <c r="AZ287" i="3" s="1"/>
  <c r="G294" i="3"/>
  <c r="BA120" i="3"/>
  <c r="AZ120" i="3" s="1"/>
  <c r="G123" i="3"/>
  <c r="AZ46" i="3"/>
  <c r="AZ49" i="3"/>
  <c r="AZ56" i="3"/>
  <c r="AZ255" i="3"/>
  <c r="BL258" i="3"/>
  <c r="BA261" i="3"/>
  <c r="AZ261" i="3" s="1"/>
  <c r="BA266" i="3"/>
  <c r="AZ266" i="3" s="1"/>
  <c r="AZ270" i="3"/>
  <c r="BA274" i="3"/>
  <c r="AZ274" i="3" s="1"/>
  <c r="AZ284" i="3"/>
  <c r="AZ113" i="3"/>
  <c r="AZ118" i="3"/>
  <c r="G126" i="3"/>
  <c r="AZ141" i="3"/>
  <c r="AZ70" i="3"/>
  <c r="G250" i="3"/>
  <c r="BL253" i="3"/>
  <c r="AZ253" i="3" s="1"/>
  <c r="G254" i="3"/>
  <c r="BA256" i="3"/>
  <c r="AZ256" i="3" s="1"/>
  <c r="BL263" i="3"/>
  <c r="AZ263" i="3" s="1"/>
  <c r="G264" i="3"/>
  <c r="BL268" i="3"/>
  <c r="AZ268" i="3" s="1"/>
  <c r="G269" i="3"/>
  <c r="BA271" i="3"/>
  <c r="AZ271" i="3" s="1"/>
  <c r="AZ276" i="3"/>
  <c r="G286" i="3"/>
  <c r="G288" i="3"/>
  <c r="BL289" i="3"/>
  <c r="AZ289" i="3" s="1"/>
  <c r="BA293" i="3"/>
  <c r="AZ293" i="3" s="1"/>
  <c r="BA298" i="3"/>
  <c r="AZ298" i="3" s="1"/>
  <c r="AZ300" i="3"/>
  <c r="BA122" i="3"/>
  <c r="AZ122" i="3" s="1"/>
  <c r="G128" i="3"/>
  <c r="AZ34" i="3"/>
  <c r="AZ36" i="3"/>
  <c r="AB21" i="34"/>
  <c r="U21" i="34"/>
  <c r="AZ40" i="3"/>
  <c r="AZ68" i="3"/>
  <c r="BA71" i="3"/>
  <c r="AZ71" i="3" s="1"/>
  <c r="BA77" i="3"/>
  <c r="AZ77" i="3" s="1"/>
  <c r="AZ78" i="3"/>
  <c r="AZ100" i="3"/>
  <c r="D87" i="71"/>
  <c r="C86" i="71"/>
  <c r="D86" i="71" s="1"/>
  <c r="AB27" i="71"/>
  <c r="AB28" i="71"/>
  <c r="AB25" i="71"/>
  <c r="F28" i="71"/>
  <c r="F27" i="71" s="1"/>
  <c r="F26" i="71" s="1"/>
  <c r="AB26" i="71"/>
  <c r="AB29" i="71"/>
  <c r="F30" i="71"/>
  <c r="F31" i="71" s="1"/>
  <c r="F32" i="71" s="1"/>
  <c r="V32" i="71" s="1"/>
  <c r="S80" i="71"/>
  <c r="B79" i="71"/>
  <c r="B78" i="71" s="1"/>
  <c r="Y17" i="71"/>
  <c r="Z17" i="71" s="1"/>
  <c r="Y13" i="71"/>
  <c r="Z13" i="71" s="1"/>
  <c r="G39" i="3"/>
  <c r="BA45" i="3"/>
  <c r="AZ45" i="3" s="1"/>
  <c r="BA50" i="3"/>
  <c r="AZ50" i="3" s="1"/>
  <c r="BL52" i="3"/>
  <c r="G59" i="3"/>
  <c r="BL62" i="3"/>
  <c r="AZ62" i="3" s="1"/>
  <c r="BA64" i="3"/>
  <c r="AZ64" i="3" s="1"/>
  <c r="BL75" i="3"/>
  <c r="AZ75" i="3" s="1"/>
  <c r="BL84" i="3"/>
  <c r="AZ84" i="3" s="1"/>
  <c r="AZ90" i="3"/>
  <c r="AZ92" i="3"/>
  <c r="C39" i="71"/>
  <c r="D38" i="71"/>
  <c r="D42" i="71"/>
  <c r="C43" i="71"/>
  <c r="BA38" i="3"/>
  <c r="AZ38" i="3" s="1"/>
  <c r="BL42" i="3"/>
  <c r="AZ42" i="3" s="1"/>
  <c r="BA48" i="3"/>
  <c r="AZ48" i="3" s="1"/>
  <c r="AZ52" i="3"/>
  <c r="BA55" i="3"/>
  <c r="AZ55" i="3" s="1"/>
  <c r="G64" i="3"/>
  <c r="BL67" i="3"/>
  <c r="AZ67" i="3" s="1"/>
  <c r="BA69" i="3"/>
  <c r="AZ69" i="3" s="1"/>
  <c r="BA79" i="3"/>
  <c r="AZ79" i="3" s="1"/>
  <c r="BL83" i="3"/>
  <c r="AZ83" i="3" s="1"/>
  <c r="BA89" i="3"/>
  <c r="BA91" i="3"/>
  <c r="AZ91" i="3" s="1"/>
  <c r="AZ108" i="3"/>
  <c r="Y34" i="71"/>
  <c r="Z34" i="71" s="1"/>
  <c r="Y36" i="71"/>
  <c r="Z36" i="71" s="1"/>
  <c r="Y35" i="71"/>
  <c r="Z35" i="71" s="1"/>
  <c r="Y28" i="71"/>
  <c r="Z28" i="71" s="1"/>
  <c r="Y30" i="71"/>
  <c r="Z30" i="71" s="1"/>
  <c r="AB21" i="71"/>
  <c r="BA81" i="3"/>
  <c r="AZ81" i="3" s="1"/>
  <c r="BA85" i="3"/>
  <c r="AZ85" i="3" s="1"/>
  <c r="BL89" i="3"/>
  <c r="BA107" i="3"/>
  <c r="AZ107" i="3" s="1"/>
  <c r="BL109" i="3"/>
  <c r="AZ109" i="3" s="1"/>
  <c r="F3" i="35"/>
  <c r="AB25" i="40"/>
  <c r="U25" i="40"/>
  <c r="C35" i="71"/>
  <c r="D34" i="71"/>
  <c r="Y33" i="71"/>
  <c r="Z33" i="71" s="1"/>
  <c r="Y32" i="71"/>
  <c r="Z32" i="71" s="1"/>
  <c r="Y26" i="71"/>
  <c r="Z26" i="71" s="1"/>
  <c r="AA10" i="71"/>
  <c r="Y18" i="71"/>
  <c r="Z18" i="71" s="1"/>
  <c r="AB18" i="71"/>
  <c r="AB12" i="71"/>
  <c r="G51" i="3"/>
  <c r="G56" i="3"/>
  <c r="BL60" i="3"/>
  <c r="AZ60" i="3" s="1"/>
  <c r="G67" i="3"/>
  <c r="G72" i="3"/>
  <c r="BA76" i="3"/>
  <c r="AZ76" i="3" s="1"/>
  <c r="BL80" i="3"/>
  <c r="AZ80" i="3" s="1"/>
  <c r="G84" i="3"/>
  <c r="BL87" i="3"/>
  <c r="AZ87" i="3" s="1"/>
  <c r="BA93" i="3"/>
  <c r="AZ93" i="3" s="1"/>
  <c r="BA96" i="3"/>
  <c r="AZ96" i="3" s="1"/>
  <c r="BA99" i="3"/>
  <c r="AZ99" i="3" s="1"/>
  <c r="BL104" i="3"/>
  <c r="AZ104" i="3" s="1"/>
  <c r="BL110" i="3"/>
  <c r="AZ110" i="3" s="1"/>
  <c r="BA112" i="3"/>
  <c r="AZ112" i="3" s="1"/>
  <c r="F40" i="68"/>
  <c r="C40" i="68"/>
  <c r="AC21" i="34"/>
  <c r="S18" i="36"/>
  <c r="X27" i="71"/>
  <c r="X29" i="71"/>
  <c r="X21" i="71"/>
  <c r="X26" i="71"/>
  <c r="X31" i="71"/>
  <c r="X28" i="71"/>
  <c r="Y38" i="71"/>
  <c r="Z38" i="71" s="1"/>
  <c r="Y37" i="71"/>
  <c r="Z37" i="71" s="1"/>
  <c r="X10" i="71"/>
  <c r="C63" i="71"/>
  <c r="D62" i="71"/>
  <c r="Y23" i="71"/>
  <c r="Z23" i="71" s="1"/>
  <c r="Y22" i="71"/>
  <c r="Z22" i="71" s="1"/>
  <c r="G91" i="3"/>
  <c r="BL95" i="3"/>
  <c r="AZ95" i="3" s="1"/>
  <c r="BL98" i="3"/>
  <c r="AZ98" i="3" s="1"/>
  <c r="AB18" i="35"/>
  <c r="U18" i="35"/>
  <c r="AA21" i="21"/>
  <c r="S21" i="21"/>
  <c r="AA25" i="40"/>
  <c r="S25" i="40"/>
  <c r="N65" i="71"/>
  <c r="T28" i="71"/>
  <c r="C27" i="71"/>
  <c r="D28" i="71"/>
  <c r="U28" i="71" s="1"/>
  <c r="AA34" i="71"/>
  <c r="AA27" i="71"/>
  <c r="AA33" i="71"/>
  <c r="Y21" i="71"/>
  <c r="Z21" i="71" s="1"/>
  <c r="X22" i="71"/>
  <c r="X18" i="71"/>
  <c r="AA12" i="71"/>
  <c r="AB18" i="36"/>
  <c r="D56" i="71"/>
  <c r="O65" i="71"/>
  <c r="D67" i="71"/>
  <c r="AA25" i="71"/>
  <c r="C75" i="71"/>
  <c r="C71" i="71"/>
  <c r="Y27" i="71"/>
  <c r="Z27" i="71" s="1"/>
  <c r="AB33" i="71"/>
  <c r="Y29" i="71"/>
  <c r="Z29" i="71" s="1"/>
  <c r="Y31" i="71"/>
  <c r="Z31" i="71" s="1"/>
  <c r="AB31" i="71"/>
  <c r="F38" i="71"/>
  <c r="F39" i="71" s="1"/>
  <c r="F40" i="71" s="1"/>
  <c r="V40" i="71" s="1"/>
  <c r="AB9" i="71"/>
  <c r="AB10" i="71"/>
  <c r="AA18" i="71"/>
  <c r="AB11" i="71"/>
  <c r="AA28" i="71"/>
  <c r="AA3" i="71"/>
  <c r="D76" i="71"/>
  <c r="D72" i="71"/>
  <c r="AA30" i="71"/>
  <c r="AB36" i="71"/>
  <c r="AA36" i="71"/>
  <c r="E38" i="71"/>
  <c r="E39" i="71" s="1"/>
  <c r="E40" i="71" s="1"/>
  <c r="U40" i="71" s="1"/>
  <c r="AA37" i="71"/>
  <c r="Y10" i="71"/>
  <c r="Z10" i="71" s="1"/>
  <c r="Y9" i="71"/>
  <c r="Z9" i="71" s="1"/>
  <c r="E51" i="71"/>
  <c r="E52" i="71" s="1"/>
  <c r="U52" i="71" s="1"/>
  <c r="F55" i="71"/>
  <c r="F56" i="71" s="1"/>
  <c r="V56" i="71" s="1"/>
  <c r="AA24" i="71"/>
  <c r="X17" i="71"/>
  <c r="AA17" i="71"/>
  <c r="X15" i="71"/>
  <c r="X11" i="71"/>
  <c r="X12" i="71"/>
  <c r="X14" i="71"/>
  <c r="AB17" i="71"/>
  <c r="X13" i="71"/>
  <c r="X30" i="71"/>
  <c r="AA32" i="71"/>
  <c r="AB24" i="71"/>
  <c r="X24" i="71"/>
  <c r="AA22" i="71"/>
  <c r="AB23" i="71"/>
  <c r="Y14" i="71"/>
  <c r="Z14" i="71" s="1"/>
  <c r="Y24" i="71"/>
  <c r="Z24" i="71" s="1"/>
  <c r="AA21" i="71"/>
  <c r="AB13" i="71"/>
  <c r="Y12" i="71"/>
  <c r="Z12" i="71" s="1"/>
  <c r="X9" i="71"/>
  <c r="K56" i="9"/>
  <c r="AA23" i="71"/>
  <c r="AA15" i="71"/>
  <c r="Y11" i="71"/>
  <c r="Z11" i="71" s="1"/>
  <c r="AA9" i="71"/>
  <c r="N56" i="9"/>
  <c r="AB15" i="71"/>
  <c r="AB14" i="71"/>
  <c r="AA11" i="71"/>
  <c r="K69" i="43"/>
  <c r="J69" i="43" s="1"/>
  <c r="C21" i="68"/>
  <c r="C40" i="69"/>
  <c r="G6" i="1"/>
  <c r="I24" i="43"/>
  <c r="H50" i="43"/>
  <c r="G28" i="6"/>
  <c r="F29" i="6"/>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G1" i="73"/>
  <c r="C16" i="15"/>
  <c r="C16" i="67"/>
  <c r="J26" i="43" l="1"/>
  <c r="H26" i="43"/>
  <c r="D26" i="43" s="1"/>
  <c r="C25" i="43" s="1"/>
  <c r="G26" i="43"/>
  <c r="N370" i="46"/>
  <c r="D27" i="71"/>
  <c r="C26" i="71"/>
  <c r="D26" i="71" s="1"/>
  <c r="C36" i="71"/>
  <c r="D35" i="71"/>
  <c r="C40" i="71"/>
  <c r="D39" i="71"/>
  <c r="AZ258" i="3"/>
  <c r="AB12" i="21"/>
  <c r="U12" i="21"/>
  <c r="AB12" i="36"/>
  <c r="U12" i="36"/>
  <c r="B15" i="71"/>
  <c r="B14" i="71" s="1"/>
  <c r="B13" i="71" s="1"/>
  <c r="B12" i="71" s="1"/>
  <c r="S16" i="71"/>
  <c r="K66" i="43"/>
  <c r="M66" i="43"/>
  <c r="N66" i="43" s="1"/>
  <c r="C70" i="71"/>
  <c r="D70" i="71" s="1"/>
  <c r="D71" i="71"/>
  <c r="C44" i="71"/>
  <c r="D43" i="71"/>
  <c r="S12" i="34"/>
  <c r="AA12" i="34"/>
  <c r="G5" i="3"/>
  <c r="B3" i="3" s="1"/>
  <c r="E59" i="3" s="1"/>
  <c r="E11" i="71"/>
  <c r="E10" i="71" s="1"/>
  <c r="E9" i="71" s="1"/>
  <c r="E8" i="71" s="1"/>
  <c r="E7" i="71" s="1"/>
  <c r="E6" i="71" s="1"/>
  <c r="E5" i="71" s="1"/>
  <c r="V12" i="71"/>
  <c r="BA5" i="3"/>
  <c r="K63" i="43"/>
  <c r="J63" i="43" s="1"/>
  <c r="M63" i="43"/>
  <c r="N63" i="43" s="1"/>
  <c r="D75" i="71"/>
  <c r="C74" i="71"/>
  <c r="D74" i="71" s="1"/>
  <c r="AZ89" i="3"/>
  <c r="E265" i="3"/>
  <c r="E473" i="3"/>
  <c r="AB39" i="40"/>
  <c r="U39" i="40"/>
  <c r="AC9" i="34"/>
  <c r="W9" i="34"/>
  <c r="BL5" i="3"/>
  <c r="K68" i="43"/>
  <c r="J68" i="43" s="1"/>
  <c r="D68" i="43" s="1"/>
  <c r="M68" i="43"/>
  <c r="N68" i="43" s="1"/>
  <c r="K61" i="43"/>
  <c r="M61" i="43"/>
  <c r="N61" i="43" s="1"/>
  <c r="AZ5" i="3"/>
  <c r="K65" i="43"/>
  <c r="J65" i="43" s="1"/>
  <c r="M65" i="43"/>
  <c r="N65" i="43" s="1"/>
  <c r="K62" i="43"/>
  <c r="M62" i="43"/>
  <c r="N62" i="43" s="1"/>
  <c r="D63" i="71"/>
  <c r="C64" i="71"/>
  <c r="E51" i="3"/>
  <c r="E64" i="3"/>
  <c r="E286" i="3"/>
  <c r="E491" i="3"/>
  <c r="AA23" i="36"/>
  <c r="S23" i="36"/>
  <c r="C19" i="71"/>
  <c r="D20" i="71"/>
  <c r="U20" i="71" s="1"/>
  <c r="T20" i="71"/>
  <c r="D18" i="53"/>
  <c r="B35" i="72"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E250" i="3" l="1"/>
  <c r="E39" i="3"/>
  <c r="J62" i="43"/>
  <c r="D62" i="43"/>
  <c r="E56" i="3"/>
  <c r="E484" i="3"/>
  <c r="B11" i="71"/>
  <c r="B10" i="71" s="1"/>
  <c r="B9" i="71" s="1"/>
  <c r="B8" i="71" s="1"/>
  <c r="B7" i="71" s="1"/>
  <c r="B6" i="71" s="1"/>
  <c r="B5" i="71" s="1"/>
  <c r="S12" i="71"/>
  <c r="T36" i="71"/>
  <c r="D36" i="71"/>
  <c r="C18" i="71"/>
  <c r="D19" i="71"/>
  <c r="T64" i="71"/>
  <c r="D64" i="71"/>
  <c r="J61" i="43"/>
  <c r="D61" i="43"/>
  <c r="E510" i="3"/>
  <c r="D33" i="43"/>
  <c r="D1" i="43" s="1"/>
  <c r="E539" i="3"/>
  <c r="E536" i="3"/>
  <c r="E148" i="3"/>
  <c r="E212" i="3"/>
  <c r="E199" i="3"/>
  <c r="E575" i="3"/>
  <c r="E499" i="3"/>
  <c r="R6" i="3"/>
  <c r="E502" i="3"/>
  <c r="E442" i="3"/>
  <c r="E466" i="3"/>
  <c r="E541" i="3"/>
  <c r="E430" i="3"/>
  <c r="E449" i="3"/>
  <c r="E255" i="3"/>
  <c r="I3" i="6"/>
  <c r="AP6" i="3"/>
  <c r="E554" i="3"/>
  <c r="E517" i="3"/>
  <c r="E435" i="3"/>
  <c r="E417" i="3"/>
  <c r="E479" i="3"/>
  <c r="E37" i="3"/>
  <c r="E95" i="3"/>
  <c r="E152" i="3"/>
  <c r="E132" i="3"/>
  <c r="E192" i="3"/>
  <c r="E258" i="3"/>
  <c r="E241" i="3"/>
  <c r="E292" i="3"/>
  <c r="E363" i="3"/>
  <c r="E349" i="3"/>
  <c r="E389" i="3"/>
  <c r="E544" i="3"/>
  <c r="E76" i="3"/>
  <c r="E409" i="3"/>
  <c r="E425" i="3"/>
  <c r="E467" i="3"/>
  <c r="E46" i="3"/>
  <c r="E103" i="3"/>
  <c r="E160" i="3"/>
  <c r="E142" i="3"/>
  <c r="E200" i="3"/>
  <c r="E267" i="3"/>
  <c r="E249" i="3"/>
  <c r="E300" i="3"/>
  <c r="E371" i="3"/>
  <c r="E310" i="3"/>
  <c r="E492" i="3"/>
  <c r="E23" i="3"/>
  <c r="E33" i="3"/>
  <c r="E144" i="3"/>
  <c r="E184" i="3"/>
  <c r="E233" i="3"/>
  <c r="E355" i="3"/>
  <c r="E381" i="3"/>
  <c r="E68" i="3"/>
  <c r="E63" i="3"/>
  <c r="E81" i="3"/>
  <c r="E118" i="3"/>
  <c r="E283" i="3"/>
  <c r="E309" i="3"/>
  <c r="E513" i="3"/>
  <c r="E21" i="3"/>
  <c r="E140" i="3"/>
  <c r="E525" i="3"/>
  <c r="E469" i="3"/>
  <c r="E556" i="3"/>
  <c r="E470" i="3"/>
  <c r="E41" i="3"/>
  <c r="E281" i="3"/>
  <c r="AL6" i="3"/>
  <c r="E75" i="3"/>
  <c r="E96" i="3"/>
  <c r="E220" i="3"/>
  <c r="E342" i="3"/>
  <c r="E49"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31" i="3"/>
  <c r="E187" i="3"/>
  <c r="E155" i="3"/>
  <c r="E240" i="3"/>
  <c r="E297" i="3"/>
  <c r="E259" i="3"/>
  <c r="E348" i="3"/>
  <c r="E378" i="3"/>
  <c r="E375" i="3"/>
  <c r="E504" i="3"/>
  <c r="E58" i="3"/>
  <c r="E110" i="3"/>
  <c r="E462" i="3"/>
  <c r="E446" i="3"/>
  <c r="E47" i="3"/>
  <c r="E98" i="3"/>
  <c r="E65" i="3"/>
  <c r="E138" i="3"/>
  <c r="E195" i="3"/>
  <c r="E163" i="3"/>
  <c r="E248" i="3"/>
  <c r="E209" i="3"/>
  <c r="E266" i="3"/>
  <c r="E307" i="3"/>
  <c r="E386" i="3"/>
  <c r="E354" i="3"/>
  <c r="E584" i="3"/>
  <c r="E66" i="3"/>
  <c r="E24" i="3"/>
  <c r="E48" i="3"/>
  <c r="E87" i="3"/>
  <c r="E127" i="3"/>
  <c r="E284" i="3"/>
  <c r="E341" i="3"/>
  <c r="Y6" i="3"/>
  <c r="E19" i="3"/>
  <c r="E154" i="3"/>
  <c r="E179" i="3"/>
  <c r="E222" i="3"/>
  <c r="E323" i="3"/>
  <c r="E373" i="3"/>
  <c r="E82" i="3"/>
  <c r="E205" i="3"/>
  <c r="E197" i="3"/>
  <c r="E369" i="3"/>
  <c r="T6" i="3"/>
  <c r="E405" i="3"/>
  <c r="E512" i="3"/>
  <c r="E451" i="3"/>
  <c r="E497" i="3"/>
  <c r="E494" i="3"/>
  <c r="E420" i="3"/>
  <c r="E104" i="3"/>
  <c r="E198" i="3"/>
  <c r="E225" i="3"/>
  <c r="E332" i="3"/>
  <c r="E391" i="3"/>
  <c r="E42" i="3"/>
  <c r="E428" i="3"/>
  <c r="E412" i="3"/>
  <c r="E78" i="3"/>
  <c r="E190" i="3"/>
  <c r="E275" i="3"/>
  <c r="E324" i="3"/>
  <c r="E522" i="3"/>
  <c r="E86" i="3"/>
  <c r="E206"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15" i="3"/>
  <c r="E455" i="3"/>
  <c r="E79" i="3"/>
  <c r="E38" i="3"/>
  <c r="E100" i="3"/>
  <c r="E170" i="3"/>
  <c r="E137" i="3"/>
  <c r="E194" i="3"/>
  <c r="E234" i="3"/>
  <c r="E219" i="3"/>
  <c r="E299" i="3"/>
  <c r="E339" i="3"/>
  <c r="E325" i="3"/>
  <c r="E392" i="3"/>
  <c r="AQ6" i="3"/>
  <c r="E52" i="3"/>
  <c r="E36" i="3"/>
  <c r="E112" i="3"/>
  <c r="E147" i="3"/>
  <c r="E289" i="3"/>
  <c r="E340" i="3"/>
  <c r="E364" i="3"/>
  <c r="E50" i="3"/>
  <c r="E20" i="3"/>
  <c r="E62" i="3"/>
  <c r="E176" i="3"/>
  <c r="E218" i="3"/>
  <c r="E365" i="3"/>
  <c r="E524" i="3"/>
  <c r="E101" i="3"/>
  <c r="E296" i="3"/>
  <c r="E173" i="3"/>
  <c r="E534" i="3"/>
  <c r="E456" i="3"/>
  <c r="E408" i="3"/>
  <c r="E360" i="3"/>
  <c r="E13" i="3"/>
  <c r="E452" i="3"/>
  <c r="E26" i="3"/>
  <c r="E115" i="3"/>
  <c r="E139" i="3"/>
  <c r="E243" i="3"/>
  <c r="E356" i="3"/>
  <c r="E94" i="3"/>
  <c r="E482" i="3"/>
  <c r="E18" i="3"/>
  <c r="E129" i="3"/>
  <c r="E174" i="3"/>
  <c r="E235" i="3"/>
  <c r="E383" i="3"/>
  <c r="E35" i="3"/>
  <c r="E34" i="3"/>
  <c r="AF6" i="3"/>
  <c r="E158" i="3"/>
  <c r="E22" i="3"/>
  <c r="E232" i="3"/>
  <c r="E102" i="3"/>
  <c r="E287" i="3"/>
  <c r="E83" i="3"/>
  <c r="E251" i="3"/>
  <c r="E80" i="3"/>
  <c r="E308" i="3"/>
  <c r="E370" i="3"/>
  <c r="E113" i="3"/>
  <c r="E326"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21"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88" i="3"/>
  <c r="T44" i="71"/>
  <c r="D44" i="71"/>
  <c r="E67" i="3"/>
  <c r="E123" i="3"/>
  <c r="J66" i="43"/>
  <c r="D66" i="43"/>
  <c r="E264" i="3"/>
  <c r="D40" i="71"/>
  <c r="T40" i="71"/>
  <c r="E84" i="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C29" i="68"/>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15"/>
  <c r="M27" i="67"/>
  <c r="F41" i="15"/>
  <c r="C17" i="71" l="1"/>
  <c r="D18" i="71"/>
  <c r="AC6" i="3"/>
  <c r="E6" i="3" s="1"/>
  <c r="E61" i="43"/>
  <c r="B59" i="43" s="1"/>
  <c r="C28" i="43" s="1"/>
  <c r="D45" i="68"/>
  <c r="D27" i="68"/>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C26" i="68"/>
  <c r="C26" i="12"/>
  <c r="D25" i="12" s="1"/>
  <c r="C44" i="11"/>
  <c r="D41" i="11" s="1"/>
  <c r="C23" i="11"/>
  <c r="C24" i="11"/>
  <c r="C26" i="11"/>
  <c r="D22" i="11" s="1"/>
  <c r="C34" i="9"/>
  <c r="C66" i="67"/>
  <c r="C60" i="67"/>
  <c r="D10" i="69"/>
  <c r="C34" i="69"/>
  <c r="D10" i="68"/>
  <c r="C17" i="15"/>
  <c r="C17" i="67"/>
  <c r="C14" i="67"/>
  <c r="T13" i="43" l="1"/>
  <c r="V13" i="43" s="1"/>
  <c r="T16" i="43"/>
  <c r="V16" i="43" s="1"/>
  <c r="T8" i="43"/>
  <c r="V8" i="43" s="1"/>
  <c r="T6" i="43"/>
  <c r="V6" i="43" s="1"/>
  <c r="C37" i="43"/>
  <c r="C39" i="43"/>
  <c r="T11" i="43"/>
  <c r="V11" i="43" s="1"/>
  <c r="T14" i="43"/>
  <c r="V14" i="43" s="1"/>
  <c r="T4" i="43"/>
  <c r="V4" i="43" s="1"/>
  <c r="T5" i="43"/>
  <c r="V5" i="43" s="1"/>
  <c r="C41" i="43"/>
  <c r="T9" i="43"/>
  <c r="V9" i="43" s="1"/>
  <c r="T12" i="43"/>
  <c r="V12" i="43" s="1"/>
  <c r="T3" i="43"/>
  <c r="V3" i="43" s="1"/>
  <c r="C33" i="43"/>
  <c r="T15" i="43"/>
  <c r="V15" i="43" s="1"/>
  <c r="T7" i="43"/>
  <c r="V7" i="43" s="1"/>
  <c r="T10" i="43"/>
  <c r="V10" i="43" s="1"/>
  <c r="T2" i="43"/>
  <c r="V2" i="43" s="1"/>
  <c r="C40" i="43"/>
  <c r="C42" i="43"/>
  <c r="C38" i="43"/>
  <c r="C16" i="71"/>
  <c r="D17" i="71"/>
  <c r="C25" i="11"/>
  <c r="D41" i="68"/>
  <c r="D22" i="68"/>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5" i="71" l="1"/>
  <c r="T16" i="71"/>
  <c r="D16" i="71"/>
  <c r="E33" i="43"/>
  <c r="C34" i="43"/>
  <c r="E34" i="43" s="1"/>
  <c r="E41" i="43"/>
  <c r="G41" i="43"/>
  <c r="I41" i="43" s="1"/>
  <c r="G40" i="43"/>
  <c r="I40" i="43" s="1"/>
  <c r="E40" i="43"/>
  <c r="E38" i="43"/>
  <c r="G38" i="43"/>
  <c r="I38" i="43" s="1"/>
  <c r="E39" i="43"/>
  <c r="G39" i="43"/>
  <c r="I39" i="43" s="1"/>
  <c r="E42" i="43"/>
  <c r="G42" i="43"/>
  <c r="I42" i="43" s="1"/>
  <c r="G37" i="43"/>
  <c r="I37" i="43" s="1"/>
  <c r="E37" i="43"/>
  <c r="C8" i="68"/>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C30" i="43" l="1"/>
  <c r="M23" i="43"/>
  <c r="U16" i="71"/>
  <c r="C31" i="43"/>
  <c r="D15" i="71"/>
  <c r="C14" i="71"/>
  <c r="C18" i="12"/>
  <c r="C21" i="12"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E6" i="76"/>
  <c r="E2" i="76" l="1"/>
  <c r="D14" i="71"/>
  <c r="C13" i="71"/>
  <c r="W7" i="21"/>
  <c r="B2" i="43"/>
  <c r="C22" i="12"/>
  <c r="C30" i="12" s="1"/>
  <c r="C28" i="12" s="1"/>
  <c r="C39" i="68"/>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L67" i="39"/>
  <c r="K69" i="39"/>
  <c r="W7" i="35"/>
  <c r="J65" i="40"/>
  <c r="K63" i="40"/>
  <c r="I52" i="21"/>
  <c r="J52" i="21" s="1"/>
  <c r="U7" i="35"/>
  <c r="AB7" i="35"/>
  <c r="T38" i="35" s="1"/>
  <c r="G38" i="35" s="1"/>
  <c r="R49" i="21"/>
  <c r="E48" i="21"/>
  <c r="G52" i="21"/>
  <c r="H52" i="21" s="1"/>
  <c r="G53" i="21"/>
  <c r="H53" i="21" s="1"/>
  <c r="F7" i="35"/>
  <c r="B6" i="76"/>
  <c r="M21" i="15"/>
  <c r="F35" i="67"/>
  <c r="F35" i="15"/>
  <c r="M21" i="67"/>
  <c r="B2" i="76" l="1"/>
  <c r="B3" i="76" s="1"/>
  <c r="D13" i="71"/>
  <c r="C12" i="71"/>
  <c r="C6" i="68"/>
  <c r="B3" i="43"/>
  <c r="C43" i="68"/>
  <c r="C27" i="12"/>
  <c r="C25" i="12" s="1"/>
  <c r="C32" i="12" s="1"/>
  <c r="B2" i="12" s="1"/>
  <c r="B3" i="12" s="1"/>
  <c r="C45" i="68"/>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68" l="1"/>
  <c r="C11" i="71"/>
  <c r="T12" i="71"/>
  <c r="D12" i="71"/>
  <c r="U12" i="71" s="1"/>
  <c r="C41"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5" i="68"/>
  <c r="C49"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23" i="68" l="1"/>
  <c r="C20" i="68"/>
  <c r="C28" i="68" s="1"/>
  <c r="C51" i="68"/>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6"/>
  <c r="D2" i="37"/>
  <c r="C8" i="71" l="1"/>
  <c r="D9" i="71"/>
  <c r="C27" i="68"/>
  <c r="C25" i="68"/>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1" i="1"/>
  <c r="AO6" i="1"/>
  <c r="AO12" i="1"/>
  <c r="AO8" i="1"/>
  <c r="AO10" i="1"/>
  <c r="AO9" i="1"/>
  <c r="C22" i="68" l="1"/>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C31" i="68"/>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52" i="68" l="1"/>
  <c r="D6" i="71"/>
  <c r="C5" i="71"/>
  <c r="D5" i="71" s="1"/>
  <c r="M24" i="43" s="1"/>
  <c r="C42" i="40"/>
  <c r="C43" i="40"/>
  <c r="E47" i="40"/>
  <c r="F47" i="40" s="1"/>
  <c r="E46" i="40"/>
  <c r="F46" i="40" s="1"/>
  <c r="I47" i="40"/>
  <c r="J47" i="40" s="1"/>
  <c r="C57" i="68" l="1"/>
  <c r="C56" i="68" s="1"/>
  <c r="B2" i="68"/>
  <c r="F55" i="68" s="1"/>
  <c r="F56" i="68" s="1"/>
  <c r="B58" i="40"/>
  <c r="F58" i="40" s="1"/>
  <c r="B54" i="40"/>
  <c r="F54" i="40" s="1"/>
  <c r="B53" i="40"/>
  <c r="F53" i="40" s="1"/>
  <c r="B59" i="40"/>
  <c r="F59" i="40" s="1"/>
  <c r="B52" i="40"/>
  <c r="F52" i="40" s="1"/>
  <c r="B56" i="40"/>
  <c r="F56" i="40" s="1"/>
  <c r="B60" i="40"/>
  <c r="F60" i="40" s="1"/>
  <c r="B57" i="40"/>
  <c r="F57" i="40" s="1"/>
  <c r="B51" i="40"/>
  <c r="F51" i="40" s="1"/>
  <c r="F61" i="40"/>
  <c r="B2" i="40" s="1"/>
  <c r="B3" i="40" s="1"/>
  <c r="B3" i="68" l="1"/>
  <c r="E14" i="74"/>
  <c r="F14" i="74"/>
  <c r="B5" i="74"/>
  <c r="D5" i="74" s="1"/>
  <c r="B6" i="74" l="1"/>
  <c r="D6" i="74" s="1"/>
  <c r="N58" i="9" l="1"/>
  <c r="P57" i="9"/>
  <c r="C105" i="9"/>
  <c r="I4" i="52"/>
  <c r="D52" i="9"/>
  <c r="D53" i="9"/>
  <c r="M48" i="9"/>
  <c r="B32" i="72"/>
  <c r="B47" i="72"/>
  <c r="B53" i="72"/>
  <c r="C5" i="74"/>
  <c r="D54" i="9"/>
  <c r="B31" i="72"/>
  <c r="B20" i="72"/>
  <c r="B49" i="72"/>
  <c r="D8" i="52"/>
  <c r="C104" i="9"/>
  <c r="H4" i="52"/>
  <c r="D123" i="9"/>
  <c r="D9" i="52"/>
  <c r="C6" i="74"/>
  <c r="D15" i="53"/>
  <c r="D4" i="52"/>
  <c r="C81" i="9"/>
  <c r="B30" i="72"/>
  <c r="D14" i="53"/>
  <c r="H102" i="9"/>
  <c r="D7" i="53"/>
  <c r="B21" i="72"/>
  <c r="N61" i="9"/>
  <c r="N57" i="9"/>
  <c r="N59" i="9"/>
  <c r="N60" i="9"/>
  <c r="C96" i="9"/>
  <c r="E96" i="9"/>
  <c r="E97" i="9"/>
  <c r="C80" i="9"/>
  <c r="E80" i="9"/>
  <c r="E81" i="9"/>
  <c r="D56" i="9"/>
  <c r="M54" i="9"/>
  <c r="D5" i="53"/>
  <c r="D6" i="53"/>
  <c r="B22" i="72"/>
  <c r="C68" i="9"/>
  <c r="F119" i="9"/>
  <c r="F5" i="52"/>
  <c r="E4" i="52"/>
  <c r="B48" i="72"/>
  <c r="C85" i="9"/>
  <c r="C95" i="9"/>
  <c r="C97" i="9"/>
  <c r="D58" i="9"/>
  <c r="H119" i="9"/>
  <c r="H5" i="52"/>
  <c r="G4" i="52"/>
  <c r="B52" i="72"/>
  <c r="E118" i="9"/>
  <c r="D118" i="9"/>
  <c r="D119" i="9"/>
  <c r="D5" i="52"/>
  <c r="D122" i="9"/>
  <c r="D13" i="53"/>
  <c r="H107" i="9"/>
  <c r="H108" i="9"/>
  <c r="G118" i="9"/>
  <c r="F118" i="9"/>
  <c r="F4" i="52"/>
  <c r="B51" i="72"/>
  <c r="C93" i="9"/>
  <c r="C86" i="9"/>
  <c r="C78" i="9"/>
  <c r="C73" i="9"/>
  <c r="C72" i="9"/>
  <c r="C79" i="9"/>
  <c r="D55" i="9"/>
  <c r="M53" i="9"/>
  <c r="I118" i="9"/>
  <c r="H118" i="9"/>
  <c r="H101" i="9"/>
  <c r="D45" i="9"/>
  <c r="C64" i="9"/>
  <c r="C63" i="9"/>
  <c r="C67" i="9"/>
  <c r="D59" i="9"/>
  <c r="M5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<sst xmlns="http://schemas.openxmlformats.org/spreadsheetml/2006/main" count="7811" uniqueCount="3409">
  <si>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</si>
  <si>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</si>
  <si>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</si>
  <si>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</si>
  <si>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</si>
  <si>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</si>
  <si>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</si>
  <si>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</si>
  <si>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</si>
  <si>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</si>
  <si>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</si>
  <si>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</si>
  <si>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</si>
  <si>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</si>
  <si>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</si>
  <si>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</si>
  <si>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</si>
  <si>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</si>
  <si>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</si>
  <si>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</si>
  <si>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</si>
  <si>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</si>
  <si>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</si>
  <si>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</si>
  <si>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</si>
  <si>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</si>
  <si>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</si>
  <si>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</si>
  <si>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</si>
  <si>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</si>
  <si>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</si>
  <si>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</si>
  <si>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</si>
  <si>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</si>
  <si>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</si>
  <si>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</si>
  <si>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</si>
  <si>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</si>
  <si>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</si>
  <si>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</si>
  <si>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</si>
  <si>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</si>
  <si>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</si>
  <si>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</si>
  <si>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</si>
  <si>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</si>
  <si>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</si>
  <si>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</si>
  <si>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</si>
  <si>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</si>
  <si>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</si>
  <si>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</si>
  <si>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</si>
  <si>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</si>
  <si>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</si>
  <si>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</si>
  <si>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</si>
  <si>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</si>
  <si>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</si>
  <si>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</si>
  <si>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</si>
  <si>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</si>
  <si>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</si>
  <si>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</si>
  <si>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</si>
  <si>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</si>
  <si>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</si>
  <si>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</si>
  <si>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</si>
  <si>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</si>
  <si>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</si>
  <si>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</si>
  <si>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</si>
  <si>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</si>
  <si>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</si>
  <si>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</si>
  <si>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</si>
  <si>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</si>
  <si>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</si>
  <si>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</si>
  <si>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</si>
  <si>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</si>
  <si>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</si>
  <si>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</si>
  <si>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</si>
  <si>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</si>
  <si>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</si>
  <si>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</si>
  <si>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</si>
  <si>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</si>
  <si>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</si>
  <si>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</si>
  <si>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</si>
  <si>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</si>
  <si>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</si>
  <si>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</si>
  <si>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</si>
  <si>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</si>
  <si>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</si>
  <si>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</si>
  <si>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</si>
  <si>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</si>
  <si>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</si>
  <si>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</si>
  <si>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</si>
  <si>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</si>
  <si>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</si>
  <si>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</si>
  <si>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</si>
  <si>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</si>
  <si>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</si>
  <si>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</si>
  <si>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</si>
  <si>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</si>
  <si>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</si>
  <si>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</si>
  <si>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</si>
  <si>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</si>
  <si>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</si>
  <si>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</si>
  <si>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</si>
  <si>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</si>
  <si>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</si>
  <si>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</si>
  <si>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</si>
  <si>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</si>
  <si>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</si>
  <si>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</si>
  <si>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</si>
  <si>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</si>
  <si>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</si>
  <si>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</si>
  <si>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</si>
  <si>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</si>
  <si>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</si>
  <si>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</si>
  <si>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</si>
  <si>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</si>
  <si>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</si>
  <si>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</si>
  <si>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</si>
  <si>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</si>
  <si>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</si>
  <si>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</si>
  <si>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</si>
  <si>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</si>
  <si>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</si>
  <si>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</si>
  <si>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</si>
  <si>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</si>
  <si>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</si>
  <si>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</si>
  <si>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</si>
  <si>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</si>
  <si>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</si>
  <si>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</si>
  <si>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</si>
  <si>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</si>
  <si>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</si>
  <si>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</si>
  <si>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</si>
  <si>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</si>
  <si>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</si>
  <si>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</si>
  <si>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</si>
  <si>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</si>
  <si>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</si>
  <si>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</si>
  <si>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</si>
  <si>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</si>
  <si>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</si>
  <si>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</si>
  <si>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</si>
  <si>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</si>
  <si>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</si>
  <si>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</si>
  <si>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</si>
  <si>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</si>
  <si>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</si>
  <si>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</si>
  <si>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</si>
  <si>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</si>
  <si>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</si>
  <si>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</si>
  <si>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</si>
  <si>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</si>
  <si>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</si>
  <si>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</si>
  <si>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</si>
  <si>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</si>
  <si>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</si>
  <si>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</si>
  <si>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</si>
  <si>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</si>
  <si>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</si>
  <si>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</si>
  <si>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</si>
  <si>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</si>
  <si>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</si>
  <si>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</si>
  <si>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</si>
  <si>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</si>
  <si>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</si>
  <si>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</si>
  <si>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</si>
  <si>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</si>
  <si>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</si>
  <si>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</si>
  <si>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</si>
  <si>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</si>
  <si>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</si>
  <si>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</si>
  <si>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</si>
  <si>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</si>
  <si>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</si>
  <si>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</si>
  <si>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</si>
  <si>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</si>
  <si>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</si>
  <si>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</si>
  <si>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</si>
  <si>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</si>
  <si>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</si>
  <si>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</si>
  <si>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</si>
  <si>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</si>
  <si>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</si>
  <si>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</si>
  <si>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</si>
  <si>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</si>
  <si>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</si>
  <si>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</si>
  <si>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</si>
  <si>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</si>
  <si>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</si>
  <si>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</si>
  <si>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</si>
  <si>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</si>
  <si>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</si>
  <si>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</si>
  <si>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</si>
  <si>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</si>
  <si>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</si>
  <si>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</si>
  <si>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</si>
  <si>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</si>
  <si>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</si>
  <si>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</si>
  <si>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</si>
  <si>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</si>
  <si>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</si>
  <si>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</si>
  <si>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</si>
  <si>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</si>
  <si>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</si>
  <si>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</si>
  <si>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</si>
  <si>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</si>
  <si>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</si>
  <si>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</si>
  <si>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</si>
  <si>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</si>
  <si>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</si>
  <si>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</si>
  <si>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</si>
  <si>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</si>
  <si>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</si>
  <si>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</si>
  <si>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</si>
  <si>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</si>
  <si>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</si>
  <si>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</si>
  <si>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</si>
  <si>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</si>
  <si>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</si>
  <si>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</si>
  <si>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</si>
  <si>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</si>
  <si>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</si>
  <si>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</si>
  <si>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</si>
  <si>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</si>
  <si>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</si>
  <si>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</si>
  <si>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</si>
  <si>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</si>
  <si>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</si>
  <si>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</si>
  <si>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</si>
  <si>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</si>
  <si>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</si>
  <si>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</si>
  <si>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</si>
  <si>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</si>
  <si>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</si>
  <si>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</si>
  <si>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</si>
  <si>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</si>
  <si>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</si>
  <si>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</si>
  <si>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</si>
  <si>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</si>
  <si>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</si>
  <si>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</si>
  <si>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</si>
  <si>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</si>
  <si>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</si>
  <si>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</si>
  <si>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</si>
  <si>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</si>
  <si>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</si>
  <si>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</si>
  <si>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</si>
  <si>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</si>
  <si>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</si>
  <si>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</si>
  <si>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</si>
  <si>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</si>
  <si>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</si>
  <si>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</si>
  <si>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</si>
  <si>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</si>
  <si>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</si>
  <si>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</si>
  <si>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</si>
  <si>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</si>
  <si>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</si>
  <si>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</si>
  <si>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</si>
  <si>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</si>
  <si>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</si>
  <si>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</si>
  <si>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</si>
  <si>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</si>
  <si>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</si>
  <si>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</si>
  <si>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</si>
  <si>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</si>
  <si>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</si>
  <si>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</si>
  <si>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</si>
  <si>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</si>
  <si>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</si>
  <si>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</si>
  <si>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</si>
  <si>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</si>
  <si>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</si>
  <si>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</si>
  <si>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</si>
  <si>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</si>
  <si>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</si>
  <si>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</si>
  <si>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</si>
  <si>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</si>
  <si>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</si>
  <si>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</si>
  <si>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</si>
  <si>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</si>
  <si>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</si>
  <si>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</si>
  <si>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</si>
  <si>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</si>
  <si>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</si>
  <si>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</si>
  <si>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</si>
  <si>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</si>
  <si>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</si>
  <si>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</si>
  <si>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</si>
  <si>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</si>
  <si>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</si>
  <si>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</si>
  <si>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</si>
  <si>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</si>
  <si>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</si>
  <si>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</si>
  <si>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</si>
  <si>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</si>
  <si>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</si>
  <si>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</si>
  <si>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</si>
  <si>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</si>
  <si>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</si>
  <si>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</si>
  <si>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</si>
  <si>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</si>
  <si>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</si>
  <si>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</si>
  <si>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</si>
  <si>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</si>
  <si>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</si>
  <si>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</si>
  <si>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</si>
  <si>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</si>
  <si>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</si>
  <si>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</si>
  <si>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</si>
  <si>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</si>
  <si>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</si>
  <si>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</si>
  <si>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</si>
  <si>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</si>
  <si>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</si>
  <si>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</si>
  <si>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</si>
  <si>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</si>
  <si>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</si>
  <si>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</si>
  <si>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</si>
  <si>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</si>
  <si>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</si>
  <si>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</si>
  <si>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</si>
  <si>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</si>
  <si>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</si>
  <si>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</si>
  <si>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</si>
  <si>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</si>
  <si>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</si>
  <si>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</si>
  <si>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</si>
  <si>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</si>
  <si>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</si>
  <si>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</si>
  <si>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</si>
  <si>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</si>
  <si>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</si>
  <si>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</si>
  <si>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</si>
  <si>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</si>
  <si>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</si>
  <si>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</si>
  <si>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</si>
  <si>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</si>
  <si>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</si>
  <si>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</si>
  <si>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</si>
  <si>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</si>
  <si>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</si>
  <si>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</si>
  <si>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</si>
  <si>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</si>
  <si>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</si>
  <si>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</si>
  <si>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</si>
  <si>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</si>
  <si>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</si>
  <si>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</si>
  <si>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</si>
  <si>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</si>
  <si>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</si>
  <si>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</si>
  <si>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</si>
  <si>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</si>
  <si>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</si>
  <si>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</si>
  <si>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</si>
  <si>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</si>
  <si>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</si>
  <si>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</si>
  <si>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</si>
  <si>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</si>
  <si>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</si>
  <si>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</si>
  <si>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</si>
  <si>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</si>
  <si>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</si>
  <si>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</si>
  <si>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</si>
  <si>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</si>
  <si>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</si>
  <si>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</si>
  <si>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</si>
  <si>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</si>
  <si>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</si>
  <si>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</si>
  <si>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</si>
  <si>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</si>
  <si>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</si>
  <si>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</si>
  <si>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</si>
  <si>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</si>
  <si>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</si>
  <si>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</si>
  <si>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</si>
  <si>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</si>
  <si>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</si>
  <si>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</si>
  <si>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</si>
  <si>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</si>
  <si>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</si>
  <si>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</si>
  <si>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</si>
  <si>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</si>
  <si>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</si>
  <si>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</si>
  <si>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</si>
  <si>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</si>
  <si>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</si>
  <si>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</si>
  <si>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</si>
  <si>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</si>
  <si>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</si>
  <si>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</si>
  <si>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</si>
  <si>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</si>
  <si>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</si>
  <si>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</si>
  <si>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</si>
  <si>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</si>
  <si>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</si>
  <si>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</si>
  <si>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</si>
  <si>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</si>
  <si>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</si>
  <si>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</si>
  <si>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</si>
  <si>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</si>
  <si>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</si>
  <si>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</si>
  <si>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</si>
  <si>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</si>
  <si>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</si>
  <si>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</si>
  <si>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</si>
  <si>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</si>
  <si>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</si>
  <si>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</si>
  <si>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</si>
  <si>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</si>
  <si>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</si>
  <si>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</si>
  <si>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</si>
  <si>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</si>
  <si>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</si>
  <si>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</si>
  <si>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</si>
  <si>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</si>
  <si>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</si>
  <si>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</si>
  <si>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</si>
  <si>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</si>
  <si>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</si>
  <si>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</si>
  <si>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</si>
  <si>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</si>
  <si>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</si>
  <si>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</si>
  <si>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</si>
  <si>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</si>
  <si>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</si>
  <si>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</si>
  <si>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</si>
  <si>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</si>
  <si>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</si>
  <si>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</si>
  <si>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</si>
  <si>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</si>
  <si>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</si>
  <si>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</si>
  <si>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</si>
  <si>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</si>
  <si>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</si>
  <si>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</si>
  <si>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</si>
  <si>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</si>
  <si>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</si>
  <si>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</si>
  <si>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</si>
  <si>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</si>
  <si>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</si>
  <si>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</si>
  <si>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</si>
  <si>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</si>
  <si>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</si>
  <si>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</si>
  <si>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</si>
  <si>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</si>
  <si>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</si>
  <si>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</si>
  <si>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</si>
  <si>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</si>
  <si>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</si>
  <si>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</si>
  <si>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</si>
  <si>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</si>
  <si>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</si>
  <si>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</si>
  <si>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</si>
  <si>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</si>
  <si>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</si>
  <si>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</si>
  <si>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</si>
  <si>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</si>
  <si>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</si>
  <si>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</si>
  <si>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</si>
  <si>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</si>
  <si>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</si>
  <si>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</si>
  <si>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</si>
  <si>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</si>
  <si>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</si>
  <si>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</si>
  <si>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</si>
  <si>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</si>
  <si>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</si>
  <si>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</si>
  <si>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</si>
  <si>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</si>
  <si>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</si>
  <si>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</si>
  <si>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</si>
  <si>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</si>
  <si>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</si>
  <si>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</si>
  <si>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</si>
  <si>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</si>
  <si>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</si>
  <si>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</si>
  <si>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</si>
  <si>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</si>
  <si>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</si>
  <si>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</si>
  <si>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</si>
  <si>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</si>
  <si>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</si>
  <si>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</si>
  <si>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</si>
  <si>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</si>
  <si>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</si>
  <si>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</si>
  <si>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</si>
  <si>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</si>
  <si>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</si>
  <si>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</si>
  <si>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</si>
  <si>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</si>
  <si>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</si>
  <si>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</si>
  <si>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</si>
  <si>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</si>
  <si>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</si>
  <si>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</si>
  <si>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</si>
  <si>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</si>
  <si>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</si>
  <si>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</si>
  <si>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</si>
  <si>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</si>
  <si>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</si>
  <si>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</si>
  <si>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</si>
  <si>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</si>
  <si>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</si>
  <si>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</si>
  <si>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</si>
  <si>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</si>
  <si>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</si>
  <si>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</si>
  <si>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</si>
  <si>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</si>
  <si>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</si>
  <si>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</si>
  <si>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</si>
  <si>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</si>
  <si>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</si>
  <si>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</si>
  <si>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</si>
  <si>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</si>
  <si>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</si>
  <si>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</si>
  <si>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</si>
  <si>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</si>
  <si>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</si>
  <si>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</si>
  <si>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</si>
  <si>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</si>
  <si>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</si>
  <si>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</si>
  <si>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</si>
  <si>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</si>
  <si>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</si>
  <si>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</si>
  <si>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</si>
  <si>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</si>
  <si>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</si>
  <si>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</si>
  <si>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</si>
  <si>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</si>
  <si>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</si>
  <si>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</si>
  <si>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</si>
  <si>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</si>
  <si>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</si>
  <si>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</si>
  <si>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</si>
  <si>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</si>
  <si>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</si>
  <si>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</si>
  <si>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</si>
  <si>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</si>
  <si>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</si>
  <si>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</si>
  <si>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</si>
  <si>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</si>
  <si>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</si>
  <si>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</si>
  <si>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</si>
  <si>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</si>
  <si>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</si>
  <si>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</si>
  <si>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</si>
  <si>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</si>
  <si>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</si>
  <si>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</si>
  <si>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</si>
  <si>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</si>
  <si>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</si>
  <si>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</si>
  <si>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</si>
  <si>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</si>
  <si>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</si>
  <si>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</si>
  <si>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</si>
  <si>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</si>
  <si>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</si>
  <si>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</si>
  <si>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</si>
  <si>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</si>
  <si>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</si>
  <si>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</si>
  <si>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</si>
  <si>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</si>
  <si>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</si>
  <si>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</si>
  <si>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</si>
  <si>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</si>
  <si>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</si>
  <si>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</si>
  <si>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</si>
  <si>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</si>
  <si>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</si>
  <si>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</si>
  <si>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</si>
  <si>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</si>
  <si>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</si>
  <si>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</si>
  <si>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</si>
  <si>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</si>
  <si>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</si>
  <si>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</si>
  <si>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</si>
  <si>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</si>
  <si>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</si>
  <si>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</si>
  <si>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</si>
  <si>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</si>
  <si>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</si>
  <si>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</si>
  <si>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</si>
  <si>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</si>
  <si>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</si>
  <si>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</si>
  <si>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</si>
  <si>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</si>
  <si>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</si>
  <si>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</si>
  <si>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</si>
  <si>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</si>
  <si>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</si>
  <si>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</si>
  <si>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</si>
  <si>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</si>
  <si>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</si>
  <si>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</si>
  <si>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</si>
  <si>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</si>
  <si>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</si>
  <si>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</si>
  <si>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</si>
  <si>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</si>
  <si>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</si>
  <si>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</si>
  <si>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</si>
  <si>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</si>
  <si>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</si>
  <si>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</si>
  <si>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</si>
  <si>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</si>
  <si>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</si>
  <si>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</si>
  <si>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</si>
  <si>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</si>
  <si>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</si>
  <si>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</si>
  <si>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</si>
  <si>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</si>
  <si>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</si>
  <si>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</si>
  <si>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</si>
  <si>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</si>
  <si>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</si>
  <si>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</si>
  <si>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</si>
  <si>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</si>
  <si>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</si>
  <si>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</si>
  <si>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</si>
  <si>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</si>
  <si>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</si>
  <si>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</si>
  <si>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</si>
  <si>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</si>
  <si>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</si>
  <si>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</si>
  <si>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</si>
  <si>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</si>
  <si>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</si>
  <si>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</si>
  <si>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</si>
  <si>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</si>
  <si>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</si>
  <si>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</si>
  <si>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</si>
  <si>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</si>
  <si>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</si>
  <si>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</si>
  <si>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</si>
  <si>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</si>
  <si>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</si>
  <si>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</si>
  <si>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</si>
  <si>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</si>
  <si>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</si>
  <si>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</si>
  <si>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</si>
  <si>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</si>
  <si>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</si>
  <si>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</si>
  <si>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</si>
  <si>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</si>
  <si>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</si>
  <si>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</si>
  <si>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</si>
  <si>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</si>
  <si>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</si>
  <si>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</si>
  <si>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</si>
  <si>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</si>
  <si>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</si>
  <si>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</si>
  <si>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</si>
  <si>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</si>
  <si>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</si>
  <si>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</si>
  <si>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</si>
  <si>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</si>
  <si>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</si>
  <si>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</si>
  <si>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</si>
  <si>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</si>
  <si>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</si>
  <si>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</si>
  <si>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</si>
  <si>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</si>
  <si>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</si>
  <si>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</si>
  <si>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</si>
  <si>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</si>
  <si>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</si>
  <si>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</si>
  <si>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</si>
  <si>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</si>
  <si>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</si>
  <si>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</si>
  <si>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</si>
  <si>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</si>
  <si>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</si>
  <si>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</si>
  <si>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</si>
  <si>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</si>
  <si>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</si>
  <si>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</si>
  <si>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</si>
  <si>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</si>
  <si>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</si>
  <si>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</si>
  <si>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</si>
  <si>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</si>
  <si>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</si>
  <si>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</si>
  <si>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</si>
  <si>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</si>
  <si>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</si>
  <si>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</si>
  <si>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</si>
  <si>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</si>
  <si>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</si>
  <si>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</si>
  <si>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</si>
  <si>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</si>
  <si>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</si>
  <si>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</si>
  <si>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</si>
  <si>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</si>
  <si>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</si>
  <si>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</si>
  <si>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</si>
  <si>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</si>
  <si>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</si>
  <si>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</si>
  <si>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</si>
  <si>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</si>
  <si>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</si>
  <si>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</si>
  <si>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</si>
  <si>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</si>
  <si>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</si>
  <si>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</si>
  <si>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</si>
  <si>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</si>
  <si>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</si>
  <si>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</si>
  <si>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</si>
  <si>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</si>
  <si>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</si>
  <si>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</si>
  <si>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</si>
  <si>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</si>
  <si>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</si>
  <si>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</si>
  <si>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</si>
  <si>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</si>
  <si>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</si>
  <si>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</si>
  <si>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</si>
  <si>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</si>
  <si>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</si>
  <si>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</si>
  <si>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</si>
  <si>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</si>
  <si>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</si>
  <si>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</si>
  <si>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</si>
  <si>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</si>
  <si>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</si>
  <si>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</si>
  <si>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</si>
  <si>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</si>
  <si>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</si>
  <si>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</si>
  <si>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</si>
  <si>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</si>
  <si>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</si>
  <si>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</si>
  <si>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</si>
  <si>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</si>
  <si>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</si>
  <si>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</si>
  <si>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</si>
  <si>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</si>
  <si>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</si>
  <si>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</si>
  <si>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</si>
  <si>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</si>
  <si>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</si>
  <si>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</si>
  <si>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</si>
  <si>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</si>
  <si>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</si>
  <si>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</si>
  <si>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</si>
  <si>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</si>
  <si>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</si>
  <si>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</si>
  <si>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</si>
  <si>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</si>
  <si>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</si>
  <si>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</si>
  <si>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</si>
  <si>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</si>
  <si>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</si>
  <si>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</si>
  <si>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</si>
  <si>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</si>
  <si>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</si>
  <si>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</si>
  <si>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</si>
  <si>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</si>
  <si>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</si>
  <si>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</si>
  <si>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</si>
  <si>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</si>
  <si>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</si>
  <si>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</si>
  <si>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</si>
  <si>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</si>
  <si>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</si>
  <si>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</si>
  <si>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</si>
  <si>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</si>
  <si>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</si>
  <si>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</si>
  <si>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</si>
  <si>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</si>
  <si>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</si>
  <si>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</si>
  <si>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</si>
  <si>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</si>
  <si>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</si>
  <si>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</si>
  <si>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</si>
  <si>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</si>
  <si>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</si>
  <si>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</si>
  <si>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</si>
  <si>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</si>
  <si>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</si>
  <si>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</si>
  <si>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</si>
  <si>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</si>
  <si>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</si>
  <si>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</si>
  <si>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</si>
  <si>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</si>
  <si>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</si>
  <si>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</si>
  <si>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</si>
  <si>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</si>
  <si>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</si>
  <si>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</si>
  <si>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</si>
  <si>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</si>
  <si>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</si>
  <si>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</si>
  <si>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</si>
  <si>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</si>
  <si>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</si>
  <si>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</si>
  <si>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</si>
  <si>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</si>
  <si>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</si>
  <si>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</si>
  <si>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</si>
  <si>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</si>
  <si>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</si>
  <si>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</si>
  <si>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</si>
  <si>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</si>
  <si>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</si>
  <si>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</si>
  <si>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</si>
  <si>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</si>
  <si>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</si>
  <si>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</si>
  <si>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</si>
  <si>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</si>
  <si>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</si>
  <si>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</si>
  <si>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</si>
  <si>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</si>
  <si>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</si>
  <si>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</si>
  <si>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</si>
  <si>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</si>
  <si>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</si>
  <si>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</si>
  <si>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</si>
  <si>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</si>
  <si>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</si>
  <si>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</si>
  <si>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</si>
  <si>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</si>
  <si>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</si>
  <si>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</si>
  <si>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</si>
  <si>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</si>
  <si>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</si>
  <si>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</si>
  <si>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</si>
  <si>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</si>
  <si>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</si>
  <si>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</si>
  <si>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</si>
  <si>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</si>
  <si>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</si>
  <si>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</si>
  <si>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</si>
  <si>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</si>
  <si>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</si>
  <si>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</si>
  <si>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</si>
  <si>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</si>
  <si>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</si>
  <si>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</si>
  <si>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</si>
  <si>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</si>
  <si>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</si>
  <si>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</si>
  <si>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</si>
  <si>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</si>
  <si>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</si>
  <si>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</si>
  <si>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</si>
  <si>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</si>
  <si>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</si>
  <si>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</si>
  <si>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</si>
  <si>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</si>
  <si>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</si>
  <si>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</si>
  <si>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</si>
  <si>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</si>
  <si>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</si>
  <si>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</si>
  <si>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</si>
  <si>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</si>
  <si>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</si>
  <si>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</si>
  <si>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</si>
  <si>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</si>
  <si>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</si>
  <si>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</si>
  <si>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</si>
  <si>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</si>
  <si>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</si>
  <si>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</si>
  <si>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</si>
  <si>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</si>
  <si>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</si>
  <si>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</si>
  <si>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</si>
  <si>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</si>
  <si>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</si>
  <si>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</si>
  <si>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</si>
  <si>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</si>
  <si>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</si>
  <si>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</si>
  <si>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</si>
  <si>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</si>
  <si>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</si>
  <si>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</si>
  <si>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</si>
  <si>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</si>
  <si>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</si>
  <si>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</si>
  <si>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</si>
  <si>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</si>
  <si>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</si>
  <si>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</si>
  <si>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</si>
  <si>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</si>
  <si>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</si>
  <si>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</si>
  <si>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</si>
  <si>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</si>
  <si>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</si>
  <si>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</si>
  <si>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</si>
  <si>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</si>
  <si>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</si>
  <si>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</si>
  <si>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</si>
  <si>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</si>
  <si>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</si>
  <si>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</si>
  <si>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</si>
  <si>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</si>
  <si>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</si>
  <si>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</si>
  <si>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</si>
  <si>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</si>
  <si>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</si>
  <si>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</si>
  <si>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</si>
  <si>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</si>
  <si>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</si>
  <si>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</si>
  <si>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</si>
  <si>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</si>
  <si>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</si>
  <si>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</si>
  <si>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</si>
  <si>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</si>
  <si>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</si>
  <si>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</si>
  <si>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</si>
  <si>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</si>
  <si>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</si>
  <si>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</si>
  <si>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</si>
  <si>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</si>
  <si>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</si>
  <si>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</si>
  <si>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</si>
  <si>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</si>
  <si>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</si>
  <si>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</si>
  <si>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</si>
  <si>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</si>
  <si>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</si>
  <si>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</si>
  <si>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</si>
  <si>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</si>
  <si>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</si>
  <si>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</si>
  <si>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</si>
  <si>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</si>
  <si>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</si>
  <si>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</si>
  <si>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</si>
  <si>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</si>
  <si>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</si>
  <si>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</si>
  <si>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</si>
  <si>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</si>
  <si>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</si>
  <si>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</si>
  <si>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</si>
  <si>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</si>
  <si>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</si>
  <si>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</si>
  <si>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</si>
  <si>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</si>
  <si>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</si>
  <si>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</si>
  <si>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</si>
  <si>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</si>
  <si>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</si>
  <si>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</si>
  <si>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</si>
  <si>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</si>
  <si>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</si>
  <si>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</si>
  <si>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</si>
  <si>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</si>
  <si>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</si>
  <si>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</si>
  <si>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</si>
  <si>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</si>
  <si>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</si>
  <si>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</si>
  <si>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</si>
  <si>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</si>
  <si>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</si>
  <si>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</si>
  <si>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</si>
  <si>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</si>
  <si>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</si>
  <si>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</si>
  <si>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</si>
  <si>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</si>
  <si>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</si>
  <si>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</si>
  <si>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</si>
  <si>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</si>
  <si>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</si>
  <si>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</si>
  <si>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</si>
  <si>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</si>
  <si>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</si>
  <si>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</si>
  <si>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</si>
  <si>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</si>
  <si>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</si>
  <si>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</si>
  <si>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</si>
  <si>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</si>
  <si>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</si>
  <si>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</si>
  <si>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</si>
  <si>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</si>
  <si>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</si>
  <si>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</si>
  <si>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</si>
  <si>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</si>
  <si>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</si>
  <si>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</si>
  <si>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</si>
  <si>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</si>
  <si>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</si>
  <si>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</si>
  <si>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</si>
  <si>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</si>
  <si>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</si>
  <si>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</si>
  <si>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</si>
  <si>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</si>
  <si>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</si>
  <si>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</si>
  <si>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</si>
  <si>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</si>
  <si>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</si>
  <si>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</si>
  <si>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</si>
  <si>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</si>
  <si>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</si>
  <si>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</si>
  <si>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</si>
  <si>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</si>
  <si>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</si>
  <si>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</si>
  <si>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</si>
  <si>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</si>
  <si>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</si>
  <si>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</si>
  <si>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</si>
  <si>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</si>
  <si>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</si>
  <si>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</si>
  <si>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</si>
  <si>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</si>
  <si>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</si>
  <si>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</si>
  <si>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</si>
  <si>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</si>
  <si>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</si>
  <si>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</si>
  <si>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</si>
  <si>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</si>
  <si>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</si>
  <si>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</si>
  <si>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</si>
  <si>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</si>
  <si>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</si>
  <si>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</si>
  <si>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</si>
  <si>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</si>
  <si>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</si>
  <si>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</si>
  <si>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</si>
  <si>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</si>
  <si>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</si>
  <si>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</si>
  <si>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</si>
  <si>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</si>
  <si>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</si>
  <si>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</si>
  <si>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</si>
  <si>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</si>
  <si>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</si>
  <si>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</si>
  <si>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</si>
  <si>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</si>
  <si>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</si>
  <si>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</si>
  <si>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</si>
  <si>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</si>
  <si>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</si>
  <si>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</si>
  <si>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</si>
  <si>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</si>
  <si>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</si>
  <si>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</si>
  <si>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</si>
  <si>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</si>
  <si>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</si>
  <si>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</si>
  <si>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</si>
  <si>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</si>
  <si>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</si>
  <si>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</si>
  <si>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</si>
  <si>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</si>
  <si>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</si>
  <si>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</si>
  <si>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</si>
  <si>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</si>
  <si>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</si>
  <si>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</si>
  <si>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</si>
  <si>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</si>
  <si>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</si>
  <si>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</si>
  <si>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</si>
  <si>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</si>
  <si>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</si>
  <si>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</si>
  <si>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</si>
  <si>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</si>
  <si>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</si>
  <si>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</si>
  <si>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</si>
  <si>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</si>
  <si>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</si>
  <si>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</si>
  <si>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</si>
  <si>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</si>
  <si>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</si>
  <si>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</si>
  <si>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</si>
  <si>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</si>
  <si>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</si>
  <si>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</si>
  <si>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</si>
  <si>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</si>
  <si>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</si>
  <si>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</si>
  <si>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</si>
  <si>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</si>
  <si>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</si>
  <si>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</si>
  <si>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</si>
  <si>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</si>
  <si>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</si>
  <si>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</si>
  <si>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</si>
  <si>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</si>
  <si>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</si>
  <si>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</si>
  <si>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</si>
  <si>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</si>
  <si>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</si>
  <si>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</si>
  <si>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</si>
  <si>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</si>
  <si>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</si>
  <si>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</si>
  <si>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</si>
  <si>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</si>
  <si>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</si>
  <si>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</si>
  <si>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</si>
  <si>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</si>
  <si>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</si>
  <si>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</si>
  <si>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</si>
  <si>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</si>
  <si>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</si>
  <si>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</si>
  <si>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</si>
  <si>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</si>
  <si>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</si>
  <si>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</si>
  <si>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</si>
  <si>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</si>
  <si>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</si>
  <si>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</si>
  <si>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</si>
  <si>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</si>
  <si>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</si>
  <si>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</si>
  <si>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</si>
  <si>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</si>
  <si>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</si>
  <si>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</si>
  <si>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</si>
  <si>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</si>
  <si>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</si>
  <si>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</si>
  <si>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</si>
  <si>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</si>
  <si>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</si>
  <si>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</si>
  <si>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</si>
  <si>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</si>
  <si>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</si>
  <si>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</si>
  <si>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</si>
  <si>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</si>
  <si>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</si>
  <si>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</si>
  <si>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</si>
  <si>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</si>
  <si>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</si>
  <si>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</si>
  <si>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</si>
  <si>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</si>
  <si>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</si>
  <si>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</si>
  <si>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</si>
  <si>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</si>
  <si>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</si>
  <si>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</si>
  <si>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</si>
  <si>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</si>
  <si>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</si>
  <si>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</si>
  <si>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</si>
  <si>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</si>
  <si>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</si>
  <si>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</si>
  <si>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</si>
  <si>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</si>
  <si>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</si>
  <si>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</si>
  <si>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</si>
  <si>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</si>
  <si>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</si>
  <si>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</si>
  <si>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</si>
  <si>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</si>
  <si>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</si>
  <si>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</si>
  <si>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</si>
  <si>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</si>
  <si>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</si>
  <si>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</si>
  <si>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</si>
  <si>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</si>
  <si>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</si>
  <si>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</si>
  <si>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</si>
  <si>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</si>
  <si>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</si>
  <si>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</si>
  <si>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</si>
  <si>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</si>
  <si>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</si>
  <si>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</si>
  <si>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</si>
  <si>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</si>
  <si>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</si>
  <si>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</si>
  <si>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</si>
  <si>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</si>
  <si>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</si>
  <si>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</si>
  <si>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</si>
  <si>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</si>
  <si>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</si>
  <si>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</si>
  <si>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</si>
  <si>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</si>
  <si>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</si>
  <si>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</si>
  <si>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</si>
  <si>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</si>
  <si>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</si>
  <si>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</si>
  <si>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</si>
  <si>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</si>
  <si>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</si>
  <si>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</si>
  <si>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</si>
  <si>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</si>
  <si>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</si>
  <si>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</si>
  <si>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</si>
  <si>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</si>
  <si>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</si>
  <si>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</si>
  <si>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</si>
  <si>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</si>
  <si>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</si>
  <si>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</si>
  <si>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</si>
  <si>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</si>
  <si>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</si>
  <si>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</si>
  <si>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</si>
  <si>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</si>
  <si>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</si>
  <si>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</si>
  <si>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</si>
  <si>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</si>
  <si>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</si>
  <si>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</si>
  <si>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</si>
  <si>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</si>
  <si>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</si>
  <si>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</si>
  <si>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</si>
  <si>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</si>
  <si>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</si>
  <si>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</si>
  <si>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</si>
  <si>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</si>
  <si>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</si>
  <si>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</si>
  <si>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</si>
  <si>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</si>
  <si>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</si>
  <si>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</si>
  <si>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</si>
  <si>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</si>
  <si>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</si>
  <si>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</si>
  <si>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</si>
  <si>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</si>
  <si>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</si>
  <si>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</si>
  <si>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</si>
  <si>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</si>
  <si>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</si>
  <si>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</si>
  <si>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</si>
  <si>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</si>
  <si>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</si>
  <si>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</si>
  <si>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</si>
  <si>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</si>
  <si>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</si>
  <si>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</si>
  <si>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</si>
  <si>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</si>
  <si>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</si>
  <si>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</si>
  <si>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</si>
  <si>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</si>
  <si>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</si>
  <si>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</si>
  <si>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</si>
  <si>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</si>
  <si>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</si>
  <si>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</si>
  <si>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</si>
  <si>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</si>
  <si>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</si>
  <si>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</si>
  <si>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</si>
  <si>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</si>
  <si>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</si>
  <si>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</si>
  <si>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</si>
  <si>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</si>
  <si>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</si>
  <si>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</si>
  <si>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</si>
  <si>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</si>
  <si>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</si>
  <si>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</si>
  <si>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</si>
  <si>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</si>
  <si>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</si>
  <si>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</si>
  <si>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</si>
  <si>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</si>
  <si>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</si>
  <si>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</si>
  <si>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</si>
  <si>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</si>
  <si>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</si>
  <si>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</si>
  <si>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</si>
  <si>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</si>
  <si>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</si>
  <si>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</si>
  <si>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</si>
  <si>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</si>
  <si>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</si>
  <si>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</si>
  <si>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</si>
  <si>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</si>
  <si>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</si>
  <si>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</si>
  <si>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</si>
  <si>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</si>
  <si>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</si>
  <si>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</si>
  <si>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</si>
  <si>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</si>
  <si>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</si>
  <si>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</si>
  <si>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</si>
  <si>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</si>
  <si>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</si>
  <si>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</si>
  <si>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</si>
  <si>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</si>
  <si>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</si>
  <si>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</si>
  <si>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</si>
  <si>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</si>
  <si>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</si>
  <si>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</si>
  <si>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</si>
  <si>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</si>
  <si>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</si>
  <si>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</si>
  <si>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</si>
  <si>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</si>
  <si>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</si>
  <si>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</si>
  <si>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</si>
  <si>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</si>
  <si>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</si>
  <si>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</si>
  <si>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</si>
  <si>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</si>
  <si>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</si>
  <si>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</si>
  <si>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</si>
  <si>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</si>
  <si>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</si>
  <si>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</si>
  <si>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</si>
  <si>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</si>
  <si>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</si>
  <si>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</si>
  <si>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</si>
  <si>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</si>
  <si>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</si>
  <si>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</si>
  <si>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</si>
  <si>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</si>
  <si>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</si>
  <si>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</si>
  <si>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</si>
  <si>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</si>
  <si>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</si>
  <si>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</si>
  <si>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</si>
  <si>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</si>
  <si>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</si>
  <si>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</si>
  <si>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</si>
  <si>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</si>
  <si>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</si>
  <si>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</si>
  <si>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</si>
  <si>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</si>
  <si>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</si>
  <si>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</si>
  <si>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</si>
  <si>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</si>
  <si>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</si>
  <si>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</si>
  <si>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</si>
  <si>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</si>
  <si>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</si>
  <si>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</si>
  <si>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</si>
  <si>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</si>
  <si>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</si>
  <si>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</si>
  <si>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</si>
  <si>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</si>
  <si>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</si>
  <si>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</si>
  <si>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</si>
  <si>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</si>
  <si>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</si>
  <si>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</si>
  <si>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</si>
  <si>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</si>
  <si>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</si>
  <si>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</si>
  <si>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</si>
  <si>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</si>
  <si>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</si>
  <si>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</si>
  <si>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</si>
  <si>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</si>
  <si>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</si>
  <si>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</si>
  <si>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</si>
  <si>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</si>
  <si>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</si>
  <si>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</si>
  <si>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</si>
  <si>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</si>
  <si>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</si>
  <si>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</si>
  <si>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</si>
  <si>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</si>
  <si>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</si>
  <si>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</si>
  <si>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</si>
  <si>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</si>
  <si>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</si>
  <si>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</si>
  <si>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</si>
  <si>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</si>
  <si>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</si>
  <si>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</si>
  <si>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</si>
  <si>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</si>
  <si>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</si>
  <si>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</si>
  <si>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</si>
  <si>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</si>
  <si>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</si>
  <si>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</si>
  <si>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</si>
  <si>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</si>
  <si>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</si>
  <si>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</si>
  <si>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</si>
  <si>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</si>
  <si>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</si>
  <si>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</si>
  <si>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</si>
  <si>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</si>
  <si>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</si>
  <si>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</si>
  <si>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</si>
  <si>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</si>
  <si>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</si>
  <si>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</si>
  <si>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</si>
  <si>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</si>
  <si>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</si>
  <si>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</si>
  <si>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</si>
  <si>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</si>
  <si>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</si>
  <si>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</si>
  <si>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</si>
  <si>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</si>
  <si>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</si>
  <si>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</si>
  <si>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</si>
  <si>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</si>
  <si>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</si>
  <si>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</si>
  <si>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</si>
  <si>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</si>
  <si>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</si>
  <si>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</si>
  <si>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</si>
  <si>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</si>
  <si>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</si>
  <si>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</si>
  <si>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</si>
  <si>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</si>
  <si>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</si>
  <si>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</si>
  <si>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</si>
  <si>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</si>
  <si>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</si>
  <si>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</si>
  <si>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</si>
  <si>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</si>
  <si>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</si>
  <si>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</si>
  <si>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</si>
  <si>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</si>
  <si>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</si>
  <si>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</si>
  <si>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</si>
  <si>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</si>
  <si>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</si>
  <si>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</si>
  <si>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</si>
  <si>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</si>
  <si>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</si>
  <si>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</si>
  <si>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</si>
  <si>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</si>
  <si>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</si>
  <si>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</si>
  <si>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</si>
  <si>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</si>
  <si>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</si>
  <si>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</si>
  <si>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</si>
  <si>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</si>
  <si>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</si>
  <si>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</si>
  <si>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</si>
  <si>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</si>
  <si>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</si>
  <si>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</si>
  <si>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</si>
  <si>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</si>
  <si>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</si>
  <si>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</si>
  <si>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</si>
  <si>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</si>
  <si>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</si>
  <si>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</si>
  <si>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</si>
  <si>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</si>
  <si>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</si>
  <si>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</si>
  <si>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</si>
  <si>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</si>
  <si>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</si>
  <si>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</si>
  <si>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</si>
  <si>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</si>
  <si>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</si>
  <si>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</si>
  <si>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</si>
  <si>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</si>
  <si>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</si>
  <si>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</si>
  <si>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</si>
  <si>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</si>
  <si>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</si>
  <si>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</si>
  <si>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</si>
  <si>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</si>
  <si>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</si>
  <si>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</si>
  <si>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</si>
  <si>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</si>
  <si>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</si>
  <si>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</si>
  <si>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</si>
  <si>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</si>
  <si>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</si>
  <si>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</si>
  <si>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</si>
  <si>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</si>
  <si>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</si>
  <si>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</si>
  <si>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</si>
  <si>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</si>
  <si>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</si>
  <si>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</si>
  <si>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</si>
  <si>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</si>
  <si>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</si>
  <si>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</si>
  <si>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</si>
  <si>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</si>
  <si>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</si>
  <si>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</si>
  <si>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</si>
  <si>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</si>
  <si>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</si>
  <si>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</si>
  <si>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</si>
  <si>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</si>
  <si>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</si>
  <si>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</si>
  <si>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</si>
  <si>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</si>
  <si>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</si>
  <si>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</si>
  <si>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</si>
  <si>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</si>
  <si>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</si>
  <si>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</si>
  <si>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</si>
  <si>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</si>
  <si>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</si>
  <si>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</si>
  <si>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</si>
  <si>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</si>
  <si>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</si>
  <si>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</si>
  <si>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</si>
  <si>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</si>
  <si>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</si>
  <si>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</si>
  <si>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</si>
  <si>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</si>
  <si>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</si>
  <si>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</si>
  <si>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</si>
  <si>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</si>
  <si>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</si>
  <si>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</si>
  <si>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</si>
  <si>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</si>
  <si>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</si>
  <si>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</si>
  <si>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</si>
  <si>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</si>
  <si>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</si>
  <si>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</si>
  <si>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</si>
  <si>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</si>
  <si>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</si>
  <si>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</si>
  <si>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</si>
  <si>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</si>
  <si>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</si>
  <si>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</si>
  <si>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</si>
  <si>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</si>
  <si>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</si>
  <si>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</si>
  <si>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</si>
  <si>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</si>
  <si>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</si>
  <si>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</si>
  <si>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</si>
  <si>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</si>
  <si>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</si>
  <si>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</si>
  <si>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</si>
  <si>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</si>
  <si>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</si>
  <si>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</si>
  <si>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</si>
  <si>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</si>
  <si>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</si>
  <si>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</si>
  <si>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</si>
  <si>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</si>
  <si>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</si>
  <si>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</si>
  <si>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</si>
  <si>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</si>
  <si>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</si>
  <si>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</si>
  <si>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</si>
  <si>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</si>
  <si>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</si>
  <si>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</si>
  <si>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</si>
  <si>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</si>
  <si>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</si>
  <si>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</si>
  <si>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</si>
  <si>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</si>
  <si>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</si>
  <si>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</si>
  <si>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</si>
  <si>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</si>
  <si>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</si>
  <si>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</si>
  <si>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</si>
  <si>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</si>
  <si>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</si>
  <si>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</si>
  <si>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</si>
  <si>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</si>
  <si>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</si>
  <si>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</si>
  <si>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</si>
  <si>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</si>
  <si>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</si>
  <si>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</si>
  <si>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</si>
  <si>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</si>
  <si>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</si>
  <si>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</si>
  <si>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</si>
  <si>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</si>
  <si>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</si>
  <si>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</si>
  <si>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</si>
  <si>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</si>
  <si>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</si>
  <si>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</si>
  <si>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</si>
  <si>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</si>
  <si>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</si>
  <si>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</si>
  <si>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</si>
  <si>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</si>
  <si>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</si>
  <si>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</si>
  <si>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</si>
  <si>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</si>
  <si>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</si>
  <si>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</si>
  <si>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</si>
  <si>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</si>
  <si>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</si>
  <si>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</si>
  <si>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</si>
  <si>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</si>
  <si>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</si>
  <si>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</si>
  <si>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</si>
  <si>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</si>
  <si>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</si>
  <si>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</si>
  <si>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</si>
  <si>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</si>
  <si>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</si>
  <si>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</si>
  <si>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</si>
  <si>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</si>
  <si>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</si>
  <si>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</si>
  <si>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</si>
  <si>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</si>
  <si>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</si>
  <si>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</si>
  <si>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</si>
  <si>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</si>
  <si>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</si>
  <si>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</si>
  <si>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</si>
  <si>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</si>
  <si>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</si>
  <si>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</si>
  <si>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</si>
  <si>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</si>
  <si>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</si>
  <si>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</si>
  <si>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</si>
  <si>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</si>
  <si>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</si>
  <si>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</si>
  <si>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</si>
  <si>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</si>
  <si>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</si>
  <si>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</si>
  <si>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</si>
  <si>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</si>
  <si>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</si>
  <si>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</si>
  <si>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</si>
  <si>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</si>
  <si>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</si>
  <si>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</si>
  <si>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</si>
  <si>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</si>
  <si>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</si>
  <si>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</si>
  <si>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</si>
  <si>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</si>
  <si>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</si>
  <si>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</si>
  <si>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</si>
  <si>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</si>
  <si>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</si>
  <si>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</si>
  <si>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</si>
  <si>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</si>
  <si>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</si>
  <si>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</si>
  <si>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</si>
  <si>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</si>
  <si>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</si>
  <si>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</si>
  <si>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</si>
  <si>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</si>
  <si>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</si>
  <si>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</si>
  <si>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</si>
  <si>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</si>
  <si>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</si>
  <si>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</si>
  <si>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</si>
  <si>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</si>
  <si>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</si>
  <si>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</si>
  <si>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</si>
  <si>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</si>
  <si>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</si>
  <si>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</si>
  <si>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</si>
  <si>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</si>
  <si>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</si>
  <si>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</si>
  <si>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</si>
  <si>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</si>
  <si>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</si>
  <si>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</si>
  <si>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</si>
  <si>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</si>
  <si>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</si>
  <si>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</si>
  <si>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</si>
  <si>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</si>
  <si>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</si>
  <si>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</si>
  <si>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</si>
  <si>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</si>
  <si>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</si>
  <si>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</si>
  <si>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</si>
  <si>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</si>
  <si>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</si>
  <si>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</si>
  <si>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</si>
  <si>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</si>
  <si>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</si>
  <si>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</si>
  <si>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</si>
  <si>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</si>
  <si>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</si>
  <si>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</si>
  <si>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</si>
  <si>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</si>
  <si>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</si>
  <si>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</si>
  <si>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</si>
  <si>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</si>
  <si>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</si>
  <si>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</si>
  <si>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</si>
  <si>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</si>
  <si>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</si>
  <si>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</si>
  <si>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</si>
  <si>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</si>
  <si>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</si>
  <si>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</si>
  <si>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</si>
  <si>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</si>
  <si>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</si>
  <si>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</si>
  <si>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</si>
  <si>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</si>
  <si>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</si>
  <si>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</si>
  <si>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</si>
  <si>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</si>
  <si>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</si>
  <si>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</si>
  <si>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</si>
  <si>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</si>
  <si>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</si>
  <si>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</si>
  <si>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</si>
  <si>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</si>
  <si>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</si>
  <si>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</si>
  <si>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</si>
  <si>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</si>
  <si>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</si>
  <si>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</si>
  <si>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</si>
  <si>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</si>
  <si>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</si>
  <si>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</si>
  <si>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</si>
  <si>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</si>
  <si>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</si>
  <si>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</si>
  <si>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</si>
  <si>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</si>
  <si>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</si>
  <si>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</si>
  <si>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</si>
  <si>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</si>
  <si>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</si>
  <si>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</si>
  <si>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</si>
  <si>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</si>
  <si>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</si>
  <si>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</si>
  <si>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</si>
  <si>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</si>
  <si>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</si>
  <si>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</si>
  <si>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</si>
  <si>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</si>
  <si>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</si>
  <si>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</si>
  <si>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</si>
  <si>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</si>
  <si>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</si>
  <si>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</si>
  <si>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</si>
  <si>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</si>
  <si>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</si>
  <si>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</si>
  <si>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</si>
  <si>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</si>
  <si>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</si>
  <si>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</si>
  <si>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</si>
  <si>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</si>
  <si>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</si>
  <si>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</si>
  <si>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</si>
  <si>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</si>
  <si>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</si>
  <si>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</si>
  <si>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</si>
  <si>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</si>
  <si>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</si>
  <si>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</si>
  <si>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</si>
  <si>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</si>
  <si>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</si>
  <si>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</si>
  <si>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</si>
  <si>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</si>
  <si>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</si>
  <si>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</si>
  <si>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</si>
  <si>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</si>
  <si>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</si>
  <si>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</si>
  <si>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</si>
  <si>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</si>
  <si>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</si>
  <si>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</si>
  <si>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</si>
  <si>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</si>
  <si>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</si>
  <si>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</si>
  <si>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</si>
  <si>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</si>
  <si>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</si>
  <si>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</si>
  <si>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</si>
  <si>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</si>
  <si>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</si>
  <si>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</si>
  <si>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</si>
  <si>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</si>
  <si>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</si>
  <si>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</si>
  <si>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</si>
  <si>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</si>
  <si>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</si>
  <si>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</si>
  <si>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</si>
  <si>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</si>
  <si>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</si>
  <si>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</si>
  <si>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</si>
  <si>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</si>
  <si>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</si>
  <si>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</si>
  <si>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</si>
  <si>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</si>
  <si>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</si>
  <si>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</si>
  <si>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</si>
  <si>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</si>
  <si>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</si>
  <si>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</si>
  <si>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</si>
  <si>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</si>
  <si>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</si>
  <si>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</si>
  <si>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</si>
  <si>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</si>
  <si>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</si>
  <si>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</si>
  <si>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</si>
  <si>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</si>
  <si>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</si>
  <si>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</si>
  <si>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</si>
  <si>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</si>
  <si>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</si>
  <si>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</si>
  <si>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</si>
  <si>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</si>
  <si>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</si>
  <si>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</si>
  <si>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</si>
  <si>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</si>
  <si>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</si>
  <si>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</si>
  <si>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</si>
  <si>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</si>
  <si>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</si>
  <si>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</si>
  <si>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</si>
  <si>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</si>
  <si>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</si>
  <si>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</si>
  <si>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</si>
  <si>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</si>
  <si>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</si>
  <si>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</si>
  <si>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</si>
  <si>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</si>
  <si>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</si>
  <si>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</si>
  <si>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</si>
  <si>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</si>
  <si>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</si>
  <si>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</si>
  <si>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</si>
  <si>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</si>
  <si>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</si>
  <si>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</si>
  <si>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</si>
  <si>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</si>
  <si>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</si>
  <si>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</si>
  <si>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</si>
  <si>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</si>
  <si>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</si>
  <si>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</si>
  <si>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</si>
  <si>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</si>
  <si>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</si>
  <si>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</si>
  <si>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</si>
  <si>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</si>
  <si>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</si>
  <si>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</si>
  <si>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</si>
  <si>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</si>
  <si>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</si>
  <si>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</si>
  <si>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</si>
  <si>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</si>
  <si>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</si>
  <si>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</si>
  <si>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</si>
  <si>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</si>
  <si>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</si>
  <si>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</si>
  <si>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</si>
  <si>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</si>
  <si>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</si>
  <si>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</si>
  <si>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</si>
  <si>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</si>
  <si>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</si>
  <si>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</si>
  <si>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</si>
  <si>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</si>
  <si>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</si>
  <si>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</si>
  <si>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</si>
  <si>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</si>
  <si>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</si>
  <si>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</si>
  <si>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</si>
  <si>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</si>
  <si>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</si>
  <si>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</si>
  <si>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</si>
  <si>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</si>
  <si>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</si>
  <si>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</si>
  <si>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</si>
  <si>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</si>
  <si>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</si>
  <si>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</si>
  <si>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</si>
  <si>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</si>
  <si>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</si>
  <si>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</si>
  <si>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</si>
  <si>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</si>
  <si>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</si>
  <si>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</si>
  <si>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</si>
  <si>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</si>
  <si>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</si>
  <si>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</si>
  <si>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</si>
  <si>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</si>
  <si>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</si>
  <si>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</si>
  <si>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</si>
  <si>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</si>
  <si>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</si>
  <si>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</si>
  <si>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</si>
  <si>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</si>
  <si>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</si>
  <si>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</si>
  <si>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</si>
  <si>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</si>
  <si>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</si>
  <si>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</si>
  <si>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</si>
  <si>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</si>
  <si>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</si>
  <si>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</si>
  <si>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</si>
  <si>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</si>
  <si>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</si>
  <si>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</si>
  <si>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</si>
  <si>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</si>
  <si>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</si>
  <si>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</si>
  <si>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</si>
  <si>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</si>
  <si>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</si>
  <si>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</si>
  <si>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</si>
  <si>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</si>
  <si>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</si>
  <si>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</si>
  <si>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</si>
  <si>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</si>
  <si>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</si>
  <si>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</si>
  <si>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</si>
  <si>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</si>
  <si>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</si>
  <si>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</si>
  <si>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</si>
  <si>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</si>
  <si>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</si>
  <si>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</si>
  <si>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</si>
  <si>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</si>
  <si>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</si>
  <si>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</si>
  <si>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</si>
  <si>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</si>
  <si>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</si>
  <si>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</si>
  <si>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</si>
  <si>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</si>
  <si>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</si>
  <si>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</si>
  <si>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</si>
  <si>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</si>
  <si>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</si>
  <si>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</si>
  <si>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</si>
  <si>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</si>
  <si>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</si>
  <si>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</si>
  <si>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</si>
  <si>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</si>
  <si>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</si>
  <si>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</si>
  <si>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</si>
  <si>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</si>
  <si>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</si>
  <si>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</si>
  <si>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</si>
  <si>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</si>
  <si>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</si>
  <si>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</si>
  <si>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</si>
  <si>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</si>
  <si>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</si>
  <si>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</si>
  <si>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</si>
  <si>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</si>
  <si>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</si>
  <si>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</si>
  <si>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</si>
  <si>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</si>
  <si>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</si>
  <si>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</si>
  <si>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</si>
  <si>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</si>
  <si>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</si>
  <si>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</si>
  <si>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</si>
  <si>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</si>
  <si>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</si>
  <si>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</si>
  <si>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</si>
  <si>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</si>
  <si>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</si>
  <si>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</si>
  <si>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</si>
  <si>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</si>
  <si>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</si>
  <si>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</si>
  <si>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</si>
  <si>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</si>
  <si>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</si>
  <si>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</si>
  <si>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</si>
  <si>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</si>
  <si>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</si>
  <si>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</si>
  <si>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</si>
  <si>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</si>
  <si>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</si>
  <si>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</si>
  <si>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</si>
  <si>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</si>
  <si>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</si>
  <si>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</si>
  <si>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</si>
  <si>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</si>
  <si>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</si>
  <si>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</si>
  <si>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</si>
  <si>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</si>
  <si>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</si>
  <si>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</si>
  <si>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</si>
  <si>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</si>
  <si>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</si>
  <si>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</si>
  <si>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</si>
  <si>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</si>
  <si>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</si>
  <si>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</si>
  <si>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</si>
  <si>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</si>
  <si>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</si>
  <si>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</si>
  <si>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</si>
  <si>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</si>
  <si>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</si>
  <si>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</si>
  <si>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</si>
  <si>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</si>
  <si>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</si>
  <si>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</si>
  <si>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</si>
  <si>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</si>
  <si>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</si>
  <si>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</si>
  <si>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</si>
  <si>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</si>
  <si>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</si>
  <si>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</si>
  <si>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</si>
  <si>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</si>
  <si>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</si>
  <si>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</si>
  <si>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</si>
  <si>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</si>
  <si>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</si>
  <si>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</si>
  <si>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</si>
  <si>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</si>
  <si>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</si>
  <si>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</si>
  <si>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</si>
  <si>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</si>
  <si>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</si>
  <si>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</si>
  <si>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</si>
  <si>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</si>
  <si>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</si>
  <si>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</si>
  <si>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</si>
  <si>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</si>
  <si>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</si>
  <si>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</si>
  <si>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</si>
  <si>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</si>
  <si>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</si>
  <si>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</si>
  <si>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</si>
  <si>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</si>
  <si>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</si>
  <si>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</si>
  <si>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</si>
  <si>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</si>
  <si>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</si>
  <si>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</si>
  <si>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</si>
  <si>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</si>
  <si>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</si>
  <si>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</si>
  <si>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</si>
  <si>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</si>
  <si>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</si>
  <si>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</si>
  <si>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</si>
  <si>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</si>
  <si>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</si>
  <si>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</si>
  <si>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</si>
  <si>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</si>
  <si>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</si>
  <si>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</si>
  <si>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</si>
  <si>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</si>
  <si>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</si>
  <si>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</si>
  <si>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</si>
  <si>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</si>
  <si>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</si>
  <si>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</si>
  <si>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</si>
  <si>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</si>
  <si>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</si>
  <si>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</si>
  <si>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</si>
  <si>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</si>
  <si>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</si>
  <si>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</si>
  <si>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</si>
  <si>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</si>
  <si>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</si>
  <si>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</si>
  <si>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</si>
  <si>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</si>
  <si>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</si>
  <si>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</si>
  <si>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</si>
  <si>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</si>
  <si>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</si>
  <si>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</si>
  <si>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</si>
  <si>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</si>
  <si>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</si>
  <si>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</si>
  <si>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</si>
  <si>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</si>
  <si>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</si>
  <si>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</si>
  <si>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</si>
  <si>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</si>
  <si>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</si>
  <si>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</si>
  <si>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</si>
  <si>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</si>
  <si>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</si>
  <si>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</si>
  <si>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</si>
  <si>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</si>
  <si>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</si>
  <si>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</si>
  <si>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</si>
  <si>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</si>
  <si>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</si>
  <si>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</si>
  <si>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</si>
  <si>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</si>
  <si>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</si>
  <si>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</si>
  <si>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</si>
  <si>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</si>
  <si>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</si>
  <si>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</si>
  <si>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</si>
  <si>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</si>
  <si>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</si>
  <si>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</si>
  <si>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</si>
  <si>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</si>
  <si>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</si>
  <si>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</si>
  <si>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</si>
  <si>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</si>
  <si>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</si>
  <si>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</si>
  <si>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</si>
  <si>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</si>
  <si>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</si>
  <si>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</si>
  <si>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</si>
  <si>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</si>
  <si>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</si>
  <si>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</si>
  <si>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</si>
  <si>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</si>
  <si>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</si>
  <si>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</si>
  <si>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</si>
  <si>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</si>
  <si>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</si>
  <si>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</si>
  <si>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</si>
  <si>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</si>
  <si>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</si>
  <si>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</si>
  <si>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</si>
  <si>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</si>
  <si>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</si>
  <si>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</si>
  <si>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</si>
  <si>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</si>
  <si>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</si>
  <si>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</si>
  <si>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</si>
  <si>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</si>
  <si>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</si>
  <si>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</si>
  <si>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</si>
  <si>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</si>
  <si>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</si>
  <si>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</si>
  <si>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</si>
  <si>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</si>
  <si>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</si>
  <si>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</si>
  <si>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</si>
  <si>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</si>
  <si>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</si>
  <si>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</si>
  <si>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</si>
  <si>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</si>
  <si>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</si>
  <si>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</si>
  <si>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</si>
  <si>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</si>
  <si>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</si>
  <si>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</si>
  <si>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</si>
  <si>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</si>
  <si>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</si>
  <si>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</si>
  <si>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</si>
  <si>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</si>
  <si>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</si>
  <si>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</si>
  <si>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</si>
  <si>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</si>
  <si>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</si>
  <si>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</si>
  <si>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</si>
  <si>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</si>
  <si>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</si>
  <si>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</si>
  <si>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</si>
  <si>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</si>
  <si>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</si>
  <si>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</si>
  <si>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</si>
  <si>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</si>
  <si>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</si>
  <si>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</si>
  <si>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</si>
  <si>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</si>
  <si>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</si>
  <si>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</si>
  <si>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</si>
  <si>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</si>
  <si>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</si>
  <si>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</si>
  <si>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</si>
  <si>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</si>
  <si>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</si>
  <si>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</si>
  <si>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</si>
  <si>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</si>
  <si>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</si>
  <si>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</si>
  <si>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</si>
  <si>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</si>
  <si>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</si>
  <si>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</si>
  <si>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</si>
  <si>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</si>
  <si>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</si>
  <si>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</si>
  <si>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</si>
  <si>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</si>
  <si>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</si>
  <si>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</si>
  <si>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</si>
  <si>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</si>
  <si>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</si>
  <si>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</si>
  <si>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</si>
  <si>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</si>
  <si>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</si>
  <si>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</si>
  <si>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</si>
  <si>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</si>
  <si>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</si>
  <si>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</si>
  <si>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</si>
  <si>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</si>
  <si>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</si>
  <si>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</si>
  <si>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</si>
  <si>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</si>
  <si>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</si>
  <si>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</si>
  <si>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</si>
  <si>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</si>
  <si>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</si>
  <si>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</si>
  <si>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</si>
  <si>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</si>
  <si>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</si>
  <si>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</si>
  <si>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</si>
  <si>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</si>
  <si>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</si>
  <si>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</si>
  <si>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</si>
  <si>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</si>
  <si>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</si>
  <si>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</si>
  <si>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</si>
  <si>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</si>
  <si>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</si>
  <si>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</si>
  <si>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</si>
  <si>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</si>
  <si>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</si>
  <si>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</si>
  <si>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</si>
  <si>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</si>
  <si>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</si>
  <si>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</si>
  <si>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</si>
  <si>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</si>
  <si>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</si>
  <si>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</si>
  <si>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</si>
  <si>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</si>
  <si>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</si>
  <si>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</si>
  <si>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</si>
  <si>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</si>
  <si>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</si>
  <si>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</si>
  <si>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</si>
  <si>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</si>
  <si>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</si>
  <si>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</si>
  <si>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</si>
  <si>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</si>
  <si>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</si>
  <si>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</si>
  <si>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</si>
  <si>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</si>
  <si>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</si>
  <si>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</si>
  <si>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</si>
  <si>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</si>
  <si>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</si>
  <si>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</si>
  <si>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</si>
  <si>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</si>
  <si>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</si>
  <si>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</si>
  <si>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</si>
  <si>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</si>
  <si>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</si>
  <si>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</si>
  <si>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</si>
  <si>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</si>
  <si>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</si>
  <si>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</si>
  <si>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</si>
  <si>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</si>
  <si>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</si>
  <si>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</si>
  <si>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</si>
  <si>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</si>
  <si>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</si>
  <si>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</si>
  <si>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</si>
  <si>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</si>
  <si>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</si>
  <si>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</si>
  <si>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</si>
  <si>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</si>
  <si>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</si>
  <si>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</si>
  <si>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</si>
  <si>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</si>
  <si>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</si>
  <si>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</si>
  <si>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</si>
  <si>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</si>
  <si>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</si>
  <si>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</si>
  <si>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</si>
  <si>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</si>
  <si>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</si>
  <si>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</si>
  <si>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</si>
  <si>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</si>
  <si>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</si>
  <si>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</si>
  <si>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</si>
  <si>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</si>
  <si>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</si>
  <si>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</si>
  <si>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</si>
  <si>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</si>
  <si>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</si>
  <si>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</si>
  <si>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</si>
  <si>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</si>
  <si>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</si>
  <si>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</si>
  <si>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</si>
  <si>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</si>
  <si>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</si>
  <si>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</si>
  <si>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</si>
  <si>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</si>
  <si>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</si>
  <si>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</si>
  <si>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</si>
  <si>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</si>
  <si>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</si>
  <si>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</si>
  <si>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</si>
  <si>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</si>
  <si>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</si>
  <si>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</si>
  <si>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</si>
  <si>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</si>
  <si>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</si>
  <si>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</si>
  <si>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</si>
  <si>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</si>
  <si>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</si>
  <si>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</si>
  <si>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</si>
  <si>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</si>
  <si>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</si>
  <si>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</si>
  <si>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</si>
  <si>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</si>
  <si>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</si>
  <si>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</si>
  <si>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</si>
  <si>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</si>
  <si>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</si>
  <si>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</si>
  <si>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</si>
  <si>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</si>
  <si>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</si>
  <si>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</si>
  <si>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</si>
  <si>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</si>
  <si>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</si>
  <si>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</si>
  <si>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</si>
  <si>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</si>
  <si>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</si>
  <si>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</si>
  <si>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</si>
  <si>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</si>
  <si>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</si>
  <si>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</si>
  <si>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</si>
  <si>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</si>
  <si>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</si>
  <si>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</si>
  <si>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</si>
  <si>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</si>
  <si>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</si>
  <si>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</si>
  <si>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</si>
  <si>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</si>
  <si>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</si>
  <si>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</si>
  <si>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</si>
  <si>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</si>
  <si>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</si>
  <si>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</si>
  <si>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</si>
  <si>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</si>
  <si>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</si>
  <si>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</si>
  <si>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</si>
  <si>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</si>
  <si>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</si>
  <si>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</si>
  <si>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</si>
  <si>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</si>
  <si>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</si>
  <si>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</si>
  <si>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</si>
  <si>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</si>
  <si>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</si>
  <si>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</si>
  <si>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</si>
  <si>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</si>
  <si>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</si>
  <si>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</si>
  <si>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</si>
  <si>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</si>
  <si>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</si>
  <si>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</si>
  <si>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</si>
  <si>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</si>
  <si>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</si>
  <si>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</si>
  <si>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</si>
  <si>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</si>
  <si>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</si>
  <si>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</si>
  <si>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</si>
  <si>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</si>
  <si>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</si>
  <si>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</si>
  <si>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</si>
  <si>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</si>
  <si>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</si>
  <si>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</si>
  <si>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</si>
  <si>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</si>
  <si>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</si>
  <si>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</si>
  <si>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</si>
  <si>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</si>
  <si>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</si>
  <si>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</si>
  <si>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</si>
  <si>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</si>
  <si>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</si>
  <si>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</si>
  <si>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</si>
  <si>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</si>
  <si>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</si>
  <si>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</si>
  <si>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</si>
  <si>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</si>
  <si>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</si>
  <si>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</si>
  <si>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</si>
  <si>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</si>
  <si>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</si>
  <si>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</si>
  <si>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</si>
  <si>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</si>
  <si>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</si>
  <si>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</si>
  <si>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</si>
  <si>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</si>
  <si>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</si>
  <si>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</si>
  <si>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</si>
  <si>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</si>
  <si>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</si>
  <si>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</si>
  <si>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</si>
  <si>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</si>
  <si>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</si>
  <si>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</si>
  <si>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</si>
  <si>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</si>
  <si>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</si>
  <si>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</si>
  <si>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</si>
  <si>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</si>
  <si>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</si>
  <si>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</si>
  <si>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</si>
  <si>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</si>
  <si>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</si>
  <si>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</si>
  <si>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</si>
  <si>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</si>
  <si>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</si>
  <si>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</si>
  <si>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</si>
  <si>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</si>
  <si>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</si>
  <si>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</si>
  <si>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</si>
  <si>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</si>
  <si>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</si>
  <si>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</si>
  <si>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</si>
  <si>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</si>
  <si>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</si>
  <si>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</si>
  <si>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</si>
  <si>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</si>
  <si>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</si>
  <si>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</si>
  <si>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</si>
  <si>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</si>
  <si>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</si>
  <si>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</si>
  <si>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</si>
  <si>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</si>
  <si>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</si>
  <si>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</si>
  <si>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</si>
  <si>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</si>
  <si>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</si>
  <si>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</si>
  <si>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</si>
  <si>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</si>
  <si>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</si>
  <si>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</si>
  <si>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</si>
  <si>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</si>
  <si>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</si>
  <si>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</si>
  <si>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</si>
  <si>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</si>
  <si>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</si>
  <si>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</si>
  <si>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</si>
  <si>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</si>
  <si>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</si>
  <si>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</si>
  <si>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</si>
  <si>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</si>
  <si>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</si>
  <si>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</si>
  <si>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</si>
  <si>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</si>
  <si>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</si>
  <si>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</si>
  <si>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</si>
  <si>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</si>
  <si>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</si>
  <si>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</si>
  <si>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</si>
  <si>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</si>
  <si>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</si>
  <si>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</si>
  <si>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</si>
  <si>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</si>
  <si>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</si>
  <si>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</si>
  <si>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</si>
  <si>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</si>
  <si>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</si>
  <si>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</si>
  <si>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</si>
  <si>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</si>
  <si>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</si>
  <si>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</si>
  <si>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</si>
  <si>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</si>
  <si>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</si>
  <si>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</si>
  <si>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</si>
  <si>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</si>
  <si>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</si>
  <si>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</si>
  <si>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</si>
  <si>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</si>
  <si>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</si>
  <si>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</si>
  <si>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</si>
  <si>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</si>
  <si>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</si>
  <si>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</si>
  <si>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</si>
  <si>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</si>
  <si>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</si>
  <si>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</si>
  <si>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</si>
  <si>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</si>
  <si>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</si>
  <si>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</si>
  <si>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</si>
  <si>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</si>
  <si>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</si>
  <si>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</si>
  <si>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</si>
  <si>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</si>
  <si>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</si>
  <si>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</si>
  <si>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</si>
  <si>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</si>
  <si>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</si>
  <si>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</si>
  <si>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</si>
  <si>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</si>
  <si>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</si>
  <si>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</si>
  <si>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</si>
  <si>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</si>
  <si>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</si>
  <si>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</si>
  <si>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</si>
  <si>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</si>
  <si>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</si>
  <si>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</si>
  <si>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</si>
  <si>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</si>
  <si>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</si>
  <si>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</si>
  <si>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</si>
  <si>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</si>
  <si>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</si>
  <si>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</si>
  <si>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</si>
  <si>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</si>
  <si>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</si>
  <si>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</si>
  <si>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</si>
  <si>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</si>
  <si>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</si>
  <si>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</si>
  <si>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</si>
  <si>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</si>
  <si>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</si>
  <si>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</si>
  <si>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</si>
  <si>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</si>
  <si>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</si>
  <si>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</si>
  <si>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</si>
  <si>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</si>
  <si>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</si>
  <si>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</si>
  <si>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</si>
  <si>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</si>
  <si>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</si>
  <si>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</si>
  <si>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</si>
  <si>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</si>
  <si>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</si>
  <si>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</si>
  <si>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</si>
  <si>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</si>
  <si>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</si>
  <si>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</si>
  <si>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</si>
  <si>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</si>
  <si>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</si>
  <si>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</si>
  <si>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</si>
  <si>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</si>
  <si>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</si>
  <si>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</si>
  <si>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</si>
  <si>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</si>
  <si>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</si>
  <si>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</si>
  <si>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</si>
  <si>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</si>
  <si>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</si>
  <si>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</si>
  <si>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</si>
  <si>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</si>
  <si>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</si>
  <si>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</si>
  <si>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</si>
  <si>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</si>
  <si>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</si>
  <si>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</si>
  <si>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</si>
  <si>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</si>
  <si>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</si>
  <si>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</si>
  <si>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</si>
  <si>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</si>
  <si>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</si>
  <si>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</si>
  <si>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</si>
  <si>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</si>
  <si>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</si>
  <si>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</si>
  <si>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</si>
  <si>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</si>
  <si>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</si>
  <si>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</si>
  <si>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</si>
  <si>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</si>
  <si>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</si>
  <si>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</si>
  <si>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</si>
  <si>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</si>
  <si>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</si>
  <si>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</si>
  <si>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</si>
  <si>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</si>
  <si>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</si>
  <si>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</si>
  <si>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</si>
  <si>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</si>
  <si>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</si>
  <si>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</si>
  <si>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</si>
  <si>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</si>
  <si>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</si>
  <si>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</si>
  <si>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</si>
  <si>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</si>
  <si>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</si>
  <si>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</si>
  <si>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</si>
  <si>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</si>
  <si>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</si>
  <si>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</si>
  <si>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</si>
  <si>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</si>
  <si>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</si>
  <si>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</si>
  <si>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</si>
  <si>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</si>
  <si>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</si>
  <si>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</si>
  <si>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</si>
  <si>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</si>
  <si>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</si>
  <si>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</si>
  <si>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</si>
  <si>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</si>
  <si>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</si>
  <si>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</si>
  <si>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</si>
  <si>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</si>
  <si>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</si>
  <si>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</si>
  <si>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</si>
  <si>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</si>
  <si>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</si>
  <si>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</si>
  <si>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</si>
  <si>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</si>
  <si>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</si>
  <si>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</si>
  <si>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</si>
  <si>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</si>
  <si>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</si>
  <si>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</si>
  <si>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</si>
  <si>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</si>
  <si>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</si>
  <si>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</si>
  <si>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</si>
  <si>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</si>
  <si>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</si>
  <si>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</si>
  <si>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</si>
  <si>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</si>
  <si>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</si>
  <si>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地上</t>
  </si>
  <si>
    <t>是</t>
  </si>
  <si>
    <t>无偿还建</t>
    <phoneticPr fontId="7" type="noConversion"/>
  </si>
  <si>
    <t>回购</t>
    <phoneticPr fontId="7" type="noConversion"/>
  </si>
  <si>
    <t>成新度</t>
  </si>
  <si>
    <t>与级别开发程度一致</t>
  </si>
  <si>
    <t>商务金融用地</t>
  </si>
  <si>
    <t>较好</t>
  </si>
  <si>
    <t>一般</t>
  </si>
  <si>
    <t>好</t>
  </si>
  <si>
    <t>还原至土地单价</t>
  </si>
  <si>
    <t>实物补偿费用</t>
    <phoneticPr fontId="134" type="noConversion"/>
  </si>
  <si>
    <t>万元</t>
    <phoneticPr fontId="134" type="noConversion"/>
  </si>
  <si>
    <t>未包含在土地购买价格中</t>
  </si>
  <si>
    <t>利息：取LPR加浮动点数</t>
  </si>
  <si>
    <t>元/平方米</t>
    <phoneticPr fontId="134" type="noConversion"/>
  </si>
  <si>
    <t>估价对象容积率</t>
  </si>
  <si>
    <t>建筑面积</t>
    <phoneticPr fontId="134" type="noConversion"/>
  </si>
  <si>
    <t>回购资金</t>
    <phoneticPr fontId="134" type="noConversion"/>
  </si>
  <si>
    <t>万元</t>
    <phoneticPr fontId="134" type="noConversion"/>
  </si>
  <si>
    <t>土地总面积</t>
    <phoneticPr fontId="134" type="noConversion"/>
  </si>
  <si>
    <t>万平方米</t>
    <phoneticPr fontId="134" type="noConversion"/>
  </si>
  <si>
    <t>见土地一级开发案例表</t>
    <phoneticPr fontId="134" type="noConversion"/>
  </si>
  <si>
    <t>基准地价级别</t>
    <phoneticPr fontId="134" type="noConversion"/>
  </si>
  <si>
    <t>1.丰台区城乡一体化周庄子村旧村改造项目二期（ZZZ-06等地块）位置图.pdf</t>
    <phoneticPr fontId="134" type="noConversion"/>
  </si>
  <si>
    <t>9.周庄子地形及地上物测绘技术报告书.pdf</t>
    <phoneticPr fontId="134" type="noConversion"/>
  </si>
  <si>
    <t>挂牌文件.pdf</t>
    <phoneticPr fontId="134" type="noConversion"/>
  </si>
  <si>
    <t>补偿的地块为L01、L04</t>
    <phoneticPr fontId="134" type="noConversion"/>
  </si>
  <si>
    <t>容积率</t>
    <phoneticPr fontId="134" type="noConversion"/>
  </si>
  <si>
    <t>2.多规合一协同平台审核意见（京规自（丰）供审函〔2021〕0002号）.pdf</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</si>
</sst>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9" fillId="3" borderId="0" xfId="0" applyFont="1" applyFill="1" applyAlignment="1" applyProtection="1">
      <alignment horizontal="left" vertical="center"/>
      <protection locked="0"/>
    </xf>
    <xf numFmtId="178" fontId="53" fillId="3" borderId="0" xfId="0" applyNumberFormat="1" applyFont="1" applyFill="1" applyAlignment="1" applyProtection="1">
      <alignment vertical="center"/>
      <protection locked="0"/>
    </xf>
    <xf numFmtId="178" fontId="19" fillId="3" borderId="0" xfId="0" applyNumberFormat="1" applyFont="1" applyFill="1" applyAlignment="1" applyProtection="1">
      <alignment vertical="center"/>
      <protection locked="0"/>
    </xf>
    <xf numFmtId="0" fontId="19" fillId="3" borderId="0" xfId="0" applyFont="1" applyFill="1" applyAlignment="1" applyProtection="1">
      <alignment vertical="center"/>
      <protection locked="0"/>
    </xf>
    <xf numFmtId="0" fontId="19" fillId="3" borderId="0" xfId="0" applyFont="1" applyFill="1" applyAlignment="1" applyProtection="1">
      <alignment horizontal="center" vertical="center"/>
      <protection locked="0"/>
    </xf>
    <xf numFmtId="1" fontId="54" fillId="3" borderId="0" xfId="0" applyNumberFormat="1" applyFont="1" applyFill="1" applyAlignment="1" applyProtection="1">
      <alignment vertical="center"/>
      <protection locked="0"/>
    </xf>
    <xf numFmtId="178" fontId="19" fillId="3" borderId="0" xfId="0" applyNumberFormat="1" applyFont="1" applyFill="1" applyAlignment="1" applyProtection="1">
      <alignment horizontal="right" vertical="center"/>
      <protection locked="0"/>
    </xf>
    <xf numFmtId="0" fontId="19" fillId="3" borderId="0" xfId="0" applyFont="1" applyFill="1" applyAlignment="1" applyProtection="1">
      <alignment horizontal="right" vertical="center"/>
      <protection locked="0"/>
    </xf>
    <xf numFmtId="178" fontId="269" fillId="3" borderId="0" xfId="0" applyNumberFormat="1" applyFont="1" applyFill="1" applyAlignment="1" applyProtection="1">
      <alignment horizontal="right" vertical="center"/>
      <protection locked="0"/>
    </xf>
    <xf numFmtId="178" fontId="269" fillId="3" borderId="0" xfId="0" applyNumberFormat="1" applyFont="1" applyFill="1" applyAlignment="1" applyProtection="1">
      <alignment vertical="center"/>
      <protection locked="0"/>
    </xf>
    <xf numFmtId="0" fontId="269" fillId="3" borderId="0" xfId="0" applyFont="1" applyFill="1" applyAlignment="1" applyProtection="1">
      <alignment horizontal="left" vertical="center"/>
      <protection locked="0"/>
    </xf>
    <xf numFmtId="0" fontId="269" fillId="3" borderId="0" xfId="0" applyFont="1" applyFill="1" applyAlignment="1" applyProtection="1">
      <alignment horizontal="right" vertical="center"/>
      <protection locked="0"/>
    </xf>
    <xf numFmtId="0" fontId="269" fillId="3" borderId="0" xfId="0" applyFont="1" applyFill="1" applyAlignment="1" applyProtection="1">
      <alignment vertical="center"/>
      <protection locked="0"/>
    </xf>
    <xf numFmtId="0" fontId="227" fillId="3" borderId="0" xfId="0" applyFont="1" applyFill="1" applyAlignment="1" applyProtection="1">
      <alignment horizontal="right" vertical="center"/>
      <protection locked="0"/>
    </xf>
    <xf numFmtId="0" fontId="59" fillId="3" borderId="0" xfId="0" applyFont="1" applyFill="1" applyAlignment="1" applyProtection="1">
      <alignment horizontal="right" vertical="center"/>
      <protection locked="0"/>
    </xf>
    <xf numFmtId="0" fontId="0" fillId="7" borderId="0" xfId="0" applyFill="1">
      <alignment vertical="center"/>
    </xf>
    <xf numFmtId="0" fontId="95" fillId="7" borderId="0" xfId="0" applyFont="1" applyFill="1">
      <alignment vertical="center"/>
    </xf>
    <xf numFmtId="0" fontId="95" fillId="9" borderId="0" xfId="0" applyFont="1" applyFill="1">
      <alignment vertical="center"/>
    </xf>
    <xf numFmtId="0" fontId="0" fillId="9" borderId="0" xfId="0" applyFill="1">
      <alignment vertical="center"/>
    </xf>
    <xf numFmtId="0" fontId="95" fillId="22" borderId="0" xfId="0" applyFont="1" applyFill="1">
      <alignment vertical="center"/>
    </xf>
    <xf numFmtId="0" fontId="0" fillId="22" borderId="0" xfId="0"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3</xdr:row>
      <xdr:rowOff>57150</xdr:rowOff>
    </xdr:from>
    <xdr:to>
      <xdr:col>11</xdr:col>
      <xdr:colOff>246678</xdr:colOff>
      <xdr:row>41</xdr:row>
      <xdr:rowOff>27764</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571500"/>
          <a:ext cx="7771428" cy="6485714"/>
        </a:xfrm>
        <a:prstGeom prst="rect">
          <a:avLst/>
        </a:prstGeom>
      </xdr:spPr>
    </xdr:pic>
    <xdr:clientData/>
  </xdr:twoCellAnchor>
  <xdr:twoCellAnchor editAs="oneCell">
    <xdr:from>
      <xdr:col>0</xdr:col>
      <xdr:colOff>123825</xdr:colOff>
      <xdr:row>44</xdr:row>
      <xdr:rowOff>104775</xdr:rowOff>
    </xdr:from>
    <xdr:to>
      <xdr:col>9</xdr:col>
      <xdr:colOff>646863</xdr:colOff>
      <xdr:row>84</xdr:row>
      <xdr:rowOff>170584</xdr:rowOff>
    </xdr:to>
    <xdr:pic>
      <xdr:nvPicPr>
        <xdr:cNvPr id="3" name="图片 2"/>
        <xdr:cNvPicPr>
          <a:picLocks noChangeAspect="1"/>
        </xdr:cNvPicPr>
      </xdr:nvPicPr>
      <xdr:blipFill>
        <a:blip xmlns:r="http://schemas.openxmlformats.org/officeDocument/2006/relationships" r:embed="rId2"/>
        <a:stretch>
          <a:fillRect/>
        </a:stretch>
      </xdr:blipFill>
      <xdr:spPr>
        <a:xfrm>
          <a:off x="123825" y="7648575"/>
          <a:ext cx="6695238" cy="6923809"/>
        </a:xfrm>
        <a:prstGeom prst="rect">
          <a:avLst/>
        </a:prstGeom>
      </xdr:spPr>
    </xdr:pic>
    <xdr:clientData/>
  </xdr:twoCellAnchor>
  <xdr:twoCellAnchor editAs="oneCell">
    <xdr:from>
      <xdr:col>0</xdr:col>
      <xdr:colOff>57150</xdr:colOff>
      <xdr:row>86</xdr:row>
      <xdr:rowOff>47625</xdr:rowOff>
    </xdr:from>
    <xdr:to>
      <xdr:col>8</xdr:col>
      <xdr:colOff>208845</xdr:colOff>
      <xdr:row>109</xdr:row>
      <xdr:rowOff>104275</xdr:rowOff>
    </xdr:to>
    <xdr:pic>
      <xdr:nvPicPr>
        <xdr:cNvPr id="4" name="图片 3"/>
        <xdr:cNvPicPr>
          <a:picLocks noChangeAspect="1"/>
        </xdr:cNvPicPr>
      </xdr:nvPicPr>
      <xdr:blipFill>
        <a:blip xmlns:r="http://schemas.openxmlformats.org/officeDocument/2006/relationships" r:embed="rId3"/>
        <a:stretch>
          <a:fillRect/>
        </a:stretch>
      </xdr:blipFill>
      <xdr:spPr>
        <a:xfrm>
          <a:off x="57150" y="14792325"/>
          <a:ext cx="5638095" cy="4000000"/>
        </a:xfrm>
        <a:prstGeom prst="rect">
          <a:avLst/>
        </a:prstGeom>
      </xdr:spPr>
    </xdr:pic>
    <xdr:clientData/>
  </xdr:twoCellAnchor>
  <xdr:twoCellAnchor editAs="oneCell">
    <xdr:from>
      <xdr:col>0</xdr:col>
      <xdr:colOff>9525</xdr:colOff>
      <xdr:row>112</xdr:row>
      <xdr:rowOff>133350</xdr:rowOff>
    </xdr:from>
    <xdr:to>
      <xdr:col>17</xdr:col>
      <xdr:colOff>65211</xdr:colOff>
      <xdr:row>154</xdr:row>
      <xdr:rowOff>113402</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19335750"/>
          <a:ext cx="11714286" cy="7180952"/>
        </a:xfrm>
        <a:prstGeom prst="rect">
          <a:avLst/>
        </a:prstGeom>
      </xdr:spPr>
    </xdr:pic>
    <xdr:clientData/>
  </xdr:twoCellAnchor>
  <xdr:twoCellAnchor editAs="oneCell">
    <xdr:from>
      <xdr:col>8</xdr:col>
      <xdr:colOff>247650</xdr:colOff>
      <xdr:row>86</xdr:row>
      <xdr:rowOff>142875</xdr:rowOff>
    </xdr:from>
    <xdr:to>
      <xdr:col>16</xdr:col>
      <xdr:colOff>427917</xdr:colOff>
      <xdr:row>109</xdr:row>
      <xdr:rowOff>113811</xdr:rowOff>
    </xdr:to>
    <xdr:pic>
      <xdr:nvPicPr>
        <xdr:cNvPr id="6" name="图片 5"/>
        <xdr:cNvPicPr>
          <a:picLocks noChangeAspect="1"/>
        </xdr:cNvPicPr>
      </xdr:nvPicPr>
      <xdr:blipFill>
        <a:blip xmlns:r="http://schemas.openxmlformats.org/officeDocument/2006/relationships" r:embed="rId5"/>
        <a:stretch>
          <a:fillRect/>
        </a:stretch>
      </xdr:blipFill>
      <xdr:spPr>
        <a:xfrm>
          <a:off x="5734050" y="14887575"/>
          <a:ext cx="5666667" cy="3914286"/>
        </a:xfrm>
        <a:prstGeom prst="rect">
          <a:avLst/>
        </a:prstGeom>
      </xdr:spPr>
    </xdr:pic>
    <xdr:clientData/>
  </xdr:twoCellAnchor>
  <xdr:twoCellAnchor editAs="oneCell">
    <xdr:from>
      <xdr:col>0</xdr:col>
      <xdr:colOff>38100</xdr:colOff>
      <xdr:row>159</xdr:row>
      <xdr:rowOff>114300</xdr:rowOff>
    </xdr:from>
    <xdr:to>
      <xdr:col>8</xdr:col>
      <xdr:colOff>665986</xdr:colOff>
      <xdr:row>182</xdr:row>
      <xdr:rowOff>75712</xdr:rowOff>
    </xdr:to>
    <xdr:pic>
      <xdr:nvPicPr>
        <xdr:cNvPr id="7" name="图片 6"/>
        <xdr:cNvPicPr>
          <a:picLocks noChangeAspect="1"/>
        </xdr:cNvPicPr>
      </xdr:nvPicPr>
      <xdr:blipFill>
        <a:blip xmlns:r="http://schemas.openxmlformats.org/officeDocument/2006/relationships" r:embed="rId6"/>
        <a:stretch>
          <a:fillRect/>
        </a:stretch>
      </xdr:blipFill>
      <xdr:spPr>
        <a:xfrm>
          <a:off x="38100" y="27374850"/>
          <a:ext cx="6114286" cy="3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Z/Downloads/&#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估价对象为房地产，为所有。根据《国有土地使用证》[]，估价对象（分摊）出让国有建设用地使用权面积为37047.6平方米，建筑面积为128400平方米。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估价对象为房地产,属开发建设的，该项目尚在开发建设中。根据《国有土地使用证》[]，估价对象（分摊）出让国有建设用地使用权面积为37047.6平方米，规划建筑面积为128400平方米。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2021年7月1日</v>
      </c>
    </row>
    <row r="13" spans="1:2" s="1203" customFormat="1">
      <c r="A13" s="1201" t="s">
        <v>529</v>
      </c>
      <c r="B13" s="1202" t="str">
        <f>'预评函-1'!A18</f>
        <v>本次估价的“房地产价值”是指在正常市场情况下，在价值时点2021年7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128400</v>
      </c>
    </row>
    <row r="44" spans="1:2" s="1203" customFormat="1">
      <c r="A44" s="1201" t="s">
        <v>575</v>
      </c>
      <c r="B44" s="1202" t="str">
        <f>'预评函-3'!C2</f>
        <v>(分摊)土地面积</v>
      </c>
    </row>
    <row r="45" spans="1:2" s="1203" customFormat="1">
      <c r="A45" s="1201" t="s">
        <v>547</v>
      </c>
      <c r="B45" s="1202">
        <f>'预评函-3'!C4</f>
        <v>37047.599999999999</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P26" sqref="P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4" t="s">
        <v>385</v>
      </c>
      <c r="C54" s="1551" t="s">
        <v>583</v>
      </c>
    </row>
    <row r="55" spans="1:4">
      <c r="A55" s="3511"/>
      <c r="B55" s="1554" t="s">
        <v>386</v>
      </c>
      <c r="C55" s="1551" t="s">
        <v>584</v>
      </c>
    </row>
    <row r="56" spans="1:4">
      <c r="A56" s="3511"/>
      <c r="B56" s="1554" t="s">
        <v>387</v>
      </c>
      <c r="C56" s="1551" t="s">
        <v>588</v>
      </c>
    </row>
    <row r="57" spans="1:4">
      <c r="A57" s="351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12" t="s">
        <v>2583</v>
      </c>
      <c r="J2" s="3512"/>
      <c r="K2" s="3512"/>
      <c r="L2" s="3512"/>
      <c r="M2" s="3512"/>
      <c r="N2" s="3512"/>
      <c r="O2" s="3512"/>
      <c r="P2" s="3512"/>
      <c r="Q2" s="3512"/>
      <c r="R2" s="3512"/>
    </row>
    <row r="3" spans="1:18">
      <c r="A3" s="3020" t="s">
        <v>2504</v>
      </c>
      <c r="B3" s="3021">
        <f>项目基本情况!D3</f>
        <v>44378</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5.47</v>
      </c>
      <c r="D5" s="3025">
        <f>IF(ISERROR(ROUND(POWER(1+E5,A5-C5)*(POWER(1+E5,C5)-1)/(POWER(1+E5,A5)-1),3)),0,ROUND(POWER(1+E5,A5-C5)*(POWER(1+E5,C5)-1)/(POWER(1+E5,A5)-1),4))</f>
        <v>0.24390000000000001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15.47</v>
      </c>
      <c r="D6" s="3025">
        <f>IF(ISERROR(ROUND(POWER(1+E6,A6-C6)*(POWER(1+E6,C6)-1)/(POWER(1+E6,A6)-1),3)),0,ROUND(POWER(1+E6,A6-C6)*(POWER(1+E6,C6)-1)/(POWER(1+E6,A6)-1),4))</f>
        <v>0.52939999999999998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35.49</v>
      </c>
      <c r="D7" s="3025">
        <f>IF(ISERROR(ROUND(POWER(1+E7,A7-C7)*(POWER(1+E7,C7)-1)/(POWER(1+E7,A7)-1),3)),0,ROUND(POWER(1+E7,A7-C7)*(POWER(1+E7,C7)-1)/(POWER(1+E7,A7)-1),4))</f>
        <v>0.80300000000000005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F22" sqref="F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3" t="str">
        <f>IF(B10="北京市","北京市",C10)&amp;F10&amp;IF(结果表!G1="在建","出让国有建设用地使用权及在建建筑物",IF(结果表!G1="土地","出让国有建设用地使用权",))&amp;B9&amp;"预评估"</f>
        <v>预评估</v>
      </c>
      <c r="C1" s="3514"/>
      <c r="D1" s="3514"/>
      <c r="E1" s="3514"/>
      <c r="F1" s="3514"/>
      <c r="G1" s="3514"/>
      <c r="H1" s="3514"/>
      <c r="I1" s="351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44378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16" t="s">
        <v>2177</v>
      </c>
      <c r="E8" s="2391"/>
      <c r="F8" s="2392"/>
      <c r="G8" s="2663"/>
      <c r="H8" s="2663"/>
      <c r="I8" s="2663"/>
      <c r="J8" s="2439"/>
      <c r="K8" s="2614"/>
      <c r="L8" s="2613"/>
      <c r="M8" s="2613"/>
      <c r="N8" s="2439"/>
      <c r="O8" s="2450"/>
      <c r="P8" s="2439"/>
      <c r="Q8" s="2439"/>
      <c r="R8" s="2439"/>
    </row>
    <row r="9" spans="1:30" ht="13.5" thickBot="1">
      <c r="A9" s="2393" t="s">
        <v>2178</v>
      </c>
      <c r="B9" s="2394"/>
      <c r="C9" s="2395"/>
      <c r="D9" s="3517"/>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c r="E13" s="856">
        <v>61899</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48</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3"/>
      <c r="C16" s="3524"/>
      <c r="D16" s="3525"/>
      <c r="E16" s="2413" t="s">
        <v>2194</v>
      </c>
      <c r="F16" s="3526"/>
      <c r="G16" s="3527"/>
      <c r="H16" s="3527"/>
      <c r="I16" s="3528"/>
      <c r="J16" s="2439"/>
      <c r="K16" s="2617"/>
      <c r="L16" s="2451"/>
      <c r="M16" s="2451"/>
      <c r="N16" s="2509"/>
      <c r="O16" s="2451"/>
      <c r="P16" s="2509"/>
      <c r="Q16" s="2439"/>
      <c r="R16" s="2439"/>
    </row>
    <row r="17" spans="1:28">
      <c r="A17" s="313" t="s">
        <v>2195</v>
      </c>
      <c r="B17" s="302" t="s">
        <v>2196</v>
      </c>
      <c r="C17" s="8">
        <f>'数据-汇总表'!E3</f>
        <v>128400</v>
      </c>
      <c r="D17" s="2322" t="s">
        <v>2197</v>
      </c>
      <c r="E17" s="3529" t="s">
        <v>2198</v>
      </c>
      <c r="F17" s="3530"/>
      <c r="G17" s="3530"/>
      <c r="H17" s="3530"/>
      <c r="I17" s="353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37047.599999999999</v>
      </c>
      <c r="D18" s="1092" t="s">
        <v>2201</v>
      </c>
      <c r="E18" s="3532" t="s">
        <v>2202</v>
      </c>
      <c r="F18" s="3533"/>
      <c r="G18" s="3533"/>
      <c r="H18" s="3533"/>
      <c r="I18" s="353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9" t="s">
        <v>2206</v>
      </c>
      <c r="C20" s="3520"/>
      <c r="D20" s="3521" t="s">
        <v>2207</v>
      </c>
      <c r="E20" s="3522"/>
      <c r="F20" s="2647" t="s">
        <v>1056</v>
      </c>
      <c r="G20" s="2664"/>
      <c r="H20" s="2664"/>
      <c r="I20" s="2664"/>
      <c r="J20" s="2439"/>
      <c r="K20" s="351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7"/>
      <c r="B30" s="302" t="s">
        <v>2218</v>
      </c>
      <c r="C30" s="3538"/>
      <c r="D30" s="3539"/>
      <c r="E30" s="2664"/>
      <c r="F30" s="2664"/>
      <c r="G30" s="2664"/>
      <c r="H30" s="2664"/>
      <c r="I30" s="2664"/>
      <c r="J30" s="2439"/>
      <c r="K30" s="2616"/>
      <c r="L30" s="2613"/>
      <c r="M30" s="2613"/>
      <c r="N30" s="2439"/>
      <c r="O30" s="2450"/>
      <c r="P30" s="2439"/>
      <c r="Q30" s="2439"/>
      <c r="R30" s="2439"/>
      <c r="S30" s="2439"/>
      <c r="T30" s="2439"/>
      <c r="U30" s="2439"/>
      <c r="V30" s="2439"/>
    </row>
    <row r="31" spans="1:28">
      <c r="A31" s="354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5" t="s">
        <v>2228</v>
      </c>
      <c r="T34" s="2428" t="str">
        <f>NUMBERSTRING(7-K34,1)&amp;"通"</f>
        <v>七通</v>
      </c>
      <c r="U34" s="2439"/>
      <c r="V34" s="2439"/>
    </row>
    <row r="35" spans="1:30">
      <c r="A35" s="2429"/>
      <c r="B35" s="3542" t="s">
        <v>2229</v>
      </c>
      <c r="C35" s="3542"/>
      <c r="D35" s="3542"/>
      <c r="E35" s="354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110</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177</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4" sqref="C2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37047.597999999998</v>
      </c>
      <c r="B3" s="11">
        <f>IF(C3="否",G5-AT5,G5)</f>
        <v>128400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128400</v>
      </c>
      <c r="H5" s="13">
        <f t="shared" ref="H5:AT5" si="0">SUM(H13:H656)</f>
        <v>128400</v>
      </c>
      <c r="I5" s="13">
        <f t="shared" si="0"/>
        <v>38900</v>
      </c>
      <c r="J5" s="13">
        <f t="shared" si="0"/>
        <v>0</v>
      </c>
      <c r="K5" s="13">
        <f t="shared" si="0"/>
        <v>89500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128400</v>
      </c>
      <c r="BA5" s="15">
        <f t="shared" si="1"/>
        <v>128400</v>
      </c>
      <c r="BB5" s="15">
        <f t="shared" si="1"/>
        <v>38900</v>
      </c>
      <c r="BC5" s="15">
        <f t="shared" si="1"/>
        <v>89500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37047.599999999999</v>
      </c>
      <c r="F6" s="13" t="s">
        <v>0</v>
      </c>
      <c r="G6" s="13" t="s">
        <v>1</v>
      </c>
      <c r="H6" s="17">
        <f>SUMIF(I$12:AB$12,"总值",I6:AB6)</f>
        <v>37047.599999999999</v>
      </c>
      <c r="I6" s="13">
        <f t="shared" ref="I6:AB6" si="2">ROUND($A$3*I5/$B$3,2)</f>
        <v>11223.92</v>
      </c>
      <c r="J6" s="13">
        <f t="shared" si="2"/>
        <v>0</v>
      </c>
      <c r="K6" s="13">
        <f t="shared" si="2"/>
        <v>25823.68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37047.599999999999</v>
      </c>
      <c r="AZ6" s="13" t="s">
        <v>2</v>
      </c>
      <c r="BA6" s="13">
        <f>ROUND($AY$6*BA5/$AZ$5,2)</f>
        <v>37047.599999999999</v>
      </c>
      <c r="BB6" s="13">
        <f>ROUND($AY$6*BB5/$AZ$5,2)</f>
        <v>11223.92</v>
      </c>
      <c r="BC6" s="13">
        <f t="shared" ref="BC6:BH6" si="4">ROUND($AY$6*BC5/$AZ$5,2)</f>
        <v>25823.68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3379</v>
      </c>
      <c r="J9" s="809"/>
      <c r="K9" s="1603" t="s">
        <v>3379</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37047.599999999999</v>
      </c>
      <c r="F13" s="29"/>
      <c r="G13" s="30">
        <f>H13+AC13+AT13</f>
        <v>128400</v>
      </c>
      <c r="H13" s="17">
        <f>SUMIF(I$12:AB$12,"总值",I13:AB13)</f>
        <v>128400</v>
      </c>
      <c r="I13" s="1626">
        <v>38900</v>
      </c>
      <c r="J13" s="1626"/>
      <c r="K13" s="1626">
        <v>89500</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37047.599999999999</v>
      </c>
      <c r="AZ13" s="13">
        <f>BA13+BL13</f>
        <v>128400</v>
      </c>
      <c r="BA13" s="13">
        <f>SUM(BB13:BK13)</f>
        <v>128400</v>
      </c>
      <c r="BB13" s="13">
        <f>IF($D13="是",I13-J13,0)</f>
        <v>38900</v>
      </c>
      <c r="BC13" s="13">
        <f>IF($D13="是",K13-L13,0)</f>
        <v>89500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14" sqref="G1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2" t="s">
        <v>1131</v>
      </c>
      <c r="B2" s="3552"/>
      <c r="C2" s="3552"/>
      <c r="D2" s="796" t="s">
        <v>1107</v>
      </c>
      <c r="E2" s="1639" t="s">
        <v>1108</v>
      </c>
      <c r="F2" s="2659"/>
      <c r="G2" s="2650"/>
      <c r="H2" s="2651"/>
      <c r="I2" s="2325" t="s">
        <v>1132</v>
      </c>
      <c r="J2" s="2659"/>
      <c r="K2" s="2659"/>
      <c r="L2" s="2659"/>
      <c r="M2" s="2659"/>
      <c r="N2" s="2661"/>
      <c r="O2" s="2659"/>
      <c r="P2" s="2659"/>
    </row>
    <row r="3" spans="1:16" ht="15.75" thickBot="1">
      <c r="A3" s="3553" t="s">
        <v>1105</v>
      </c>
      <c r="B3" s="3553"/>
      <c r="C3" s="3553"/>
      <c r="D3" s="43">
        <f>'数据-基础表'!AY6</f>
        <v>37047.599999999999</v>
      </c>
      <c r="E3" s="43">
        <f>'数据-基础表'!AZ5</f>
        <v>128400</v>
      </c>
      <c r="F3" s="2659"/>
      <c r="G3" s="1145"/>
      <c r="H3" s="1026" t="s">
        <v>1106</v>
      </c>
      <c r="I3" s="855">
        <f>ROUND('数据-基础表'!B3/'数据-基础表'!A3,2)</f>
        <v>3.47</v>
      </c>
      <c r="J3" s="2659"/>
      <c r="K3" s="2659"/>
      <c r="L3" s="2659"/>
      <c r="M3" s="2659"/>
      <c r="N3" s="2661"/>
      <c r="O3" s="2659"/>
      <c r="P3" s="2659"/>
    </row>
    <row r="4" spans="1:16" ht="15">
      <c r="A4" s="3554"/>
      <c r="B4" s="3555"/>
      <c r="C4" s="3556"/>
      <c r="D4" s="1641" t="s">
        <v>1107</v>
      </c>
      <c r="E4" s="1642" t="s">
        <v>1108</v>
      </c>
      <c r="F4" s="2659"/>
      <c r="G4" s="2652" t="s">
        <v>1133</v>
      </c>
      <c r="H4" s="1026" t="s">
        <v>1113</v>
      </c>
      <c r="I4" s="855">
        <f>ROUND(SUMIF('数据-基础表'!I9:AS9,"地上",'数据-基础表'!I5:AS5)/'数据-基础表'!A3,2)</f>
        <v>3.47</v>
      </c>
      <c r="J4" s="2659"/>
      <c r="K4" s="2659"/>
      <c r="L4" s="2659"/>
      <c r="M4" s="2659"/>
      <c r="N4" s="2661"/>
      <c r="O4" s="2659"/>
      <c r="P4" s="2659"/>
    </row>
    <row r="5" spans="1:16">
      <c r="A5" s="44" t="s">
        <v>1109</v>
      </c>
      <c r="B5" s="3557" t="s">
        <v>1110</v>
      </c>
      <c r="C5" s="3557"/>
      <c r="D5" s="45">
        <f>ROUND($D$3*E5/$E$3,2)</f>
        <v>0</v>
      </c>
      <c r="E5" s="46">
        <f>SUMIF('数据-基础表'!$11:$11,"住宅",'数据-基础表'!$5:$5)</f>
        <v>0</v>
      </c>
      <c r="F5" s="2659"/>
      <c r="G5" s="1145"/>
      <c r="H5" s="1026" t="s">
        <v>1106</v>
      </c>
      <c r="I5" s="855">
        <f>ROUND(E31/D31,2)</f>
        <v>3.47</v>
      </c>
      <c r="J5" s="2659"/>
      <c r="K5" s="2659"/>
      <c r="L5" s="2659"/>
      <c r="M5" s="2659"/>
      <c r="N5" s="2659"/>
      <c r="O5" s="2659"/>
      <c r="P5" s="2659"/>
    </row>
    <row r="6" spans="1:16" ht="15" thickBot="1">
      <c r="A6" s="1644"/>
      <c r="B6" s="3557" t="s">
        <v>1111</v>
      </c>
      <c r="C6" s="3557"/>
      <c r="D6" s="45">
        <f>ROUND($D$3*E6/$E$3,2)</f>
        <v>37047.599999999999</v>
      </c>
      <c r="E6" s="46">
        <f>E3-E5</f>
        <v>128400</v>
      </c>
      <c r="F6" s="2659"/>
      <c r="G6" s="2653" t="s">
        <v>1112</v>
      </c>
      <c r="H6" s="1146" t="s">
        <v>1113</v>
      </c>
      <c r="I6" s="2654">
        <f>ROUND(F31/D31,2)</f>
        <v>3.47</v>
      </c>
      <c r="J6" s="2659"/>
      <c r="K6" s="2659"/>
      <c r="L6" s="2659"/>
      <c r="M6" s="2659"/>
      <c r="N6" s="2659"/>
      <c r="O6" s="2659"/>
      <c r="P6" s="2659"/>
    </row>
    <row r="7" spans="1:16" ht="15.75" thickBot="1">
      <c r="A7" s="3549"/>
      <c r="B7" s="3550"/>
      <c r="C7" s="355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37047.599999999999</v>
      </c>
      <c r="E8" s="48">
        <f>SUMIF('数据-基础表'!BB10:BK10,"地上",'数据-基础表'!BB5:BK5)</f>
        <v>128400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37047.599999999999</v>
      </c>
      <c r="E16" s="50">
        <f>SUM(E8:E15)</f>
        <v>128400</v>
      </c>
      <c r="F16" s="2659"/>
      <c r="G16" s="2660"/>
      <c r="H16" s="1648" t="s">
        <v>1135</v>
      </c>
      <c r="I16" s="1649"/>
      <c r="J16" s="1139"/>
      <c r="K16" s="3546" t="s">
        <v>1135</v>
      </c>
      <c r="L16" s="3547"/>
      <c r="M16" s="3547"/>
      <c r="N16" s="3547"/>
      <c r="O16" s="3547"/>
      <c r="P16" s="3548"/>
    </row>
    <row r="17" spans="1:19" ht="15">
      <c r="A17" s="1650" t="s">
        <v>1136</v>
      </c>
      <c r="B17" s="1651" t="s">
        <v>1137</v>
      </c>
      <c r="C17" s="1652" t="s">
        <v>1138</v>
      </c>
      <c r="D17" s="1653" t="s">
        <v>1126</v>
      </c>
      <c r="E17" s="1654" t="s">
        <v>1127</v>
      </c>
      <c r="F17" s="1655"/>
      <c r="G17" s="1656"/>
      <c r="H17" s="1657" t="s">
        <v>1139</v>
      </c>
      <c r="I17" s="1658" t="s">
        <v>1124</v>
      </c>
      <c r="J17" s="1139"/>
      <c r="K17" s="3543" t="s">
        <v>1140</v>
      </c>
      <c r="L17" s="3544"/>
      <c r="M17" s="3545"/>
      <c r="N17" s="3543" t="s">
        <v>1141</v>
      </c>
      <c r="O17" s="3544"/>
      <c r="P17" s="354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3381</v>
      </c>
      <c r="D19" s="45">
        <f>ROUND($D$3*E19/$E$3,2)</f>
        <v>11223.92</v>
      </c>
      <c r="E19" s="53">
        <f t="shared" ref="E19:E26" si="1">SUM(F19:G19)</f>
        <v>38900</v>
      </c>
      <c r="F19" s="2795">
        <f>'数据-基础表'!I13</f>
        <v>38900</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11223.92</v>
      </c>
      <c r="S19" s="1027">
        <f t="shared" si="5"/>
        <v>38900</v>
      </c>
    </row>
    <row r="20" spans="1:19">
      <c r="A20" s="1670"/>
      <c r="B20" s="47" t="s">
        <v>1153</v>
      </c>
      <c r="C20" s="3417" t="s">
        <v>3382</v>
      </c>
      <c r="D20" s="45">
        <f t="shared" ref="D20:D26" si="6">ROUND($D$3*E20/$E$3,2)</f>
        <v>25823.68</v>
      </c>
      <c r="E20" s="53">
        <f t="shared" si="1"/>
        <v>89500</v>
      </c>
      <c r="F20" s="2795">
        <f>'数据-基础表'!K13</f>
        <v>89500</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25823.68</v>
      </c>
      <c r="S20" s="1027">
        <f t="shared" si="5"/>
        <v>89500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37047.599999999999</v>
      </c>
      <c r="E27" s="1141">
        <f>IF(SUM(E19:E26)='数据-基础表'!BA5,SUM(E19:E26),IF(F27="地上面积有误","面积有误","地下面积有误"))</f>
        <v>128400</v>
      </c>
      <c r="F27" s="1140">
        <f>IF(SUM(F19:F26)=E8,SUM(F19:F26),"地上面积有误")</f>
        <v>128400</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37047.599999999999</v>
      </c>
      <c r="S27" s="1026">
        <f>IF(SUM(S19:S26)=$E$3,SUM(S19:S26),SUM(S19:S26)&amp;"误差"&amp;ROUND(SUM(S19:S26)-E3,2))</f>
        <v>128400</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37047.599999999999</v>
      </c>
      <c r="E31" s="676">
        <f>E27+E30</f>
        <v>128400</v>
      </c>
      <c r="F31" s="677">
        <f>F27+F30</f>
        <v>128400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44378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无偿还建</v>
      </c>
      <c r="B6" s="1713" t="str">
        <f>IF(A6=0,"","经营性")</f>
        <v>经营性</v>
      </c>
      <c r="C6" s="1714" t="s">
        <v>21</v>
      </c>
      <c r="D6" s="858">
        <f>SUMIF(项目基本情况!C$12:I$12,C6,项目基本情况!C$14:I$14)</f>
        <v>50</v>
      </c>
      <c r="E6" s="857">
        <f>IF(B6="","",SUMIF(项目基本情况!C$12:I$12,C6,项目基本情况!C$13:I$13))</f>
        <v>61899</v>
      </c>
      <c r="F6" s="64">
        <f>SUMIF(项目基本情况!C$12:I$12,C6,项目基本情况!C$15:I$15)</f>
        <v>48</v>
      </c>
      <c r="G6" s="65">
        <f>IF(ISERROR(ROUND(POWER(1+H6,D6-F6)*(POWER(1+H6,F6)-1)/(POWER(1+H6,D6)-1),3)),0,ROUND(POWER(1+H6,D6-F6)*(POWER(1+H6,F6)-1)/(POWER(1+H6,D6)-1),3))</f>
        <v>0</v>
      </c>
      <c r="H6" s="732"/>
      <c r="I6" s="732"/>
      <c r="J6" s="66"/>
      <c r="K6" s="1030">
        <f>SUMIF('数据-汇总表'!C$19:C$33,A6,'数据-汇总表'!E$19:E$33)</f>
        <v>38900</v>
      </c>
      <c r="L6" s="733">
        <v>4500</v>
      </c>
      <c r="M6" s="67">
        <f t="shared" ref="M6:M14" si="0">ROUND(K6*L6/10000,0)</f>
        <v>17505</v>
      </c>
      <c r="N6" s="731">
        <v>1</v>
      </c>
      <c r="O6" s="67" t="str">
        <f>IF($N$5="成新度","——",ROUND(M6*N6,0))</f>
        <v>——</v>
      </c>
      <c r="P6" s="68" t="str">
        <f>IF($N$5="成新度","——",M6-O6)</f>
        <v>——</v>
      </c>
      <c r="Q6" s="734">
        <v>0.15</v>
      </c>
      <c r="R6" s="69">
        <f ca="1">SUMIF('数据-汇总表'!C$19:C$33,A6,'数据-汇总表'!R$19:R$27)</f>
        <v>11223.92</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回购</v>
      </c>
      <c r="B7" s="1713" t="str">
        <f t="shared" ref="B7:B13" si="1">IF(A7=0,"","经营性")</f>
        <v>经营性</v>
      </c>
      <c r="C7" s="1714" t="s">
        <v>21</v>
      </c>
      <c r="D7" s="858">
        <f>SUMIF(项目基本情况!C$12:I$12,C7,项目基本情况!C$14:I$14)</f>
        <v>50</v>
      </c>
      <c r="E7" s="857">
        <f>IF(B7="","",SUMIF(项目基本情况!C$12:I$12,C7,项目基本情况!C$13:I$13))</f>
        <v>61899</v>
      </c>
      <c r="F7" s="64">
        <f>SUMIF(项目基本情况!C$12:I$12,C7,项目基本情况!C$15:I$15)</f>
        <v>48</v>
      </c>
      <c r="G7" s="65">
        <f t="shared" ref="G7:G11" si="2">IF(ISERROR(ROUND(POWER(1+H7,D7-F7)*(POWER(1+H7,F7)-1)/(POWER(1+H7,D7)-1),3)),0,ROUND(POWER(1+H7,D7-F7)*(POWER(1+H7,F7)-1)/(POWER(1+H7,D7)-1),3))</f>
        <v>0</v>
      </c>
      <c r="H7" s="732"/>
      <c r="I7" s="732"/>
      <c r="J7" s="66"/>
      <c r="K7" s="1030">
        <f>SUMIF('数据-汇总表'!C$19:C$33,A7,'数据-汇总表'!E$19:E$33)</f>
        <v>89500</v>
      </c>
      <c r="L7" s="733">
        <f>L6</f>
        <v>4500</v>
      </c>
      <c r="M7" s="67">
        <f t="shared" si="0"/>
        <v>40275</v>
      </c>
      <c r="N7" s="731">
        <v>1</v>
      </c>
      <c r="O7" s="67" t="str">
        <f t="shared" ref="O7:O14" si="3">IF($N$5="成新度","——",ROUND(M7*N7,0))</f>
        <v>——</v>
      </c>
      <c r="P7" s="68" t="str">
        <f t="shared" ref="P7:P14" si="4">IF($N$5="成新度","——",M7-O7)</f>
        <v>——</v>
      </c>
      <c r="Q7" s="734">
        <v>0.15</v>
      </c>
      <c r="R7" s="69">
        <f ca="1">SUMIF('数据-汇总表'!C$19:C$33,A7,'数据-汇总表'!R$19:R$27)</f>
        <v>25823.68</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128400</v>
      </c>
      <c r="L16" s="93">
        <f>ROUND(M16*10000/SUM(K6:K14),0)</f>
        <v>4500</v>
      </c>
      <c r="M16" s="93">
        <f>SUM(M6:M14)</f>
        <v>57780</v>
      </c>
      <c r="N16" s="94">
        <f>ROUND(SUMPRODUCT(M6:M14,N6:N14)/M16,3)</f>
        <v>1</v>
      </c>
      <c r="O16" s="93">
        <f>SUM(O6:O14)</f>
        <v>0</v>
      </c>
      <c r="P16" s="93">
        <f>SUM(P6:P14)</f>
        <v>0</v>
      </c>
      <c r="Q16" s="95">
        <f>ROUND(SUMPRODUCT(Q6:Q13,K6:K13)/SUMPRODUCT((Q6:Q13&gt;0)*(K6:K13)),2)</f>
        <v>0.15</v>
      </c>
      <c r="R16" s="1034">
        <f ca="1">SUM(R6:R13)</f>
        <v>37047.599999999999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100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3393</v>
      </c>
      <c r="B40" s="1078">
        <f ca="1">IF(A40="利息：取LPR",存贷款利率!G1,存贷款利率!G1+C40)</f>
        <v>4.7500000000000001E-2</v>
      </c>
      <c r="C40" s="2814">
        <v>8.9999999999999993E-3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I13" sqref="I13"/>
      <selection pane="topRight" activeCell="I13" sqref="I13"/>
      <selection pane="bottomLeft" activeCell="I13" sqref="I13"/>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8" t="s">
        <v>2286</v>
      </c>
      <c r="B1" s="3559"/>
      <c r="C1" s="3559"/>
      <c r="D1" s="3559"/>
      <c r="E1" s="3559"/>
      <c r="F1" s="3559"/>
      <c r="G1" s="355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3" sqref="I1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44378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7" t="str">
        <f>项目基本情况!S2</f>
        <v>房地产</v>
      </c>
      <c r="B2" s="3628"/>
      <c r="C2" s="3628"/>
      <c r="D2" s="3628"/>
      <c r="E2" s="3628"/>
      <c r="F2" s="3628"/>
      <c r="G2" s="3628"/>
      <c r="H2" s="3628"/>
      <c r="I2" s="3629"/>
    </row>
    <row r="3" spans="1:12" ht="12.75">
      <c r="A3" s="3631" t="s">
        <v>1264</v>
      </c>
      <c r="B3" s="3632"/>
      <c r="C3" s="3632"/>
      <c r="D3" s="3632"/>
      <c r="E3" s="3632"/>
      <c r="F3" s="3632"/>
      <c r="G3" s="3632"/>
      <c r="H3" s="3632"/>
      <c r="I3" s="3632"/>
    </row>
    <row r="4" spans="1:12" ht="14.25">
      <c r="A4" s="1754" t="s">
        <v>1265</v>
      </c>
      <c r="B4" s="1755" t="s">
        <v>1266</v>
      </c>
      <c r="C4" s="1756"/>
      <c r="D4" s="1756"/>
      <c r="E4" s="3636" t="s">
        <v>1267</v>
      </c>
      <c r="F4" s="3637"/>
      <c r="G4" s="3637"/>
      <c r="H4" s="3637"/>
      <c r="I4" s="3638"/>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5" t="s">
        <v>1268</v>
      </c>
      <c r="B5" s="3630">
        <v>25</v>
      </c>
      <c r="C5" s="3633"/>
      <c r="D5" s="3621"/>
      <c r="E5" s="131" t="s">
        <v>1269</v>
      </c>
      <c r="F5" s="1757"/>
      <c r="G5" s="1757"/>
      <c r="H5" s="1757"/>
      <c r="I5" s="1373"/>
    </row>
    <row r="6" spans="1:12" ht="12.75">
      <c r="A6" s="3575"/>
      <c r="B6" s="3630"/>
      <c r="C6" s="3635"/>
      <c r="D6" s="3621"/>
      <c r="E6" s="131" t="s">
        <v>1270</v>
      </c>
      <c r="F6" s="1757"/>
      <c r="G6" s="1757"/>
      <c r="H6" s="1757"/>
      <c r="I6" s="1373"/>
    </row>
    <row r="7" spans="1:12" ht="12.75">
      <c r="A7" s="3575"/>
      <c r="B7" s="3630"/>
      <c r="C7" s="3634"/>
      <c r="D7" s="3621"/>
      <c r="E7" s="131" t="s">
        <v>1271</v>
      </c>
      <c r="F7" s="1757"/>
      <c r="G7" s="1757"/>
      <c r="H7" s="1757"/>
      <c r="I7" s="1373"/>
    </row>
    <row r="8" spans="1:12" ht="12.75">
      <c r="A8" s="3575" t="s">
        <v>1272</v>
      </c>
      <c r="B8" s="3630">
        <v>15</v>
      </c>
      <c r="C8" s="3633"/>
      <c r="D8" s="3621"/>
      <c r="E8" s="131" t="s">
        <v>1273</v>
      </c>
      <c r="F8" s="1757"/>
      <c r="G8" s="1757"/>
      <c r="H8" s="1757"/>
      <c r="I8" s="1373"/>
    </row>
    <row r="9" spans="1:12" ht="12.75">
      <c r="A9" s="3575"/>
      <c r="B9" s="3630"/>
      <c r="C9" s="3634"/>
      <c r="D9" s="3621"/>
      <c r="E9" s="131" t="s">
        <v>1274</v>
      </c>
      <c r="F9" s="1757"/>
      <c r="G9" s="1757"/>
      <c r="H9" s="1757"/>
      <c r="I9" s="1373"/>
    </row>
    <row r="10" spans="1:12" ht="12.75">
      <c r="A10" s="3575" t="s">
        <v>1275</v>
      </c>
      <c r="B10" s="3630">
        <v>15</v>
      </c>
      <c r="C10" s="3633"/>
      <c r="D10" s="3621"/>
      <c r="E10" s="131" t="s">
        <v>1276</v>
      </c>
      <c r="F10" s="1757"/>
      <c r="G10" s="1757"/>
      <c r="H10" s="1757"/>
      <c r="I10" s="1373"/>
    </row>
    <row r="11" spans="1:12" ht="12.75">
      <c r="A11" s="3575"/>
      <c r="B11" s="3630"/>
      <c r="C11" s="3634"/>
      <c r="D11" s="3621"/>
      <c r="E11" s="131" t="s">
        <v>1277</v>
      </c>
      <c r="F11" s="1757"/>
      <c r="G11" s="1757"/>
      <c r="H11" s="1757"/>
      <c r="I11" s="1373"/>
    </row>
    <row r="12" spans="1:12" ht="12.75">
      <c r="A12" s="3575" t="s">
        <v>1278</v>
      </c>
      <c r="B12" s="3630">
        <v>15</v>
      </c>
      <c r="C12" s="3633"/>
      <c r="D12" s="3621"/>
      <c r="E12" s="131" t="s">
        <v>1279</v>
      </c>
      <c r="F12" s="1757"/>
      <c r="G12" s="1757"/>
      <c r="H12" s="1757"/>
      <c r="I12" s="1373"/>
    </row>
    <row r="13" spans="1:12" ht="12.75">
      <c r="A13" s="3575"/>
      <c r="B13" s="3630"/>
      <c r="C13" s="3634"/>
      <c r="D13" s="3621"/>
      <c r="E13" s="131" t="s">
        <v>1280</v>
      </c>
      <c r="F13" s="1757"/>
      <c r="G13" s="1757"/>
      <c r="H13" s="1757"/>
      <c r="I13" s="1373"/>
    </row>
    <row r="14" spans="1:12" ht="12.75">
      <c r="A14" s="3575" t="s">
        <v>1281</v>
      </c>
      <c r="B14" s="3630">
        <v>30</v>
      </c>
      <c r="C14" s="3633"/>
      <c r="D14" s="3621"/>
      <c r="E14" s="131" t="s">
        <v>1282</v>
      </c>
      <c r="F14" s="1757"/>
      <c r="G14" s="1757"/>
      <c r="H14" s="1757"/>
      <c r="I14" s="1373"/>
    </row>
    <row r="15" spans="1:12" ht="12.75">
      <c r="A15" s="3575"/>
      <c r="B15" s="3630"/>
      <c r="C15" s="3635"/>
      <c r="D15" s="3621"/>
      <c r="E15" s="131" t="s">
        <v>1283</v>
      </c>
      <c r="F15" s="1757"/>
      <c r="G15" s="1757"/>
      <c r="H15" s="1757"/>
      <c r="I15" s="1373"/>
    </row>
    <row r="16" spans="1:12" ht="12.75">
      <c r="A16" s="3575"/>
      <c r="B16" s="3630"/>
      <c r="C16" s="3634"/>
      <c r="D16" s="3621"/>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52" t="s">
        <v>2131</v>
      </c>
      <c r="F18" s="3653"/>
      <c r="G18" s="3653"/>
      <c r="H18" s="3653"/>
      <c r="I18" s="3653"/>
      <c r="K18" s="302" t="s">
        <v>1289</v>
      </c>
      <c r="L18" s="302">
        <f>IF(C1="",'数据-汇总表'!E3,SUMIF(项目类型,C1,'数据-汇总表'!E17:E26)+SUMIF(项目类型,C1,'数据-汇总表'!I17:I26))</f>
        <v>128400</v>
      </c>
      <c r="M18" s="302">
        <f>IF(C1="",'数据-汇总表'!E3,SUMIF(项目类型,C1,'数据-汇总表'!E17:E26))</f>
        <v>128400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37047.599999999999</v>
      </c>
      <c r="M19" s="302">
        <f>IF(C1="",'数据-汇总表'!D3,SUMIF(项目类型,C1,'数据-汇总表'!D17:D26))</f>
        <v>37047.599999999999</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45" t="s">
        <v>1299</v>
      </c>
      <c r="B24" s="1762" t="s">
        <v>1291</v>
      </c>
      <c r="C24" s="136">
        <f>IF(B30=0,0,D30)</f>
        <v>0</v>
      </c>
      <c r="D24" s="1769"/>
      <c r="E24" s="129"/>
      <c r="F24" s="129"/>
      <c r="G24" s="129"/>
      <c r="H24" s="129"/>
      <c r="I24" s="129"/>
    </row>
    <row r="25" spans="1:36" ht="14.25">
      <c r="A25" s="364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2" t="s">
        <v>1312</v>
      </c>
      <c r="B36" s="1787" t="s">
        <v>1313</v>
      </c>
      <c r="C36" s="145"/>
      <c r="D36" s="1788"/>
      <c r="E36" s="1789"/>
      <c r="F36" s="1790"/>
      <c r="G36" s="129"/>
      <c r="H36" s="129"/>
      <c r="I36" s="129"/>
    </row>
    <row r="37" spans="1:15" ht="15.75" thickBot="1">
      <c r="A37" s="3623"/>
      <c r="B37" s="1674" t="s">
        <v>1314</v>
      </c>
      <c r="C37" s="147"/>
      <c r="D37" s="1139"/>
      <c r="E37" s="1139"/>
      <c r="F37" s="1790"/>
      <c r="G37" s="129"/>
      <c r="H37" s="129"/>
      <c r="I37" s="129"/>
    </row>
    <row r="38" spans="1:15" ht="15.75" thickBot="1">
      <c r="A38" s="362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2" t="s">
        <v>1326</v>
      </c>
      <c r="B45" s="3643"/>
      <c r="C45" s="3644"/>
      <c r="D45" s="155" t="e">
        <f ca="1">ROUND(H101*F45,0)</f>
        <v>#REF!</v>
      </c>
      <c r="E45" s="156" t="s">
        <v>1327</v>
      </c>
      <c r="F45" s="157">
        <v>1</v>
      </c>
      <c r="G45" s="158" t="s">
        <v>1328</v>
      </c>
      <c r="H45" s="129"/>
      <c r="I45" s="129"/>
      <c r="J45" s="3562" t="s">
        <v>1329</v>
      </c>
      <c r="K45" s="3562"/>
      <c r="L45" s="3562"/>
      <c r="M45" s="3562"/>
      <c r="N45" s="3562"/>
      <c r="O45" s="3562"/>
    </row>
    <row r="46" spans="1:15" ht="14.25" customHeight="1">
      <c r="A46" s="3639" t="s">
        <v>1330</v>
      </c>
      <c r="B46" s="3640"/>
      <c r="C46" s="3640"/>
      <c r="D46" s="3640"/>
      <c r="E46" s="3640"/>
      <c r="F46" s="3640"/>
      <c r="G46" s="3641"/>
      <c r="H46" s="1806"/>
      <c r="I46" s="159"/>
      <c r="J46" s="2523">
        <v>1</v>
      </c>
      <c r="K46" s="3563" t="s">
        <v>1331</v>
      </c>
      <c r="L46" s="3563"/>
      <c r="M46" s="3564"/>
      <c r="N46" s="3564"/>
      <c r="O46" s="3564"/>
    </row>
    <row r="47" spans="1:15" ht="12" customHeight="1">
      <c r="A47" s="160" t="s">
        <v>1332</v>
      </c>
      <c r="B47" s="161"/>
      <c r="C47" s="162"/>
      <c r="D47" s="1087" t="s">
        <v>1333</v>
      </c>
      <c r="E47" s="302" t="s">
        <v>1334</v>
      </c>
      <c r="F47" s="163" t="s">
        <v>1335</v>
      </c>
      <c r="G47" s="2546" t="s">
        <v>1336</v>
      </c>
      <c r="H47" s="2547"/>
      <c r="I47" s="159"/>
      <c r="J47" s="2523">
        <v>2</v>
      </c>
      <c r="K47" s="3563" t="s">
        <v>1337</v>
      </c>
      <c r="L47" s="3563"/>
      <c r="M47" s="3565">
        <f>'数据-取费表'!B2</f>
        <v>44378</v>
      </c>
      <c r="N47" s="3565"/>
      <c r="O47" s="3565"/>
    </row>
    <row r="48" spans="1:15" ht="25.5">
      <c r="A48" s="3625" t="s">
        <v>1338</v>
      </c>
      <c r="B48" s="3626"/>
      <c r="C48" s="362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3" t="s">
        <v>1340</v>
      </c>
      <c r="L48" s="3563"/>
      <c r="M48" s="3566" t="e">
        <f ca="1">H101</f>
        <v>#REF!</v>
      </c>
      <c r="N48" s="3566"/>
      <c r="O48" s="3566"/>
    </row>
    <row r="49" spans="1:35" ht="25.5" customHeight="1">
      <c r="A49" s="2333" t="s">
        <v>1341</v>
      </c>
      <c r="B49" s="3611" t="s">
        <v>1342</v>
      </c>
      <c r="C49" s="3611"/>
      <c r="D49" s="1590">
        <v>0</v>
      </c>
      <c r="E49" s="324" t="s">
        <v>1343</v>
      </c>
      <c r="F49" s="2424" t="s">
        <v>28</v>
      </c>
      <c r="G49" s="3594"/>
      <c r="H49" s="2310" t="s">
        <v>2134</v>
      </c>
      <c r="I49" s="2311"/>
      <c r="J49" s="2523">
        <v>4</v>
      </c>
      <c r="K49" s="3563" t="str">
        <f>IF(项目基本情况!E8="房地产抵押价值","房地产抵押价值","抵押担保权已注销时的房地产抵押价值")</f>
        <v>抵押担保权已注销时的房地产抵押价值</v>
      </c>
      <c r="L49" s="3563"/>
      <c r="M49" s="3566" t="str">
        <f>IF(项目基本情况!E8="房地产抵押价值",H107,H109)</f>
        <v>——</v>
      </c>
      <c r="N49" s="3566"/>
      <c r="O49" s="3566"/>
    </row>
    <row r="50" spans="1:35" ht="25.5" customHeight="1">
      <c r="A50" s="2551"/>
      <c r="B50" s="3611" t="s">
        <v>1344</v>
      </c>
      <c r="C50" s="3611"/>
      <c r="D50" s="2552"/>
      <c r="E50" s="332"/>
      <c r="F50" s="2424"/>
      <c r="G50" s="3595"/>
      <c r="H50" s="2312" t="s">
        <v>2135</v>
      </c>
      <c r="I50" s="2311"/>
      <c r="J50" s="3562" t="s">
        <v>1345</v>
      </c>
      <c r="K50" s="3562"/>
      <c r="L50" s="3562"/>
      <c r="M50" s="3562"/>
      <c r="N50" s="3562"/>
      <c r="O50" s="3562"/>
    </row>
    <row r="51" spans="1:35" ht="20.45" customHeight="1">
      <c r="A51" s="2553"/>
      <c r="B51" s="3611" t="s">
        <v>1346</v>
      </c>
      <c r="C51" s="3611"/>
      <c r="D51" s="1087"/>
      <c r="E51" s="327"/>
      <c r="F51" s="2424"/>
      <c r="G51" s="3596"/>
      <c r="H51" s="2312" t="s">
        <v>2136</v>
      </c>
      <c r="I51" s="2311"/>
      <c r="J51" s="2524" t="s">
        <v>1347</v>
      </c>
      <c r="K51" s="3563" t="s">
        <v>1348</v>
      </c>
      <c r="L51" s="3563"/>
      <c r="M51" s="2524" t="s">
        <v>1349</v>
      </c>
      <c r="N51" s="2524" t="s">
        <v>1350</v>
      </c>
      <c r="O51" s="2524" t="s">
        <v>1351</v>
      </c>
    </row>
    <row r="52" spans="1:35" ht="24" customHeight="1">
      <c r="A52" s="2335" t="s">
        <v>1352</v>
      </c>
      <c r="B52" s="3611" t="s">
        <v>1353</v>
      </c>
      <c r="C52" s="3611"/>
      <c r="D52" s="1087" t="e">
        <f ca="1">ROUND(D45*'数据-取费表'!B41/(1+'数据-取费表'!C42),0)</f>
        <v>#REF!</v>
      </c>
      <c r="E52" s="2334" t="s">
        <v>1354</v>
      </c>
      <c r="F52" s="2554">
        <f>'数据-取费表'!B41</f>
        <v>5.6000000000000001E-2</v>
      </c>
      <c r="G52" s="2555"/>
      <c r="H52" s="2544"/>
      <c r="I52" s="1807"/>
      <c r="J52" s="2523">
        <v>1</v>
      </c>
      <c r="K52" s="3588" t="s">
        <v>1355</v>
      </c>
      <c r="L52" s="3588"/>
      <c r="M52" s="2525" t="b">
        <f>D48</f>
        <v>0</v>
      </c>
      <c r="N52" s="2523" t="str">
        <f>E48</f>
        <v>销售额×税（费）率</v>
      </c>
      <c r="O52" s="2526">
        <f>F48</f>
        <v>5.6000000000000001E-2</v>
      </c>
    </row>
    <row r="53" spans="1:35" ht="12" customHeight="1">
      <c r="A53" s="2335" t="s">
        <v>1356</v>
      </c>
      <c r="B53" s="3612" t="s">
        <v>2291</v>
      </c>
      <c r="C53" s="3613"/>
      <c r="D53" s="1087" t="e">
        <f ca="1">ROUND(D45*'数据-取费表'!B41/(1+'数据-取费表'!C42),0)</f>
        <v>#REF!</v>
      </c>
      <c r="E53" s="2334" t="s">
        <v>1354</v>
      </c>
      <c r="F53" s="2554">
        <f>'数据-取费表'!B41</f>
        <v>5.6000000000000001E-2</v>
      </c>
      <c r="G53" s="2555"/>
      <c r="H53" s="2544"/>
      <c r="I53" s="1807"/>
      <c r="J53" s="2523">
        <v>2</v>
      </c>
      <c r="K53" s="3588" t="s">
        <v>1357</v>
      </c>
      <c r="L53" s="3588"/>
      <c r="M53" s="2525" t="e">
        <f t="shared" ref="M53:O54" ca="1" si="0">D55</f>
        <v>#REF!</v>
      </c>
      <c r="N53" s="2523" t="str">
        <f t="shared" si="0"/>
        <v>销售额×税（费）率</v>
      </c>
      <c r="O53" s="2526" t="str">
        <f t="shared" si="0"/>
        <v>免征</v>
      </c>
    </row>
    <row r="54" spans="1:35" ht="12" customHeight="1">
      <c r="A54" s="2335" t="s">
        <v>1358</v>
      </c>
      <c r="B54" s="3612" t="s">
        <v>2292</v>
      </c>
      <c r="C54" s="3613"/>
      <c r="D54" s="1087" t="e">
        <f ca="1">C68</f>
        <v>#REF!</v>
      </c>
      <c r="E54" s="327" t="s">
        <v>1359</v>
      </c>
      <c r="F54" s="2554">
        <f>'数据-取费表'!B41</f>
        <v>5.6000000000000001E-2</v>
      </c>
      <c r="G54" s="2555"/>
      <c r="H54" s="2556"/>
      <c r="I54" s="1807"/>
      <c r="J54" s="2523">
        <v>3</v>
      </c>
      <c r="K54" s="3588" t="s">
        <v>1360</v>
      </c>
      <c r="L54" s="3588"/>
      <c r="M54" s="2525" t="e">
        <f t="shared" ca="1" si="0"/>
        <v>#REF!</v>
      </c>
      <c r="N54" s="2523" t="str">
        <f t="shared" si="0"/>
        <v>增值额×税（费）率</v>
      </c>
      <c r="O54" s="2527" t="str">
        <f t="shared" si="0"/>
        <v>免征</v>
      </c>
    </row>
    <row r="55" spans="1:35" ht="24" customHeight="1">
      <c r="A55" s="3648" t="s">
        <v>1361</v>
      </c>
      <c r="B55" s="3626"/>
      <c r="C55" s="3626"/>
      <c r="D55" s="2324" t="e">
        <f ca="1">IF(H55="个人住宅",0,ROUND(D45*I55,0))</f>
        <v>#REF!</v>
      </c>
      <c r="E55" s="2334" t="s">
        <v>1362</v>
      </c>
      <c r="F55" s="2554" t="str">
        <f>IF(H55="正常",I55,"免征")</f>
        <v>免征</v>
      </c>
      <c r="G55" s="2555"/>
      <c r="H55" s="2550"/>
      <c r="I55" s="165">
        <f>'数据-取费表'!B49</f>
        <v>5.0000000000000001E-4</v>
      </c>
      <c r="J55" s="2523">
        <f>IF(H59="非个人房产","",4)</f>
        <v>4</v>
      </c>
      <c r="K55" s="3588" t="str">
        <f>IF(H59="非个人房产","——","个人所得税")</f>
        <v>个人所得税</v>
      </c>
      <c r="L55" s="3588"/>
      <c r="M55" s="2528" t="e">
        <f ca="1">D59</f>
        <v>#REF!</v>
      </c>
      <c r="N55" s="2040" t="str">
        <f>E59</f>
        <v>差额计税</v>
      </c>
      <c r="O55" s="2529">
        <f>F59</f>
        <v>0.01</v>
      </c>
    </row>
    <row r="56" spans="1:35" ht="24.75">
      <c r="A56" s="3648" t="s">
        <v>1363</v>
      </c>
      <c r="B56" s="3626"/>
      <c r="C56" s="3626"/>
      <c r="D56" s="2324" t="e">
        <f ca="1">IF(H56="个人住宅",D57,D58)</f>
        <v>#REF!</v>
      </c>
      <c r="E56" s="2334" t="s">
        <v>1364</v>
      </c>
      <c r="F56" s="2554" t="str">
        <f>IF(H56="正常",F58,"免征")</f>
        <v>免征</v>
      </c>
      <c r="G56" s="2557" t="s">
        <v>1365</v>
      </c>
      <c r="H56" s="2558"/>
      <c r="I56" s="1808"/>
      <c r="J56" s="2523" t="str">
        <f>IF(项目基本情况!K6="上海银行",IF(J55="",4,J55+1),"")</f>
        <v/>
      </c>
      <c r="K56" s="3569" t="str">
        <f>IF(项目基本情况!K6="上海银行","其他处置费用","")</f>
        <v/>
      </c>
      <c r="L56" s="3570"/>
      <c r="M56" s="2525" t="str">
        <f>IF(项目基本情况!K6="上海银行",M69,"")</f>
        <v/>
      </c>
      <c r="N56" s="3569" t="str">
        <f>IF(项目基本情况!K6="上海银行","包含处置中涉及的律师、诉讼、拍卖、评估等费用","")</f>
        <v/>
      </c>
      <c r="O56" s="3572"/>
    </row>
    <row r="57" spans="1:35" ht="12.75">
      <c r="A57" s="2335" t="s">
        <v>1341</v>
      </c>
      <c r="B57" s="3612" t="s">
        <v>1366</v>
      </c>
      <c r="C57" s="3613"/>
      <c r="D57" s="1590">
        <v>0</v>
      </c>
      <c r="E57" s="324" t="s">
        <v>1343</v>
      </c>
      <c r="F57" s="302"/>
      <c r="G57" s="2555"/>
      <c r="H57" s="2559"/>
      <c r="I57" s="1808"/>
      <c r="J57" s="3588">
        <f>IF(AND(J55="",J56=""),4,IF(项目基本情况!K6="上海银行",结果表!J56+1,结果表!J55+1))</f>
        <v>5</v>
      </c>
      <c r="K57" s="3588" t="s">
        <v>1367</v>
      </c>
      <c r="L57" s="2530" t="s">
        <v>1368</v>
      </c>
      <c r="M57" s="2531"/>
      <c r="N57" s="2532">
        <f ca="1">SUMIF(M52:M56,"&lt;9e307")</f>
        <v>0</v>
      </c>
      <c r="O57" s="2533"/>
      <c r="P57" s="2690" t="e">
        <f ca="1">N57/M49</f>
        <v>#VALUE!</v>
      </c>
    </row>
    <row r="58" spans="1:35" ht="24.75">
      <c r="A58" s="2335" t="s">
        <v>1352</v>
      </c>
      <c r="B58" s="3612" t="s">
        <v>1369</v>
      </c>
      <c r="C58" s="3611"/>
      <c r="D58" s="2324" t="e">
        <f ca="1">IF(H58="转让取得",C81,C97)</f>
        <v>#REF!</v>
      </c>
      <c r="E58" s="2334" t="s">
        <v>1364</v>
      </c>
      <c r="F58" s="302" t="s">
        <v>28</v>
      </c>
      <c r="G58" s="2555"/>
      <c r="H58" s="2558"/>
      <c r="I58" s="1808"/>
      <c r="J58" s="3588"/>
      <c r="K58" s="3588"/>
      <c r="L58" s="2530" t="s">
        <v>1370</v>
      </c>
      <c r="M58" s="2534"/>
      <c r="N58" s="2535" t="str">
        <f ca="1">NUMBERSTRING(INT(N57*10000),2)&amp;"元整"</f>
        <v>零元整</v>
      </c>
      <c r="O58" s="2536"/>
    </row>
    <row r="59" spans="1:35" ht="24.75" thickBot="1">
      <c r="A59" s="3592" t="s">
        <v>1371</v>
      </c>
      <c r="B59" s="3593"/>
      <c r="C59" s="359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0">
        <f>J57+1</f>
        <v>6</v>
      </c>
      <c r="K59" s="3588" t="s">
        <v>1372</v>
      </c>
      <c r="L59" s="2523" t="s">
        <v>1368</v>
      </c>
      <c r="M59" s="2537"/>
      <c r="N59" s="2538" t="e">
        <f ca="1">M49-N57</f>
        <v>#VALUE!</v>
      </c>
      <c r="O59" s="2539"/>
    </row>
    <row r="60" spans="1:35" ht="12" customHeight="1">
      <c r="A60" s="1809"/>
      <c r="B60" s="1747"/>
      <c r="C60" s="1747"/>
      <c r="D60" s="1747"/>
      <c r="E60" s="1578"/>
      <c r="F60" s="1808"/>
      <c r="G60" s="1808"/>
      <c r="H60" s="1810"/>
      <c r="I60" s="129"/>
      <c r="J60" s="3591"/>
      <c r="K60" s="3588"/>
      <c r="L60" s="2530" t="s">
        <v>1370</v>
      </c>
      <c r="M60" s="2534"/>
      <c r="N60" s="2535" t="e">
        <f ca="1">NUMBERSTRING(INT(N59*10000),2)&amp;"元整"</f>
        <v>#VALUE!</v>
      </c>
      <c r="O60" s="2536"/>
    </row>
    <row r="61" spans="1:35" ht="13.5" thickBot="1">
      <c r="A61" s="3647" t="s">
        <v>1373</v>
      </c>
      <c r="B61" s="3647"/>
      <c r="C61" s="3647"/>
      <c r="D61" s="3647"/>
      <c r="E61" s="3647"/>
      <c r="F61" s="1808"/>
      <c r="G61" s="1808"/>
      <c r="H61" s="1810"/>
      <c r="I61" s="129"/>
      <c r="J61" s="2523">
        <f>J59+1</f>
        <v>7</v>
      </c>
      <c r="K61" s="3588" t="s">
        <v>1374</v>
      </c>
      <c r="L61" s="3588"/>
      <c r="M61" s="2540"/>
      <c r="N61" s="2541" t="e">
        <f ca="1">ROUND(N59*10000/'数据-汇总表'!E3,0)</f>
        <v>#VALUE!</v>
      </c>
      <c r="O61" s="2542"/>
    </row>
    <row r="62" spans="1:35" ht="12.75">
      <c r="A62" s="3607" t="s">
        <v>1375</v>
      </c>
      <c r="B62" s="3608"/>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71"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1"/>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1"/>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71"/>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1"/>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5" t="s">
        <v>1394</v>
      </c>
      <c r="B70" s="3616"/>
      <c r="C70" s="3616"/>
      <c r="D70" s="3616"/>
      <c r="E70" s="3616"/>
      <c r="F70" s="3616"/>
      <c r="G70" s="3616"/>
      <c r="H70" s="361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7" t="s">
        <v>1375</v>
      </c>
      <c r="B71" s="360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2" t="s">
        <v>1402</v>
      </c>
      <c r="F76" s="3611"/>
      <c r="G76" s="3611"/>
      <c r="H76" s="361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04" t="s">
        <v>1406</v>
      </c>
      <c r="F78" s="3605"/>
      <c r="G78" s="3605"/>
      <c r="H78" s="360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5" t="s">
        <v>1410</v>
      </c>
      <c r="B83" s="3616"/>
      <c r="C83" s="3616"/>
      <c r="D83" s="3616"/>
      <c r="E83" s="3616"/>
      <c r="F83" s="3616"/>
      <c r="G83" s="3616"/>
      <c r="H83" s="361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7" t="s">
        <v>1375</v>
      </c>
      <c r="B84" s="360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3" t="s">
        <v>2129</v>
      </c>
      <c r="H90" s="357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4" t="s">
        <v>1419</v>
      </c>
      <c r="F91" s="3605"/>
      <c r="G91" s="360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4" t="s">
        <v>1422</v>
      </c>
      <c r="F92" s="3605"/>
      <c r="G92" s="3605"/>
      <c r="H92" s="360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04" t="s">
        <v>1406</v>
      </c>
      <c r="F93" s="3605"/>
      <c r="G93" s="3605"/>
      <c r="H93" s="360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9" t="s">
        <v>1426</v>
      </c>
      <c r="F94" s="3650"/>
      <c r="G94" s="3650"/>
      <c r="H94" s="365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4" t="s">
        <v>1428</v>
      </c>
      <c r="B100" s="3555"/>
      <c r="C100" s="3555"/>
      <c r="D100" s="3589"/>
      <c r="E100" s="3555" t="s">
        <v>1429</v>
      </c>
      <c r="F100" s="3555"/>
      <c r="G100" s="3555"/>
      <c r="H100" s="3589"/>
      <c r="I100" s="129"/>
    </row>
    <row r="101" spans="1:35" ht="18.75" customHeight="1">
      <c r="A101" s="3597" t="s">
        <v>1430</v>
      </c>
      <c r="B101" s="3598"/>
      <c r="C101" s="2585">
        <f>C4</f>
        <v>0</v>
      </c>
      <c r="D101" s="2586">
        <f>D4</f>
        <v>0</v>
      </c>
      <c r="E101" s="3567" t="s">
        <v>1431</v>
      </c>
      <c r="F101" s="3568"/>
      <c r="G101" s="1827" t="s">
        <v>1432</v>
      </c>
      <c r="H101" s="2595" t="e">
        <f ca="1">H118</f>
        <v>#REF!</v>
      </c>
      <c r="I101" s="129"/>
    </row>
    <row r="102" spans="1:35" ht="18.75" customHeight="1">
      <c r="A102" s="3599" t="s">
        <v>1433</v>
      </c>
      <c r="B102" s="2584" t="s">
        <v>1432</v>
      </c>
      <c r="C102" s="2585" t="e">
        <f ca="1">IF(D32="楼面单价",ROUND(C19,0),C19)</f>
        <v>#REF!</v>
      </c>
      <c r="D102" s="2586" t="e">
        <f ca="1">IF(D32="楼面单价",ROUND(D19,0),D19)</f>
        <v>#REF!</v>
      </c>
      <c r="E102" s="3567"/>
      <c r="F102" s="3568"/>
      <c r="G102" s="1827" t="s">
        <v>1434</v>
      </c>
      <c r="H102" s="2555" t="e">
        <f ca="1">I118</f>
        <v>#REF!</v>
      </c>
      <c r="I102" s="129"/>
    </row>
    <row r="103" spans="1:35" ht="42.75" customHeight="1">
      <c r="A103" s="3599"/>
      <c r="B103" s="2584" t="s">
        <v>1434</v>
      </c>
      <c r="C103" s="2587" t="e">
        <f ca="1">C20</f>
        <v>#REF!</v>
      </c>
      <c r="D103" s="2588" t="e">
        <f ca="1">D20</f>
        <v>#REF!</v>
      </c>
      <c r="E103" s="3560" t="s">
        <v>1435</v>
      </c>
      <c r="F103" s="3561"/>
      <c r="G103" s="1828" t="s">
        <v>1436</v>
      </c>
      <c r="H103" s="2595">
        <f>IF(D36="正常操作",H104+H105+H106,H105+H106)</f>
        <v>0</v>
      </c>
      <c r="I103" s="129"/>
    </row>
    <row r="104" spans="1:35" ht="18.75" customHeight="1">
      <c r="A104" s="359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0" t="str">
        <f>IF(项目基本情况!E8="已注销","——","3.房地产抵押价值")</f>
        <v>3.房地产抵押价值</v>
      </c>
      <c r="F107" s="3568"/>
      <c r="G107" s="1827" t="s">
        <v>1432</v>
      </c>
      <c r="H107" s="2595" t="e">
        <f ca="1">IF(E107="——","——",H101-H103)</f>
        <v>#REF!</v>
      </c>
      <c r="I107" s="129"/>
    </row>
    <row r="108" spans="1:35" ht="18.75" customHeight="1">
      <c r="A108" s="129"/>
      <c r="B108" s="129"/>
      <c r="C108" s="129"/>
      <c r="D108" s="129"/>
      <c r="E108" s="3600"/>
      <c r="F108" s="3568"/>
      <c r="G108" s="1827" t="s">
        <v>1434</v>
      </c>
      <c r="H108" s="2555">
        <f ca="1">IF(H107=H101,H102,ROUND(H107*10000/'数据-汇总表'!E3,0))</f>
        <v>0</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7" t="s">
        <v>1432</v>
      </c>
      <c r="H109" s="2598" t="str">
        <f>IF(E109="——","——",H101-H105-H106)</f>
        <v>——</v>
      </c>
      <c r="I109" s="129"/>
    </row>
    <row r="110" spans="1:35" ht="18.75" customHeight="1">
      <c r="A110" s="129"/>
      <c r="B110" s="129"/>
      <c r="C110" s="129"/>
      <c r="D110" s="129"/>
      <c r="E110" s="3600"/>
      <c r="F110" s="3568"/>
      <c r="G110" s="1827" t="s">
        <v>1434</v>
      </c>
      <c r="H110" s="2555"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v>
      </c>
      <c r="F111" s="3587"/>
      <c r="G111" s="1827" t="s">
        <v>1432</v>
      </c>
      <c r="H111" s="2595" t="str">
        <f>IF(E111="——","——",N59)</f>
        <v>——</v>
      </c>
      <c r="I111" s="129"/>
    </row>
    <row r="112" spans="1:35" ht="18.75" customHeight="1" thickBot="1">
      <c r="A112" s="129"/>
      <c r="B112" s="129"/>
      <c r="C112" s="129"/>
      <c r="D112" s="129"/>
      <c r="E112" s="3602"/>
      <c r="F112" s="3603"/>
      <c r="G112" s="1830" t="s">
        <v>1434</v>
      </c>
      <c r="H112" s="2599" t="str">
        <f>IF(E111="——","——",N61)</f>
        <v>——</v>
      </c>
      <c r="I112" s="129"/>
    </row>
    <row r="113" spans="1:27" ht="18.75" customHeight="1">
      <c r="A113" s="129"/>
      <c r="B113" s="129"/>
      <c r="C113" s="129"/>
      <c r="D113" s="129"/>
      <c r="E113" s="3610" t="s">
        <v>1440</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18" t="s">
        <v>1442</v>
      </c>
      <c r="B115" s="3619"/>
      <c r="C115" s="3619"/>
      <c r="D115" s="3619"/>
      <c r="E115" s="3619"/>
      <c r="F115" s="3619"/>
      <c r="G115" s="3619"/>
      <c r="H115" s="3619"/>
      <c r="I115" s="3620"/>
    </row>
    <row r="116" spans="1:27" ht="27" customHeight="1">
      <c r="A116" s="3575" t="s">
        <v>1443</v>
      </c>
      <c r="B116" s="3579" t="s">
        <v>1444</v>
      </c>
      <c r="C116" s="3579" t="s">
        <v>1445</v>
      </c>
      <c r="D116" s="3585" t="s">
        <v>1446</v>
      </c>
      <c r="E116" s="3586"/>
      <c r="F116" s="3617" t="s">
        <v>1447</v>
      </c>
      <c r="G116" s="3617"/>
      <c r="H116" s="3575" t="s">
        <v>1448</v>
      </c>
      <c r="I116" s="3575"/>
    </row>
    <row r="117" spans="1:27" ht="18.75" customHeight="1">
      <c r="A117" s="3575"/>
      <c r="B117" s="3580"/>
      <c r="C117" s="3580"/>
      <c r="D117" s="2329" t="s">
        <v>1449</v>
      </c>
      <c r="E117" s="2329" t="s">
        <v>1450</v>
      </c>
      <c r="F117" s="2329" t="s">
        <v>1449</v>
      </c>
      <c r="G117" s="2329" t="s">
        <v>1451</v>
      </c>
      <c r="H117" s="2329" t="s">
        <v>1449</v>
      </c>
      <c r="I117" s="2329" t="s">
        <v>1451</v>
      </c>
    </row>
    <row r="118" spans="1:27" ht="24.75" customHeight="1">
      <c r="A118" s="2600" t="str">
        <f>项目基本情况!S2</f>
        <v>房地产</v>
      </c>
      <c r="B118" s="2329">
        <f>M18</f>
        <v>128400</v>
      </c>
      <c r="C118" s="2329">
        <f>M19</f>
        <v>37047.599999999999</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5" t="s">
        <v>1452</v>
      </c>
      <c r="B119" s="3575"/>
      <c r="C119" s="3575"/>
      <c r="D119" s="3581" t="e">
        <f ca="1">NUMBERSTRING(INT(D118*10000),2)&amp;"元整"</f>
        <v>#REF!</v>
      </c>
      <c r="E119" s="3582"/>
      <c r="F119" s="3581" t="e">
        <f ca="1">NUMBERSTRING(INT(F118*10000),2)&amp;"元整"</f>
        <v>#REF!</v>
      </c>
      <c r="G119" s="3582"/>
      <c r="H119" s="3581" t="e">
        <f ca="1">NUMBERSTRING(INT(H118*10000),2)&amp;"元整"</f>
        <v>#REF!</v>
      </c>
      <c r="I119" s="3582"/>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1" t="s">
        <v>1452</v>
      </c>
      <c r="B121" s="3583"/>
      <c r="C121" s="3582"/>
      <c r="D121" s="3581" t="str">
        <f>IF(D120=0,"零元整",NUMBERSTRING(INT(D120*10000),2)&amp;"元整")</f>
        <v>零元整</v>
      </c>
      <c r="E121" s="3583"/>
      <c r="F121" s="3583"/>
      <c r="G121" s="3583"/>
      <c r="H121" s="3583"/>
      <c r="I121" s="3582"/>
      <c r="AA121" s="725"/>
    </row>
    <row r="122" spans="1:27" ht="18.75" customHeight="1">
      <c r="A122" s="3587" t="str">
        <f>IF(项目基本情况!B9="房地产市场价值","",MID(E107,3,LEN(E107)-2))</f>
        <v>房地产抵押价值</v>
      </c>
      <c r="B122" s="3587"/>
      <c r="C122" s="3587"/>
      <c r="D122" s="3576" t="e">
        <f ca="1">H107</f>
        <v>#REF!</v>
      </c>
      <c r="E122" s="3577"/>
      <c r="F122" s="3577"/>
      <c r="G122" s="3577"/>
      <c r="H122" s="3577"/>
      <c r="I122" s="3578"/>
      <c r="AA122" s="725"/>
    </row>
    <row r="123" spans="1:27" ht="18.75" customHeight="1">
      <c r="A123" s="3575" t="s">
        <v>1452</v>
      </c>
      <c r="B123" s="3575"/>
      <c r="C123" s="3575"/>
      <c r="D123" s="3581" t="e">
        <f ca="1">NUMBERSTRING(INT(D122*10000),2)&amp;"元整"</f>
        <v>#REF!</v>
      </c>
      <c r="E123" s="3583"/>
      <c r="F123" s="3583"/>
      <c r="G123" s="3583"/>
      <c r="H123" s="3583"/>
      <c r="I123" s="3582"/>
      <c r="AA123" s="725"/>
    </row>
    <row r="124" spans="1:27" ht="18.75" customHeight="1">
      <c r="A124" s="3587" t="str">
        <f>IF(项目基本情况!B9="房地产市场价值","",MID(E109,3,LEN(E109)-2))</f>
        <v/>
      </c>
      <c r="B124" s="3587"/>
      <c r="C124" s="3587"/>
      <c r="D124" s="3576" t="str">
        <f>H109</f>
        <v>——</v>
      </c>
      <c r="E124" s="3577"/>
      <c r="F124" s="3577"/>
      <c r="G124" s="3577"/>
      <c r="H124" s="3577"/>
      <c r="I124" s="3578"/>
      <c r="AA124" s="725"/>
    </row>
    <row r="125" spans="1:27" ht="18.75" customHeight="1">
      <c r="A125" s="3575" t="s">
        <v>1452</v>
      </c>
      <c r="B125" s="3575"/>
      <c r="C125" s="3575"/>
      <c r="D125" s="3581" t="e">
        <f>NUMBERSTRING(INT(D124*10000),2)&amp;"元整"</f>
        <v>#VALUE!</v>
      </c>
      <c r="E125" s="3583"/>
      <c r="F125" s="3583"/>
      <c r="G125" s="3583"/>
      <c r="H125" s="3583"/>
      <c r="I125" s="3582"/>
      <c r="AA125" s="725"/>
    </row>
    <row r="126" spans="1:27" ht="18.75" customHeight="1">
      <c r="A126" s="3587" t="str">
        <f>IF(项目基本情况!B9="房地产市场价值","",MID(E111,3,LEN(E111)-2))</f>
        <v/>
      </c>
      <c r="B126" s="3587"/>
      <c r="C126" s="3587"/>
      <c r="D126" s="3576" t="str">
        <f>H111</f>
        <v>——</v>
      </c>
      <c r="E126" s="3577"/>
      <c r="F126" s="3577"/>
      <c r="G126" s="3577"/>
      <c r="H126" s="3577"/>
      <c r="I126" s="3578"/>
      <c r="AA126" s="725"/>
    </row>
    <row r="127" spans="1:27" ht="18.75" customHeight="1">
      <c r="A127" s="3575" t="s">
        <v>1452</v>
      </c>
      <c r="B127" s="3575"/>
      <c r="C127" s="3575"/>
      <c r="D127" s="3581" t="e">
        <f>NUMBERSTRING(INT(D126*10000),2)&amp;"元整"</f>
        <v>#VALUE!</v>
      </c>
      <c r="E127" s="3583"/>
      <c r="F127" s="3583"/>
      <c r="G127" s="3583"/>
      <c r="H127" s="3583"/>
      <c r="I127" s="3582"/>
      <c r="AA127" s="725"/>
    </row>
    <row r="128" spans="1:27" ht="21.75" customHeight="1">
      <c r="A128" s="3584" t="s">
        <v>1453</v>
      </c>
      <c r="B128" s="3584"/>
      <c r="C128" s="3584"/>
      <c r="D128" s="3584"/>
      <c r="E128" s="3584"/>
      <c r="F128" s="3584"/>
      <c r="G128" s="3584"/>
      <c r="H128" s="3584"/>
      <c r="I128" s="358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view="pageBreakPreview" topLeftCell="A37" zoomScaleNormal="70" zoomScaleSheetLayoutView="100" workbookViewId="0">
      <selection activeCell="D36" sqref="D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0" s="200" customFormat="1" ht="20.25">
      <c r="A1" s="196" t="s">
        <v>1461</v>
      </c>
      <c r="B1" s="1470"/>
      <c r="C1" s="198"/>
      <c r="D1" s="198"/>
      <c r="E1" s="198"/>
      <c r="F1" s="198"/>
      <c r="G1" s="1126">
        <f>MATCH(B1,'数据-取费表'!A6:A16,0)+5</f>
        <v>8</v>
      </c>
    </row>
    <row r="2" spans="1:10" s="200" customFormat="1" ht="18" customHeight="1">
      <c r="A2" s="201" t="s">
        <v>1462</v>
      </c>
      <c r="B2" s="202">
        <f ca="1">IF(D2="——",C52,C52-E2)</f>
        <v>437324</v>
      </c>
      <c r="C2" s="199" t="s">
        <v>1463</v>
      </c>
      <c r="D2" s="1853" t="s">
        <v>43</v>
      </c>
      <c r="E2" s="1169" t="e">
        <f ca="1">SUMIF(INDIRECT("'"&amp;G2&amp;"'"&amp;"!A:A"),"承租人权益价值",INDIRECT("'"&amp;G2&amp;"'"&amp;"!c:c"))</f>
        <v>#REF!</v>
      </c>
      <c r="F2" s="1854" t="s">
        <v>1463</v>
      </c>
      <c r="G2" s="1855"/>
    </row>
    <row r="3" spans="1:10" s="200" customFormat="1" ht="18" customHeight="1" thickBot="1">
      <c r="A3" s="203" t="s">
        <v>1464</v>
      </c>
      <c r="B3" s="204">
        <f ca="1">ROUND(B2*10000/(IF(B1="",'数据-汇总表'!E3,INDIRECT("'数据-取费表'!k"&amp;$G$1))),0)</f>
        <v>34060</v>
      </c>
      <c r="C3" s="199" t="s">
        <v>1465</v>
      </c>
      <c r="D3" s="199"/>
      <c r="E3" s="199"/>
      <c r="F3" s="199"/>
      <c r="G3" s="199"/>
    </row>
    <row r="4" spans="1:10" s="208" customFormat="1" ht="15.75">
      <c r="A4" s="205" t="s">
        <v>1466</v>
      </c>
      <c r="B4" s="206"/>
      <c r="C4" s="206"/>
      <c r="D4" s="206"/>
      <c r="E4" s="206"/>
      <c r="F4" s="206"/>
      <c r="G4" s="207"/>
    </row>
    <row r="5" spans="1:10" s="214" customFormat="1" ht="13.5" customHeight="1">
      <c r="A5" s="255" t="s">
        <v>1467</v>
      </c>
      <c r="B5" s="210" t="s">
        <v>1468</v>
      </c>
      <c r="C5" s="211">
        <f>C6+C7+C8</f>
        <v>249840</v>
      </c>
      <c r="D5" s="211" t="s">
        <v>1469</v>
      </c>
      <c r="E5" s="212" t="s">
        <v>1470</v>
      </c>
      <c r="F5" s="212" t="s">
        <v>1471</v>
      </c>
      <c r="G5" s="213"/>
      <c r="J5" s="3455"/>
    </row>
    <row r="6" spans="1:10" s="214" customFormat="1" ht="13.5" customHeight="1">
      <c r="A6" s="778" t="s">
        <v>1472</v>
      </c>
      <c r="B6" s="215" t="s">
        <v>1473</v>
      </c>
      <c r="C6" s="216">
        <f>基准地价修正!B2</f>
        <v>242445</v>
      </c>
      <c r="D6" s="217"/>
      <c r="E6" s="218"/>
      <c r="F6" s="218"/>
      <c r="G6" s="219"/>
      <c r="J6" s="3455"/>
    </row>
    <row r="7" spans="1:10" s="214" customFormat="1" ht="13.5" customHeight="1">
      <c r="A7" s="778" t="s">
        <v>1474</v>
      </c>
      <c r="B7" s="215" t="s">
        <v>1475</v>
      </c>
      <c r="C7" s="220">
        <f>ROUND(C6*F7,0)</f>
        <v>7395</v>
      </c>
      <c r="D7" s="220"/>
      <c r="E7" s="218"/>
      <c r="F7" s="221">
        <f>IF(项目基本情况!B8="出让",0,'数据-取费表'!B48+'数据-取费表'!B49)</f>
        <v>3.0499999999999999E-2</v>
      </c>
      <c r="G7" s="219"/>
      <c r="J7" s="3455"/>
    </row>
    <row r="8" spans="1:10" s="223" customFormat="1">
      <c r="A8" s="778" t="s">
        <v>1476</v>
      </c>
      <c r="B8" s="215" t="s">
        <v>1477</v>
      </c>
      <c r="C8" s="220">
        <f>IF(G8="已包含在土地购买价格中","0",IF(B1="",'数据-取费表'!B29,IF(G9="全部缴纳",C9+C10,H9)))</f>
        <v>0</v>
      </c>
      <c r="D8" s="222"/>
      <c r="E8" s="220"/>
      <c r="F8" s="221"/>
      <c r="G8" s="1856" t="s">
        <v>3392</v>
      </c>
      <c r="J8" s="3455"/>
    </row>
    <row r="9" spans="1:10"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c r="J9" s="3455"/>
    </row>
    <row r="10" spans="1:10" s="214" customFormat="1" ht="13.5" customHeight="1">
      <c r="A10" s="779" t="s">
        <v>356</v>
      </c>
      <c r="B10" s="224" t="s">
        <v>1480</v>
      </c>
      <c r="C10" s="225">
        <f ca="1">ROUND(D10*E10/10000,0)</f>
        <v>2568</v>
      </c>
      <c r="D10" s="845">
        <f ca="1">IF(B1="",'数据-汇总表'!E6,IF(INDIRECT("'数据-取费表'!c"&amp;$G$1)="住宅",INDIRECT("'数据-取费表'!s"&amp;$G$1),INDIRECT("'数据-取费表'!k"&amp;$G$1)+INDIRECT("'数据-取费表'!s"&amp;$G$1)))</f>
        <v>128400</v>
      </c>
      <c r="E10" s="225">
        <f>'数据-取费表'!B28</f>
        <v>200</v>
      </c>
      <c r="F10" s="221"/>
      <c r="G10" s="226"/>
      <c r="J10" s="3455"/>
    </row>
    <row r="11" spans="1:10" s="214" customFormat="1" ht="13.5" hidden="1" customHeight="1">
      <c r="A11" s="227" t="s">
        <v>4</v>
      </c>
      <c r="B11" s="215" t="s">
        <v>1481</v>
      </c>
      <c r="C11" s="211"/>
      <c r="D11" s="847"/>
      <c r="E11" s="218"/>
      <c r="F11" s="218"/>
      <c r="G11" s="219"/>
      <c r="J11" s="3455"/>
    </row>
    <row r="12" spans="1:10" s="214" customFormat="1" ht="13.5" hidden="1" customHeight="1">
      <c r="A12" s="227" t="s">
        <v>5</v>
      </c>
      <c r="B12" s="215" t="s">
        <v>1482</v>
      </c>
      <c r="C12" s="211">
        <v>0</v>
      </c>
      <c r="D12" s="847"/>
      <c r="E12" s="228"/>
      <c r="F12" s="221">
        <v>3.0499999999999999E-2</v>
      </c>
      <c r="G12" s="219"/>
      <c r="J12" s="3455"/>
    </row>
    <row r="13" spans="1:10" s="214" customFormat="1" ht="13.5" hidden="1" customHeight="1">
      <c r="A13" s="227" t="s">
        <v>6</v>
      </c>
      <c r="B13" s="215" t="s">
        <v>1483</v>
      </c>
      <c r="C13" s="211"/>
      <c r="D13" s="847"/>
      <c r="E13" s="218"/>
      <c r="F13" s="218"/>
      <c r="G13" s="219"/>
      <c r="J13" s="3455"/>
    </row>
    <row r="14" spans="1:10" s="214" customFormat="1" ht="13.5" hidden="1" customHeight="1">
      <c r="A14" s="227" t="s">
        <v>7</v>
      </c>
      <c r="B14" s="215" t="s">
        <v>1484</v>
      </c>
      <c r="C14" s="211"/>
      <c r="D14" s="847"/>
      <c r="E14" s="218"/>
      <c r="F14" s="218"/>
      <c r="G14" s="219" t="s">
        <v>1485</v>
      </c>
      <c r="J14" s="3455"/>
    </row>
    <row r="15" spans="1:10" s="214" customFormat="1" ht="13.5" hidden="1" customHeight="1">
      <c r="A15" s="227" t="s">
        <v>8</v>
      </c>
      <c r="B15" s="215" t="s">
        <v>1486</v>
      </c>
      <c r="C15" s="220"/>
      <c r="D15" s="847"/>
      <c r="E15" s="218"/>
      <c r="F15" s="218"/>
      <c r="G15" s="219" t="s">
        <v>1487</v>
      </c>
      <c r="J15" s="3455"/>
    </row>
    <row r="16" spans="1:10" s="214" customFormat="1" ht="13.5" hidden="1" customHeight="1">
      <c r="A16" s="227" t="s">
        <v>9</v>
      </c>
      <c r="B16" s="215" t="s">
        <v>1484</v>
      </c>
      <c r="C16" s="220"/>
      <c r="D16" s="847"/>
      <c r="E16" s="218"/>
      <c r="F16" s="218"/>
      <c r="G16" s="219"/>
      <c r="J16" s="3455"/>
    </row>
    <row r="17" spans="1:10" s="214" customFormat="1" ht="13.5" hidden="1" customHeight="1">
      <c r="A17" s="227" t="s">
        <v>10</v>
      </c>
      <c r="B17" s="215" t="s">
        <v>1488</v>
      </c>
      <c r="C17" s="229"/>
      <c r="D17" s="848"/>
      <c r="E17" s="229"/>
      <c r="F17" s="229"/>
      <c r="G17" s="219" t="s">
        <v>1487</v>
      </c>
      <c r="J17" s="3455"/>
    </row>
    <row r="18" spans="1:10" s="214" customFormat="1" ht="13.5" hidden="1" customHeight="1">
      <c r="A18" s="227" t="s">
        <v>11</v>
      </c>
      <c r="B18" s="215" t="s">
        <v>1489</v>
      </c>
      <c r="C18" s="220">
        <v>0</v>
      </c>
      <c r="D18" s="847"/>
      <c r="E18" s="218"/>
      <c r="F18" s="221">
        <v>3.0499999999999999E-2</v>
      </c>
      <c r="G18" s="219" t="s">
        <v>1490</v>
      </c>
      <c r="J18" s="3455"/>
    </row>
    <row r="19" spans="1:10" s="223" customFormat="1" ht="13.5" customHeight="1">
      <c r="A19" s="255" t="s">
        <v>1491</v>
      </c>
      <c r="B19" s="210" t="s">
        <v>1492</v>
      </c>
      <c r="C19" s="211">
        <f ca="1">IF(G19="已包含在土地取得成本中","0",ROUND(D19*E19/10000,0))</f>
        <v>1284</v>
      </c>
      <c r="D19" s="849">
        <f ca="1">D9+D10</f>
        <v>128400</v>
      </c>
      <c r="E19" s="211">
        <f>'数据-取费表'!B31</f>
        <v>100</v>
      </c>
      <c r="F19" s="231"/>
      <c r="G19" s="1856" t="s">
        <v>436</v>
      </c>
      <c r="J19" s="3455"/>
    </row>
    <row r="20" spans="1:10" s="214" customFormat="1" ht="13.5" customHeight="1">
      <c r="A20" s="255" t="s">
        <v>1493</v>
      </c>
      <c r="B20" s="210" t="s">
        <v>1494</v>
      </c>
      <c r="C20" s="232">
        <f ca="1">ROUND((C5+C19)*F20,0)</f>
        <v>5022</v>
      </c>
      <c r="D20" s="232"/>
      <c r="E20" s="232"/>
      <c r="F20" s="233">
        <f>'数据-取费表'!B37</f>
        <v>0.02</v>
      </c>
      <c r="G20" s="234" t="s">
        <v>1495</v>
      </c>
      <c r="J20" s="3455"/>
    </row>
    <row r="21" spans="1:10" s="214" customFormat="1" ht="13.5" customHeight="1">
      <c r="A21" s="255" t="s">
        <v>1496</v>
      </c>
      <c r="B21" s="210" t="s">
        <v>1497</v>
      </c>
      <c r="C21" s="235">
        <f>F21</f>
        <v>0.02</v>
      </c>
      <c r="D21" s="236" t="s">
        <v>1498</v>
      </c>
      <c r="E21" s="232"/>
      <c r="F21" s="233">
        <f>'数据-取费表'!B38</f>
        <v>0.02</v>
      </c>
      <c r="G21" s="234" t="s">
        <v>1499</v>
      </c>
      <c r="J21" s="3455"/>
    </row>
    <row r="22" spans="1:10" s="214" customFormat="1" ht="13.5" customHeight="1">
      <c r="A22" s="255" t="s">
        <v>1500</v>
      </c>
      <c r="B22" s="210" t="s">
        <v>1501</v>
      </c>
      <c r="C22" s="1104">
        <f ca="1">ROUND(SUM(C23:C25),0)</f>
        <v>31192</v>
      </c>
      <c r="D22" s="235">
        <f ca="1">C26</f>
        <v>1.1999999999999999E-3</v>
      </c>
      <c r="E22" s="236" t="s">
        <v>1498</v>
      </c>
      <c r="F22" s="237">
        <f ca="1">'数据-取费表'!B40</f>
        <v>4.7500000000000001E-2</v>
      </c>
      <c r="G22" s="234" t="str">
        <f>IF('数据-取费表'!B22&lt;=1,"单利计息","复利计息")</f>
        <v>复利计息</v>
      </c>
      <c r="J22" s="3455"/>
    </row>
    <row r="23" spans="1:10" s="214" customFormat="1" ht="13.5" customHeight="1">
      <c r="A23" s="780" t="s">
        <v>1502</v>
      </c>
      <c r="B23" s="215" t="s">
        <v>1503</v>
      </c>
      <c r="C23" s="1105">
        <f ca="1">ROUND(IF('数据-取费表'!B22&lt;=1,C5*F22*'数据-取费表'!B23,C5*(POWER((1+F22),'数据-取费表'!B23)-1)),0)</f>
        <v>30734</v>
      </c>
      <c r="D23" s="238"/>
      <c r="E23" s="238"/>
      <c r="F23" s="239"/>
      <c r="G23" s="240" t="s">
        <v>1504</v>
      </c>
      <c r="J23" s="3455"/>
    </row>
    <row r="24" spans="1:10" s="214" customFormat="1" ht="13.5" customHeight="1">
      <c r="A24" s="780" t="s">
        <v>1505</v>
      </c>
      <c r="B24" s="215" t="s">
        <v>1506</v>
      </c>
      <c r="C24" s="1105">
        <f ca="1">ROUND(IF('数据-取费表'!B22&lt;=1,C19*F22*('数据-取费表'!B19/2+'数据-取费表'!B21),C19*(POWER((1+F22),('数据-取费表'!B19/2+'数据-取费表'!B21))-1)),0)</f>
        <v>158</v>
      </c>
      <c r="D24" s="238"/>
      <c r="E24" s="238"/>
      <c r="F24" s="239"/>
      <c r="G24" s="240" t="s">
        <v>1507</v>
      </c>
      <c r="J24" s="3455"/>
    </row>
    <row r="25" spans="1:10" s="214" customFormat="1" ht="24">
      <c r="A25" s="780" t="s">
        <v>1508</v>
      </c>
      <c r="B25" s="215" t="s">
        <v>1509</v>
      </c>
      <c r="C25" s="1105">
        <f ca="1">ROUND(IF('数据-取费表'!B22&lt;=1,C20*F22*'数据-取费表'!B23/2,C20*(POWER((1+F22),'数据-取费表'!B23/2)-1)),0)</f>
        <v>300</v>
      </c>
      <c r="D25" s="238"/>
      <c r="E25" s="241"/>
      <c r="F25" s="239"/>
      <c r="G25" s="242" t="s">
        <v>1510</v>
      </c>
      <c r="J25" s="3455"/>
    </row>
    <row r="26" spans="1:10" s="214" customFormat="1">
      <c r="A26" s="780" t="s">
        <v>350</v>
      </c>
      <c r="B26" s="215" t="s">
        <v>1511</v>
      </c>
      <c r="C26" s="238">
        <f ca="1">ROUND(IF('数据-取费表'!B22&lt;=1,F21*F22*'数据-取费表'!B23/2,F21*(POWER((1+F22),'数据-取费表'!B23/2)-1)),4)</f>
        <v>1.1999999999999999E-3</v>
      </c>
      <c r="D26" s="238"/>
      <c r="E26" s="241"/>
      <c r="F26" s="239"/>
      <c r="G26" s="243"/>
      <c r="J26" s="3455"/>
    </row>
    <row r="27" spans="1:10" s="214" customFormat="1" ht="24.75">
      <c r="A27" s="255" t="s">
        <v>1512</v>
      </c>
      <c r="B27" s="244" t="s">
        <v>1513</v>
      </c>
      <c r="C27" s="245">
        <f ca="1">C28</f>
        <v>38422</v>
      </c>
      <c r="D27" s="235">
        <f ca="1">C29</f>
        <v>3.0000000000000001E-3</v>
      </c>
      <c r="E27" s="236" t="s">
        <v>1514</v>
      </c>
      <c r="F27" s="246">
        <f ca="1">IF(B1="",'数据-取费表'!Q16,INDIRECT("'数据-取费表'!q"&amp;$G$1))</f>
        <v>0.15</v>
      </c>
      <c r="G27" s="247" t="s">
        <v>1515</v>
      </c>
      <c r="J27" s="3455"/>
    </row>
    <row r="28" spans="1:10" s="214" customFormat="1" ht="13.5" customHeight="1">
      <c r="A28" s="780" t="s">
        <v>346</v>
      </c>
      <c r="B28" s="248" t="s">
        <v>1516</v>
      </c>
      <c r="C28" s="249">
        <f ca="1">ROUND((C5+C19+C20)*F27*'数据-取费表'!B21/'数据-取费表'!B20,0)</f>
        <v>38422</v>
      </c>
      <c r="D28" s="235"/>
      <c r="E28" s="236"/>
      <c r="F28" s="246"/>
      <c r="G28" s="247"/>
      <c r="J28" s="3455"/>
    </row>
    <row r="29" spans="1:10" s="214" customFormat="1" ht="13.5" customHeight="1">
      <c r="A29" s="780" t="s">
        <v>347</v>
      </c>
      <c r="B29" s="248" t="s">
        <v>1517</v>
      </c>
      <c r="C29" s="238">
        <f ca="1">ROUND(C21*F27*'数据-取费表'!B21/'数据-取费表'!B20,4)</f>
        <v>3.0000000000000001E-3</v>
      </c>
      <c r="D29" s="235"/>
      <c r="E29" s="236"/>
      <c r="F29" s="246"/>
      <c r="G29" s="247"/>
      <c r="J29" s="3455"/>
    </row>
    <row r="30" spans="1:10" s="214" customFormat="1" ht="13.5" customHeight="1">
      <c r="A30" s="255" t="s">
        <v>1518</v>
      </c>
      <c r="B30" s="210" t="s">
        <v>1519</v>
      </c>
      <c r="C30" s="235">
        <f>ROUND(F30/(1+'数据-取费表'!C42),4)</f>
        <v>5.33E-2</v>
      </c>
      <c r="D30" s="236" t="s">
        <v>1514</v>
      </c>
      <c r="E30" s="241"/>
      <c r="F30" s="237">
        <f>'数据-取费表'!B41</f>
        <v>5.6000000000000001E-2</v>
      </c>
      <c r="G30" s="234" t="s">
        <v>1520</v>
      </c>
      <c r="J30" s="3455"/>
    </row>
    <row r="31" spans="1:10" ht="16.5" customHeight="1">
      <c r="A31" s="209">
        <v>1</v>
      </c>
      <c r="B31" s="210" t="s">
        <v>1521</v>
      </c>
      <c r="C31" s="211">
        <f ca="1">ROUND((C5+C19+C20+C22+C27)/(1-C21-D22-D27-C30),0)</f>
        <v>353127</v>
      </c>
      <c r="D31" s="230"/>
      <c r="E31" s="211"/>
      <c r="F31" s="250"/>
      <c r="G31" s="234" t="s">
        <v>1522</v>
      </c>
      <c r="J31" s="3455"/>
    </row>
    <row r="32" spans="1:10" s="208" customFormat="1" ht="15.75">
      <c r="A32" s="252" t="s">
        <v>1523</v>
      </c>
      <c r="B32" s="253"/>
      <c r="C32" s="253"/>
      <c r="D32" s="253"/>
      <c r="E32" s="253"/>
      <c r="F32" s="253"/>
      <c r="G32" s="254"/>
      <c r="J32" s="3455"/>
    </row>
    <row r="33" spans="1:10" s="214" customFormat="1" ht="13.5" customHeight="1">
      <c r="A33" s="255" t="s">
        <v>337</v>
      </c>
      <c r="B33" s="210" t="s">
        <v>1524</v>
      </c>
      <c r="C33" s="256">
        <f ca="1">SUM(C34:C38)</f>
        <v>62948</v>
      </c>
      <c r="D33" s="232"/>
      <c r="E33" s="212"/>
      <c r="F33" s="241"/>
      <c r="G33" s="234"/>
      <c r="J33" s="3455"/>
    </row>
    <row r="34" spans="1:10"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57780</v>
      </c>
      <c r="D34" s="217"/>
      <c r="E34" s="220"/>
      <c r="F34" s="257">
        <f ca="1">IF('数据-取费表'!B24=0,1,IF(B1="",'数据-取费表'!N16,INDIRECT("'数据-取费表'!n"&amp;$G$1)))</f>
        <v>1</v>
      </c>
      <c r="G34" s="219" t="s">
        <v>1526</v>
      </c>
      <c r="J34" s="3455"/>
    </row>
    <row r="35" spans="1:10" ht="13.5" customHeight="1">
      <c r="A35" s="780" t="s">
        <v>351</v>
      </c>
      <c r="B35" s="215" t="s">
        <v>1527</v>
      </c>
      <c r="C35" s="220">
        <f ca="1">ROUND(C34*F35,0)</f>
        <v>1733</v>
      </c>
      <c r="D35" s="220"/>
      <c r="E35" s="220"/>
      <c r="F35" s="259">
        <f>'数据-取费表'!B33</f>
        <v>0.03</v>
      </c>
      <c r="G35" s="219" t="s">
        <v>1528</v>
      </c>
      <c r="J35" s="3455"/>
    </row>
    <row r="36" spans="1:10"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c r="J36" s="3455"/>
    </row>
    <row r="37" spans="1:10" s="258" customFormat="1" ht="13.5" customHeight="1">
      <c r="A37" s="780" t="s">
        <v>353</v>
      </c>
      <c r="B37" s="215" t="s">
        <v>1531</v>
      </c>
      <c r="C37" s="249">
        <f ca="1">ROUND(E37*D37*F34/10000,0)</f>
        <v>2568</v>
      </c>
      <c r="D37" s="217">
        <f ca="1">D19</f>
        <v>128400</v>
      </c>
      <c r="E37" s="249">
        <f>'数据-取费表'!B35</f>
        <v>200</v>
      </c>
      <c r="F37" s="259"/>
      <c r="G37" s="261" t="s">
        <v>1532</v>
      </c>
      <c r="J37" s="3455"/>
    </row>
    <row r="38" spans="1:10" ht="13.5" customHeight="1">
      <c r="A38" s="780" t="s">
        <v>354</v>
      </c>
      <c r="B38" s="215" t="s">
        <v>1533</v>
      </c>
      <c r="C38" s="220">
        <f ca="1">ROUND(C34*F38,0)</f>
        <v>867</v>
      </c>
      <c r="D38" s="220"/>
      <c r="E38" s="220"/>
      <c r="F38" s="259">
        <f>'数据-取费表'!B36</f>
        <v>1.4999999999999999E-2</v>
      </c>
      <c r="G38" s="219" t="s">
        <v>1528</v>
      </c>
      <c r="J38" s="3455"/>
    </row>
    <row r="39" spans="1:10" s="214" customFormat="1" ht="13.5" customHeight="1">
      <c r="A39" s="255" t="s">
        <v>1534</v>
      </c>
      <c r="B39" s="210" t="s">
        <v>1535</v>
      </c>
      <c r="C39" s="232">
        <f ca="1">ROUND(C33*F20,0)</f>
        <v>1259</v>
      </c>
      <c r="D39" s="232"/>
      <c r="E39" s="232"/>
      <c r="F39" s="233">
        <f>F20</f>
        <v>0.02</v>
      </c>
      <c r="G39" s="234" t="s">
        <v>1536</v>
      </c>
      <c r="J39" s="3455"/>
    </row>
    <row r="40" spans="1:10" s="214" customFormat="1" ht="13.5" customHeight="1">
      <c r="A40" s="255" t="s">
        <v>1537</v>
      </c>
      <c r="B40" s="210" t="s">
        <v>1538</v>
      </c>
      <c r="C40" s="1327">
        <f>F21</f>
        <v>0.02</v>
      </c>
      <c r="D40" s="236" t="s">
        <v>1539</v>
      </c>
      <c r="E40" s="232"/>
      <c r="F40" s="233">
        <f>F21</f>
        <v>0.02</v>
      </c>
      <c r="G40" s="234" t="s">
        <v>1540</v>
      </c>
      <c r="J40" s="3455"/>
    </row>
    <row r="41" spans="1:10" s="214" customFormat="1" ht="13.5" customHeight="1">
      <c r="A41" s="255" t="s">
        <v>1541</v>
      </c>
      <c r="B41" s="210" t="s">
        <v>1542</v>
      </c>
      <c r="C41" s="232">
        <f ca="1">ROUND(SUM(C42:C43),0)</f>
        <v>3834</v>
      </c>
      <c r="D41" s="235">
        <f ca="1">C44</f>
        <v>1.1999999999999999E-3</v>
      </c>
      <c r="E41" s="236" t="s">
        <v>1539</v>
      </c>
      <c r="F41" s="237">
        <f ca="1">F22</f>
        <v>4.7500000000000001E-2</v>
      </c>
      <c r="G41" s="234" t="str">
        <f>IF('数据-取费表'!B22&lt;=1,"单利计息","复利计息")</f>
        <v>复利计息</v>
      </c>
      <c r="J41" s="3455"/>
    </row>
    <row r="42" spans="1:10" ht="13.5" customHeight="1">
      <c r="A42" s="780" t="s">
        <v>346</v>
      </c>
      <c r="B42" s="215" t="s">
        <v>1543</v>
      </c>
      <c r="C42" s="238">
        <f ca="1">ROUND(IF('数据-取费表'!B22&lt;=1,C33*F22*'数据-取费表'!B21/2,C33*(POWER((1+F22),'数据-取费表'!B21/2)-1)),0)</f>
        <v>3759</v>
      </c>
      <c r="D42" s="238"/>
      <c r="E42" s="238"/>
      <c r="F42" s="239"/>
      <c r="G42" s="3654" t="s">
        <v>1544</v>
      </c>
      <c r="J42" s="3455"/>
    </row>
    <row r="43" spans="1:10" ht="13.5" customHeight="1">
      <c r="A43" s="780" t="s">
        <v>347</v>
      </c>
      <c r="B43" s="215" t="s">
        <v>1545</v>
      </c>
      <c r="C43" s="238">
        <f ca="1">ROUND(IF('数据-取费表'!B22&lt;=1,C39*F22*'数据-取费表'!B21/2,C39*(POWER((1+F22),'数据-取费表'!B21/2)-1)),0)</f>
        <v>75</v>
      </c>
      <c r="D43" s="238"/>
      <c r="E43" s="238"/>
      <c r="F43" s="239"/>
      <c r="G43" s="3655"/>
      <c r="J43" s="3455"/>
    </row>
    <row r="44" spans="1:10" ht="13.5" customHeight="1">
      <c r="A44" s="780" t="s">
        <v>348</v>
      </c>
      <c r="B44" s="215" t="s">
        <v>1546</v>
      </c>
      <c r="C44" s="238">
        <f ca="1">ROUND(IF('数据-取费表'!B22&lt;=1,C40*F22*'数据-取费表'!B21/2,C40*(POWER((1+F22),'数据-取费表'!B21/2)-1)),4)</f>
        <v>1.1999999999999999E-3</v>
      </c>
      <c r="D44" s="238"/>
      <c r="E44" s="238"/>
      <c r="F44" s="239"/>
      <c r="G44" s="3656"/>
      <c r="J44" s="3455"/>
    </row>
    <row r="45" spans="1:10" s="214" customFormat="1" ht="13.5" customHeight="1">
      <c r="A45" s="255" t="s">
        <v>1547</v>
      </c>
      <c r="B45" s="244" t="s">
        <v>1513</v>
      </c>
      <c r="C45" s="245">
        <f ca="1">C46</f>
        <v>9631</v>
      </c>
      <c r="D45" s="235">
        <f ca="1">C47</f>
        <v>3.0000000000000001E-3</v>
      </c>
      <c r="E45" s="236" t="s">
        <v>1539</v>
      </c>
      <c r="F45" s="246">
        <f ca="1">F27</f>
        <v>0.15</v>
      </c>
      <c r="G45" s="247" t="s">
        <v>1548</v>
      </c>
      <c r="J45" s="3455"/>
    </row>
    <row r="46" spans="1:10" s="214" customFormat="1" ht="13.5" customHeight="1">
      <c r="A46" s="780" t="s">
        <v>346</v>
      </c>
      <c r="B46" s="248" t="s">
        <v>1549</v>
      </c>
      <c r="C46" s="249">
        <f ca="1">ROUND((C33+C39)*F27,0)</f>
        <v>9631</v>
      </c>
      <c r="D46" s="263"/>
      <c r="E46" s="236"/>
      <c r="F46" s="246"/>
      <c r="G46" s="247"/>
      <c r="J46" s="3455"/>
    </row>
    <row r="47" spans="1:10" s="214" customFormat="1" ht="13.5" customHeight="1">
      <c r="A47" s="780" t="s">
        <v>347</v>
      </c>
      <c r="B47" s="248" t="s">
        <v>1550</v>
      </c>
      <c r="C47" s="238">
        <f ca="1">ROUND(C40*F27,4)</f>
        <v>3.0000000000000001E-3</v>
      </c>
      <c r="D47" s="263"/>
      <c r="E47" s="236"/>
      <c r="F47" s="246"/>
      <c r="G47" s="247"/>
      <c r="J47" s="3455"/>
    </row>
    <row r="48" spans="1:10" s="214" customFormat="1" ht="13.5" customHeight="1">
      <c r="A48" s="255" t="s">
        <v>1512</v>
      </c>
      <c r="B48" s="210" t="s">
        <v>1551</v>
      </c>
      <c r="C48" s="1327">
        <f>ROUND(F30/(1+'数据-取费表'!C42),4)</f>
        <v>5.33E-2</v>
      </c>
      <c r="D48" s="236" t="s">
        <v>1539</v>
      </c>
      <c r="E48" s="232"/>
      <c r="F48" s="237">
        <f>F30</f>
        <v>5.6000000000000001E-2</v>
      </c>
      <c r="G48" s="234" t="s">
        <v>1552</v>
      </c>
      <c r="J48" s="3455"/>
    </row>
    <row r="49" spans="1:10" ht="16.5" customHeight="1">
      <c r="A49" s="255" t="s">
        <v>1518</v>
      </c>
      <c r="B49" s="210" t="s">
        <v>1553</v>
      </c>
      <c r="C49" s="232">
        <f ca="1">ROUND((C33+C39+C41+C45)/(1-C40-D41-D45-C48),0)</f>
        <v>84197</v>
      </c>
      <c r="D49" s="232"/>
      <c r="E49" s="232"/>
      <c r="F49" s="264"/>
      <c r="G49" s="234" t="s">
        <v>1554</v>
      </c>
      <c r="J49" s="3455"/>
    </row>
    <row r="50" spans="1:10" s="258" customFormat="1" ht="24">
      <c r="A50" s="255" t="s">
        <v>1555</v>
      </c>
      <c r="B50" s="210" t="s">
        <v>1556</v>
      </c>
      <c r="C50" s="232"/>
      <c r="D50" s="232"/>
      <c r="E50" s="232"/>
      <c r="F50" s="264">
        <f>IF('数据-取费表'!B24=0,'数据-取费表'!N16,1)</f>
        <v>1</v>
      </c>
      <c r="G50" s="247" t="s">
        <v>1557</v>
      </c>
      <c r="J50" s="3455"/>
    </row>
    <row r="51" spans="1:10" ht="16.5" customHeight="1">
      <c r="A51" s="255" t="s">
        <v>1558</v>
      </c>
      <c r="B51" s="210" t="s">
        <v>1559</v>
      </c>
      <c r="C51" s="232">
        <f ca="1">ROUND(C49*F50,0)</f>
        <v>84197</v>
      </c>
      <c r="D51" s="232"/>
      <c r="E51" s="232"/>
      <c r="F51" s="264"/>
      <c r="G51" s="234" t="s">
        <v>1560</v>
      </c>
      <c r="J51" s="3455"/>
    </row>
    <row r="52" spans="1:10" s="208" customFormat="1" ht="16.5" thickBot="1">
      <c r="A52" s="265" t="s">
        <v>1561</v>
      </c>
      <c r="B52" s="266"/>
      <c r="C52" s="267">
        <f ca="1">C31+C51</f>
        <v>437324</v>
      </c>
      <c r="D52" s="266"/>
      <c r="E52" s="266"/>
      <c r="F52" s="266"/>
      <c r="G52" s="268"/>
      <c r="J52" s="3455"/>
    </row>
    <row r="55" spans="1:10" ht="15">
      <c r="B55" s="270" t="s">
        <v>1562</v>
      </c>
      <c r="C55" s="271"/>
      <c r="D55" s="3456"/>
      <c r="E55" s="3458" t="s">
        <v>3390</v>
      </c>
      <c r="F55" s="3459">
        <f ca="1">B2-F62</f>
        <v>327319.2</v>
      </c>
      <c r="G55" s="3460" t="s">
        <v>3391</v>
      </c>
    </row>
    <row r="56" spans="1:10" ht="14.25">
      <c r="B56" s="273" t="s">
        <v>802</v>
      </c>
      <c r="C56" s="275">
        <f ca="1">1-C57</f>
        <v>0.80699999999999994</v>
      </c>
      <c r="D56" s="3457"/>
      <c r="E56" s="3461" t="s">
        <v>3389</v>
      </c>
      <c r="F56" s="3462">
        <f ca="1">ROUND(F55/F64,0)</f>
        <v>6450</v>
      </c>
      <c r="G56" s="3460" t="s">
        <v>3394</v>
      </c>
    </row>
    <row r="57" spans="1:10">
      <c r="B57" s="273" t="s">
        <v>803</v>
      </c>
      <c r="C57" s="274">
        <f ca="1">ROUND(C51/C52,3)</f>
        <v>0.193</v>
      </c>
    </row>
    <row r="59" spans="1:10">
      <c r="D59" s="3463" t="s">
        <v>3401</v>
      </c>
      <c r="E59" s="3454" t="str">
        <f>'数据-取费表'!A6</f>
        <v>无偿还建</v>
      </c>
      <c r="F59" s="251">
        <f>'数据-取费表'!K6</f>
        <v>38900</v>
      </c>
      <c r="G59" s="3453" t="s">
        <v>3396</v>
      </c>
    </row>
    <row r="60" spans="1:10">
      <c r="D60" s="3463" t="s">
        <v>3401</v>
      </c>
      <c r="E60" s="272" t="str">
        <f>'数据-取费表'!A7</f>
        <v>回购</v>
      </c>
      <c r="F60" s="251">
        <f>'数据-取费表'!K7</f>
        <v>89500</v>
      </c>
      <c r="G60" s="3453" t="s">
        <v>3396</v>
      </c>
    </row>
    <row r="61" spans="1:10">
      <c r="A61" s="3450"/>
      <c r="B61" s="3452"/>
      <c r="C61" s="3451"/>
      <c r="D61" s="3463"/>
    </row>
    <row r="62" spans="1:10">
      <c r="A62" s="3450"/>
      <c r="B62" s="3453"/>
      <c r="D62" s="3463" t="s">
        <v>3401</v>
      </c>
      <c r="E62" s="3454" t="s">
        <v>3397</v>
      </c>
      <c r="F62" s="251">
        <v>110004.8</v>
      </c>
      <c r="G62" s="3453" t="s">
        <v>3398</v>
      </c>
    </row>
    <row r="63" spans="1:10">
      <c r="D63" s="3464"/>
    </row>
    <row r="64" spans="1:10">
      <c r="D64" s="3463" t="s">
        <v>3401</v>
      </c>
      <c r="E64" s="3454" t="s">
        <v>3399</v>
      </c>
      <c r="F64" s="251">
        <v>50.75</v>
      </c>
      <c r="G64" s="3453" t="s">
        <v>3400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1" t="str">
        <f>项目基本情况!B1</f>
        <v>预评估</v>
      </c>
      <c r="C37" s="3471"/>
      <c r="D37" s="3471"/>
      <c r="E37" s="3471"/>
      <c r="F37" s="3471"/>
      <c r="G37" s="3471"/>
      <c r="H37" s="3471"/>
      <c r="I37" s="347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89614.7791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6979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25680000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25680000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25680000</v>
      </c>
      <c r="D10" s="845">
        <f ca="1">IF(B1="",'数据-汇总表'!E6,IF(INDIRECT("'数据-取费表'!c"&amp;$G$1)="住宅",INDIRECT("'数据-取费表'!s"&amp;$G$1),INDIRECT("'数据-取费表'!k"&amp;$G$1)+INDIRECT("'数据-取费表'!s"&amp;$G$1)))</f>
        <v>128400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12840000</v>
      </c>
      <c r="D19" s="849">
        <f ca="1">D9+D10</f>
        <v>128400</v>
      </c>
      <c r="E19" s="211">
        <f>'数据-取费表'!B31</f>
        <v>100</v>
      </c>
      <c r="F19" s="231"/>
      <c r="G19" s="1856"/>
    </row>
    <row r="20" spans="1:7" s="214" customFormat="1" ht="13.5" customHeight="1">
      <c r="A20" s="255" t="s">
        <v>1574</v>
      </c>
      <c r="B20" s="210" t="s">
        <v>1575</v>
      </c>
      <c r="C20" s="232">
        <f ca="1">ROUND((C5+C19)*F20,0)</f>
        <v>770400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4784501</v>
      </c>
      <c r="D22" s="235">
        <f ca="1">C26</f>
        <v>1.1999999999999999E-3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3158993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1579497</v>
      </c>
      <c r="D24" s="238"/>
      <c r="E24" s="238"/>
      <c r="F24" s="239"/>
      <c r="G24" s="240" t="s">
        <v>1586</v>
      </c>
    </row>
    <row r="25" spans="1:7" s="214" customFormat="1" ht="24">
      <c r="A25" s="780" t="s">
        <v>1476</v>
      </c>
      <c r="B25" s="215" t="s">
        <v>1587</v>
      </c>
      <c r="C25" s="1128">
        <f ca="1">ROUND(IF('数据-取费表'!B22&lt;=1,C20*F22*'数据-取费表'!B22/2,C20*(POWER((1+F22),'数据-取费表'!B22/2)-1)),0)</f>
        <v>46011</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4.75">
      <c r="A27" s="255" t="s">
        <v>1512</v>
      </c>
      <c r="B27" s="244" t="s">
        <v>1513</v>
      </c>
      <c r="C27" s="245">
        <f ca="1">C28</f>
        <v>5893560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5893560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54166353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629481000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577800000</v>
      </c>
      <c r="D34" s="217"/>
      <c r="E34" s="220"/>
      <c r="F34" s="257"/>
      <c r="G34" s="219"/>
    </row>
    <row r="35" spans="1:7" ht="13.5" customHeight="1">
      <c r="A35" s="780" t="s">
        <v>351</v>
      </c>
      <c r="B35" s="215" t="s">
        <v>1527</v>
      </c>
      <c r="C35" s="220">
        <f ca="1">ROUND(C34*F35,0)</f>
        <v>17334000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25680000</v>
      </c>
      <c r="D37" s="217">
        <f ca="1">D19</f>
        <v>128400</v>
      </c>
      <c r="E37" s="249">
        <f>'数据-取费表'!B35</f>
        <v>200</v>
      </c>
      <c r="F37" s="259"/>
      <c r="G37" s="261"/>
    </row>
    <row r="38" spans="1:7" ht="13.5" customHeight="1">
      <c r="A38" s="780" t="s">
        <v>354</v>
      </c>
      <c r="B38" s="215" t="s">
        <v>1533</v>
      </c>
      <c r="C38" s="220">
        <f ca="1">ROUND(C34*F38,0)</f>
        <v>8667000</v>
      </c>
      <c r="D38" s="220"/>
      <c r="E38" s="220"/>
      <c r="F38" s="259">
        <f>'数据-取费表'!B36</f>
        <v>1.4999999999999999E-2</v>
      </c>
      <c r="G38" s="219" t="s">
        <v>1528</v>
      </c>
    </row>
    <row r="39" spans="1:7" s="214" customFormat="1" ht="13.5" customHeight="1">
      <c r="A39" s="255" t="s">
        <v>1534</v>
      </c>
      <c r="B39" s="210" t="s">
        <v>1535</v>
      </c>
      <c r="C39" s="232">
        <f ca="1">ROUND(C33*F20,0)</f>
        <v>12589620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38346664</v>
      </c>
      <c r="D41" s="235">
        <f ca="1">C44</f>
        <v>1.1999999999999999E-3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37594769</v>
      </c>
      <c r="D42" s="238"/>
      <c r="E42" s="238"/>
      <c r="F42" s="239"/>
      <c r="G42" s="3654" t="s">
        <v>1591</v>
      </c>
    </row>
    <row r="43" spans="1:7" ht="13.5" customHeight="1">
      <c r="A43" s="780" t="s">
        <v>347</v>
      </c>
      <c r="B43" s="215" t="s">
        <v>1545</v>
      </c>
      <c r="C43" s="238">
        <f ca="1">ROUND(IF('数据-取费表'!B22&lt;=1,C39*F22*'数据-取费表'!B20/2,C39*(POWER((1+F22),'数据-取费表'!B20/2)-1)),0)</f>
        <v>751895</v>
      </c>
      <c r="D43" s="238"/>
      <c r="E43" s="238"/>
      <c r="F43" s="239"/>
      <c r="G43" s="3655"/>
    </row>
    <row r="44" spans="1:7" ht="13.5" customHeight="1">
      <c r="A44" s="780" t="s">
        <v>348</v>
      </c>
      <c r="B44" s="215" t="s">
        <v>1546</v>
      </c>
      <c r="C44" s="238">
        <f ca="1">ROUND(IF('数据-取费表'!B22&lt;=1,C40*F22*'数据-取费表'!B20/2,C40*(POWER((1+F22),'数据-取费表'!B20/2)-1)),4)</f>
        <v>1.1999999999999999E-3</v>
      </c>
      <c r="D44" s="238"/>
      <c r="E44" s="238"/>
      <c r="F44" s="239"/>
      <c r="G44" s="3656"/>
    </row>
    <row r="45" spans="1:7" s="214" customFormat="1" ht="13.5" customHeight="1">
      <c r="A45" s="255" t="s">
        <v>1547</v>
      </c>
      <c r="B45" s="244" t="s">
        <v>1513</v>
      </c>
      <c r="C45" s="245">
        <f ca="1">C46</f>
        <v>96310593</v>
      </c>
      <c r="D45" s="235">
        <f ca="1">C47</f>
        <v>3.0000000000000001E-3</v>
      </c>
      <c r="E45" s="236" t="s">
        <v>1539</v>
      </c>
      <c r="F45" s="246">
        <f ca="1">F27</f>
        <v>0.15</v>
      </c>
      <c r="G45" s="247" t="s">
        <v>1548</v>
      </c>
    </row>
    <row r="46" spans="1:7" s="214" customFormat="1" ht="13.5" customHeight="1">
      <c r="A46" s="780" t="s">
        <v>346</v>
      </c>
      <c r="B46" s="248" t="s">
        <v>1549</v>
      </c>
      <c r="C46" s="249">
        <f ca="1">ROUND((C33+C39)*F27,0)</f>
        <v>96310593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841981438</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841981438</v>
      </c>
      <c r="D51" s="232"/>
      <c r="E51" s="232"/>
      <c r="F51" s="264"/>
      <c r="G51" s="234" t="s">
        <v>1560</v>
      </c>
    </row>
    <row r="52" spans="1:7" s="208" customFormat="1" ht="16.5" thickBot="1">
      <c r="A52" s="265" t="s">
        <v>1561</v>
      </c>
      <c r="B52" s="266"/>
      <c r="C52" s="267">
        <f ca="1">C31+C51</f>
        <v>896147791</v>
      </c>
      <c r="D52" s="266"/>
      <c r="E52" s="266"/>
      <c r="F52" s="266"/>
      <c r="G52" s="268"/>
    </row>
    <row r="55" spans="1:7" ht="15">
      <c r="B55" s="270" t="s">
        <v>1562</v>
      </c>
      <c r="C55" s="271"/>
    </row>
    <row r="56" spans="1:7">
      <c r="B56" s="273" t="s">
        <v>802</v>
      </c>
      <c r="C56" s="275">
        <f ca="1">1-C57</f>
        <v>6.0000000000000053E-2</v>
      </c>
    </row>
    <row r="57" spans="1:7">
      <c r="B57" s="273" t="s">
        <v>803</v>
      </c>
      <c r="C57" s="274">
        <f ca="1">ROUND(C51/C52,3)</f>
        <v>0.94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-4391</v>
      </c>
      <c r="C2" s="276" t="s">
        <v>1595</v>
      </c>
      <c r="D2" s="276"/>
      <c r="E2" s="2806"/>
      <c r="F2" s="2806"/>
      <c r="G2" s="2806"/>
      <c r="H2" s="2806"/>
      <c r="I2" s="2806"/>
      <c r="J2" s="2806"/>
      <c r="K2" s="2806"/>
    </row>
    <row r="3" spans="1:33" ht="18" customHeight="1" thickBot="1">
      <c r="A3" s="203" t="s">
        <v>1464</v>
      </c>
      <c r="B3" s="204">
        <f ca="1">ROUND(B2*10000/IF(C1="",'数据-汇总表'!E3,INDIRECT("'数据-取费表'!K"&amp;$K$1)),0)</f>
        <v>-342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128400</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1284</v>
      </c>
      <c r="D17" s="846">
        <f ca="1">D14</f>
        <v>128400</v>
      </c>
      <c r="E17" s="21">
        <f>'数据-取费表'!B32</f>
        <v>100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2568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2568</v>
      </c>
      <c r="D20" s="846">
        <f ca="1">IF(C1="",'数据-汇总表'!E6,IF(INDIRECT("'数据-取费表'!c"&amp;$K$1)="住宅",INDIRECT("'数据-取费表'!s"&amp;$K$1),INDIRECT("'数据-取费表'!k"&amp;$K$1)+INDIRECT("'数据-取费表'!s"&amp;$K$1)))</f>
        <v>128400</v>
      </c>
      <c r="E20" s="21">
        <f>'数据-取费表'!B28</f>
        <v>200</v>
      </c>
      <c r="F20" s="804"/>
      <c r="G20" s="12"/>
      <c r="H20" s="809"/>
      <c r="I20" s="809"/>
      <c r="J20" s="809"/>
      <c r="K20" s="810"/>
    </row>
    <row r="21" spans="1:33" s="803" customFormat="1" ht="13.5" customHeight="1">
      <c r="A21" s="790" t="s">
        <v>357</v>
      </c>
      <c r="B21" s="813" t="s">
        <v>1628</v>
      </c>
      <c r="C21" s="814">
        <f ca="1">C16+C17+C18</f>
        <v>3852</v>
      </c>
      <c r="D21" s="815"/>
      <c r="E21" s="281"/>
      <c r="F21" s="281"/>
      <c r="G21" s="131" t="s">
        <v>1629</v>
      </c>
      <c r="H21" s="807"/>
      <c r="I21" s="807"/>
      <c r="J21" s="807"/>
      <c r="K21" s="808"/>
    </row>
    <row r="22" spans="1:33" s="803" customFormat="1" ht="13.5" customHeight="1">
      <c r="A22" s="790" t="s">
        <v>1601</v>
      </c>
      <c r="B22" s="813" t="s">
        <v>1630</v>
      </c>
      <c r="C22" s="814">
        <f ca="1">ROUND(C21*F22,0)</f>
        <v>77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589</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589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-4391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9" t="s">
        <v>694</v>
      </c>
      <c r="C6" s="1074">
        <f ca="1">ROUND(F6*F8*F7*(1-F9)/10000,0)</f>
        <v>0</v>
      </c>
      <c r="D6" s="155" t="s">
        <v>2109</v>
      </c>
      <c r="E6" s="302" t="s">
        <v>696</v>
      </c>
      <c r="F6" s="303">
        <f ca="1">INDIRECT("'数据-取费表'!u"&amp;$G$1)</f>
        <v>0</v>
      </c>
      <c r="G6" s="1384"/>
      <c r="H6" s="1069" t="s">
        <v>398</v>
      </c>
      <c r="I6" s="3659" t="s">
        <v>694</v>
      </c>
      <c r="J6" s="301">
        <f ca="1">ROUND(M6*M8*M7*(1-M9)/10000,0)</f>
        <v>0</v>
      </c>
      <c r="K6" s="155" t="s">
        <v>2108</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0</v>
      </c>
      <c r="G7" s="1384"/>
      <c r="H7" s="304"/>
      <c r="I7" s="3660"/>
      <c r="J7" s="306"/>
      <c r="K7" s="307"/>
      <c r="L7" s="302" t="s">
        <v>697</v>
      </c>
      <c r="M7" s="303">
        <f ca="1">F7</f>
        <v>0</v>
      </c>
    </row>
    <row r="8" spans="1:37" ht="18" customHeight="1">
      <c r="A8" s="304"/>
      <c r="B8" s="3660"/>
      <c r="C8" s="306"/>
      <c r="D8" s="307"/>
      <c r="E8" s="302" t="s">
        <v>698</v>
      </c>
      <c r="F8" s="303">
        <f ca="1">INDIRECT("'数据-取费表'!ai"&amp;$G$1)</f>
        <v>0</v>
      </c>
      <c r="G8" s="1384"/>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7" t="s">
        <v>837</v>
      </c>
      <c r="L53" s="365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9" t="s">
        <v>694</v>
      </c>
      <c r="C6" s="1074">
        <f ca="1">ROUND(F6*F8*F7*(1-F9),0)</f>
        <v>0</v>
      </c>
      <c r="D6" s="155" t="s">
        <v>2106</v>
      </c>
      <c r="E6" s="302" t="s">
        <v>696</v>
      </c>
      <c r="F6" s="303">
        <f ca="1">INDIRECT("'数据-取费表'!u"&amp;$G$1)</f>
        <v>0</v>
      </c>
      <c r="G6" s="1384"/>
      <c r="H6" s="1069" t="s">
        <v>398</v>
      </c>
      <c r="I6" s="3659" t="s">
        <v>694</v>
      </c>
      <c r="J6" s="301">
        <f ca="1">ROUND(M6*M8*M7*(1-M9),0)</f>
        <v>0</v>
      </c>
      <c r="K6" s="1376" t="s">
        <v>2107</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0</v>
      </c>
      <c r="G7" s="1384"/>
      <c r="H7" s="304"/>
      <c r="I7" s="3660"/>
      <c r="J7" s="306"/>
      <c r="K7" s="307"/>
      <c r="L7" s="302" t="s">
        <v>697</v>
      </c>
      <c r="M7" s="303">
        <f ca="1">F7</f>
        <v>0</v>
      </c>
    </row>
    <row r="8" spans="1:37" ht="18" customHeight="1">
      <c r="A8" s="304"/>
      <c r="B8" s="3660"/>
      <c r="C8" s="306"/>
      <c r="D8" s="307"/>
      <c r="E8" s="302" t="s">
        <v>698</v>
      </c>
      <c r="F8" s="303">
        <f ca="1">INDIRECT("'数据-取费表'!ai"&amp;$G$1)</f>
        <v>0</v>
      </c>
      <c r="G8" s="1384"/>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7" t="s">
        <v>837</v>
      </c>
      <c r="L53" s="365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62" t="s">
        <v>2320</v>
      </c>
      <c r="K2" s="3663"/>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4" t="s">
        <v>2330</v>
      </c>
      <c r="K3" s="3665"/>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4" t="s">
        <v>2332</v>
      </c>
      <c r="K4" s="3665"/>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6" t="s">
        <v>2336</v>
      </c>
      <c r="B6" s="3667"/>
      <c r="C6" s="3668"/>
      <c r="D6" s="2870"/>
      <c r="E6" s="2871"/>
      <c r="F6" s="2872"/>
      <c r="G6" s="2873"/>
      <c r="H6" s="2848"/>
      <c r="I6" s="2849"/>
      <c r="J6" s="3669">
        <v>1</v>
      </c>
      <c r="K6" s="3670"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69"/>
      <c r="K7" s="3671"/>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3" t="s">
        <v>2350</v>
      </c>
      <c r="C8" s="3674"/>
      <c r="D8" s="2889" t="s">
        <v>2351</v>
      </c>
      <c r="E8" s="2890" t="s">
        <v>2352</v>
      </c>
      <c r="F8" s="2891" t="s">
        <v>2353</v>
      </c>
      <c r="G8" s="2892"/>
      <c r="H8" s="2848"/>
      <c r="I8" s="2849"/>
      <c r="J8" s="3669"/>
      <c r="K8" s="3671"/>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3" t="s">
        <v>2356</v>
      </c>
      <c r="C9" s="3674"/>
      <c r="D9" s="2889">
        <f>ROUND(D6*E9,0)</f>
        <v>0</v>
      </c>
      <c r="E9" s="2893"/>
      <c r="F9" s="2894" t="s">
        <v>2357</v>
      </c>
      <c r="G9" s="2873"/>
      <c r="H9" s="2848"/>
      <c r="I9" s="2849"/>
      <c r="J9" s="3669"/>
      <c r="K9" s="3671"/>
      <c r="L9" s="2883" t="s">
        <v>2358</v>
      </c>
      <c r="M9" s="2884"/>
      <c r="N9" s="2860"/>
      <c r="O9" s="2885"/>
      <c r="P9" s="2885"/>
      <c r="Q9" s="2886">
        <v>365</v>
      </c>
      <c r="R9" s="2887">
        <f t="shared" si="0"/>
        <v>0</v>
      </c>
      <c r="S9" s="2841"/>
      <c r="T9" s="2841"/>
      <c r="U9" s="2841"/>
      <c r="V9" s="2849"/>
    </row>
    <row r="10" spans="1:22" s="2853" customFormat="1" ht="13.15" customHeight="1">
      <c r="A10" s="2888">
        <v>2</v>
      </c>
      <c r="B10" s="3673" t="s">
        <v>2359</v>
      </c>
      <c r="C10" s="3674"/>
      <c r="D10" s="2889">
        <f>ROUND(D6*E10,0)</f>
        <v>0</v>
      </c>
      <c r="E10" s="2893"/>
      <c r="F10" s="2894" t="s">
        <v>2360</v>
      </c>
      <c r="G10" s="2873"/>
      <c r="H10" s="2848"/>
      <c r="I10" s="2849"/>
      <c r="J10" s="3669"/>
      <c r="K10" s="3671"/>
      <c r="L10" s="2883" t="s">
        <v>2361</v>
      </c>
      <c r="M10" s="2884"/>
      <c r="N10" s="2860"/>
      <c r="O10" s="2885"/>
      <c r="P10" s="2885"/>
      <c r="Q10" s="2886">
        <v>365</v>
      </c>
      <c r="R10" s="2887">
        <f t="shared" si="0"/>
        <v>0</v>
      </c>
      <c r="S10" s="2841"/>
      <c r="T10" s="2841"/>
      <c r="U10" s="2841"/>
      <c r="V10" s="2849"/>
    </row>
    <row r="11" spans="1:22" s="2853" customFormat="1" ht="13.15" customHeight="1">
      <c r="A11" s="2888">
        <v>3</v>
      </c>
      <c r="B11" s="3673" t="s">
        <v>2362</v>
      </c>
      <c r="C11" s="3674"/>
      <c r="D11" s="2889">
        <f>D12+D14+D15+D16</f>
        <v>0</v>
      </c>
      <c r="E11" s="2895" t="e">
        <f>D11/D6</f>
        <v>#DIV/0!</v>
      </c>
      <c r="F11" s="2891"/>
      <c r="G11" s="2892"/>
      <c r="H11" s="2848"/>
      <c r="I11" s="2849"/>
      <c r="J11" s="3669"/>
      <c r="K11" s="3671"/>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75" t="s">
        <v>2365</v>
      </c>
      <c r="C12" s="3676"/>
      <c r="D12" s="2897">
        <f>ROUND(D13*1.2%*(1-30%),0)</f>
        <v>0</v>
      </c>
      <c r="E12" s="2898">
        <v>1.2E-2</v>
      </c>
      <c r="F12" s="2891" t="s">
        <v>2366</v>
      </c>
      <c r="G12" s="2892"/>
      <c r="H12" s="2848"/>
      <c r="I12" s="2849"/>
      <c r="J12" s="3669"/>
      <c r="K12" s="3671"/>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69"/>
      <c r="K13" s="3671"/>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75" t="s">
        <v>2371</v>
      </c>
      <c r="C14" s="3676"/>
      <c r="D14" s="2897">
        <f>ROUND(E14*B5/10000,0)</f>
        <v>0</v>
      </c>
      <c r="E14" s="2886"/>
      <c r="F14" s="2891" t="s">
        <v>2372</v>
      </c>
      <c r="G14" s="2892"/>
      <c r="H14" s="2848"/>
      <c r="I14" s="2849"/>
      <c r="J14" s="3669"/>
      <c r="K14" s="3672"/>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75" t="s">
        <v>2375</v>
      </c>
      <c r="C15" s="3676"/>
      <c r="D15" s="2897">
        <f>ROUND(D6*E15,0)</f>
        <v>0</v>
      </c>
      <c r="E15" s="2898">
        <v>5.5E-2</v>
      </c>
      <c r="F15" s="2891" t="s">
        <v>2376</v>
      </c>
      <c r="G15" s="2873"/>
      <c r="H15" s="2848"/>
      <c r="I15" s="2849"/>
      <c r="J15" s="3669">
        <v>2</v>
      </c>
      <c r="K15" s="3670"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75" t="s">
        <v>2384</v>
      </c>
      <c r="C16" s="3676"/>
      <c r="D16" s="2908">
        <f>D6*E16</f>
        <v>0</v>
      </c>
      <c r="E16" s="2909"/>
      <c r="F16" s="2894" t="s">
        <v>2385</v>
      </c>
      <c r="G16" s="2873"/>
      <c r="H16" s="2848"/>
      <c r="I16" s="2849"/>
      <c r="J16" s="3669"/>
      <c r="K16" s="3671"/>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77" t="s">
        <v>2387</v>
      </c>
      <c r="C17" s="3678"/>
      <c r="D17" s="2911">
        <f>ROUND(D6*E17,0)</f>
        <v>0</v>
      </c>
      <c r="E17" s="2912"/>
      <c r="F17" s="2913" t="s">
        <v>2388</v>
      </c>
      <c r="G17" s="2873"/>
      <c r="H17" s="2848"/>
      <c r="I17" s="2849"/>
      <c r="J17" s="3669"/>
      <c r="K17" s="3671"/>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69"/>
      <c r="K18" s="3671"/>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69"/>
      <c r="K19" s="3672"/>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9">
        <v>3</v>
      </c>
      <c r="K20" s="3670"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69"/>
      <c r="K21" s="3671"/>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69"/>
      <c r="K22" s="3671"/>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69"/>
      <c r="K23" s="3671"/>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69"/>
      <c r="K24" s="3672"/>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79">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8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62" t="s">
        <v>2320</v>
      </c>
      <c r="K32" s="3663"/>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4" t="s">
        <v>2330</v>
      </c>
      <c r="K33" s="3665"/>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4" t="s">
        <v>2332</v>
      </c>
      <c r="K34" s="366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69">
        <v>1</v>
      </c>
      <c r="K36" s="3670"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69"/>
      <c r="K37" s="3671"/>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9"/>
      <c r="K38" s="3671"/>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69"/>
      <c r="K39" s="3671"/>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69"/>
      <c r="K40" s="3672"/>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9">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8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1" t="s">
        <v>1654</v>
      </c>
      <c r="C5" s="3682"/>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128400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1" t="s">
        <v>1667</v>
      </c>
      <c r="D4" s="3702"/>
      <c r="E4" s="3703" t="s">
        <v>1668</v>
      </c>
      <c r="F4" s="3704"/>
      <c r="G4" s="3701" t="s">
        <v>1669</v>
      </c>
      <c r="H4" s="3702"/>
      <c r="I4" s="3701" t="s">
        <v>1670</v>
      </c>
      <c r="J4" s="3702"/>
      <c r="K4" s="1889" t="s">
        <v>1671</v>
      </c>
      <c r="L4" s="2715"/>
      <c r="M4" s="2716"/>
      <c r="N4" s="2716"/>
      <c r="O4" s="2716"/>
      <c r="P4" s="3705" t="s">
        <v>1672</v>
      </c>
      <c r="Q4" s="3706"/>
      <c r="R4" s="3688" t="s">
        <v>1668</v>
      </c>
      <c r="S4" s="3689"/>
      <c r="T4" s="3688" t="s">
        <v>1669</v>
      </c>
      <c r="U4" s="3689"/>
      <c r="V4" s="3713" t="s">
        <v>1670</v>
      </c>
      <c r="W4" s="3713"/>
      <c r="X4" s="1355"/>
      <c r="Y4" s="3688" t="s">
        <v>1672</v>
      </c>
      <c r="Z4" s="3689"/>
      <c r="AA4" s="3683" t="s">
        <v>1668</v>
      </c>
      <c r="AB4" s="3683" t="s">
        <v>1669</v>
      </c>
      <c r="AC4" s="3683" t="s">
        <v>1670</v>
      </c>
    </row>
    <row r="5" spans="1:29" ht="15">
      <c r="A5" s="358"/>
      <c r="B5" s="359"/>
      <c r="C5" s="3694" t="s">
        <v>1673</v>
      </c>
      <c r="D5" s="3695"/>
      <c r="E5" s="3692" t="s">
        <v>1674</v>
      </c>
      <c r="F5" s="3693"/>
      <c r="G5" s="3694" t="s">
        <v>1675</v>
      </c>
      <c r="H5" s="3695"/>
      <c r="I5" s="3694" t="s">
        <v>1676</v>
      </c>
      <c r="J5" s="3695"/>
      <c r="K5" s="1890"/>
      <c r="L5" s="2715"/>
      <c r="M5" s="2716"/>
      <c r="N5" s="2716"/>
      <c r="O5" s="2716"/>
      <c r="P5" s="3707"/>
      <c r="Q5" s="3708"/>
      <c r="R5" s="3690"/>
      <c r="S5" s="3691"/>
      <c r="T5" s="3690"/>
      <c r="U5" s="3691"/>
      <c r="V5" s="3713"/>
      <c r="W5" s="3713"/>
      <c r="X5" s="1355"/>
      <c r="Y5" s="3690"/>
      <c r="Z5" s="3691"/>
      <c r="AA5" s="3684"/>
      <c r="AB5" s="3684"/>
      <c r="AC5" s="3684"/>
    </row>
    <row r="6" spans="1:29" ht="15.75" thickBot="1">
      <c r="A6" s="360"/>
      <c r="B6" s="361"/>
      <c r="C6" s="3696" t="s">
        <v>1677</v>
      </c>
      <c r="D6" s="3697"/>
      <c r="E6" s="3698" t="s">
        <v>1677</v>
      </c>
      <c r="F6" s="3699"/>
      <c r="G6" s="3696" t="s">
        <v>1677</v>
      </c>
      <c r="H6" s="3697"/>
      <c r="I6" s="3696" t="s">
        <v>1677</v>
      </c>
      <c r="J6" s="3697"/>
      <c r="K6" s="1890" t="s">
        <v>1678</v>
      </c>
      <c r="L6" s="2715"/>
      <c r="M6" s="2716"/>
      <c r="N6" s="2716"/>
      <c r="O6" s="2716"/>
      <c r="P6" s="3709"/>
      <c r="Q6" s="3710"/>
      <c r="R6" s="3690"/>
      <c r="S6" s="3691"/>
      <c r="T6" s="3711"/>
      <c r="U6" s="3712"/>
      <c r="V6" s="3713"/>
      <c r="W6" s="3713"/>
      <c r="X6" s="1355"/>
      <c r="Y6" s="3711"/>
      <c r="Z6" s="3712"/>
      <c r="AA6" s="3685"/>
      <c r="AB6" s="3685"/>
      <c r="AC6" s="3685"/>
    </row>
    <row r="7" spans="1:29" s="108" customFormat="1" ht="15.75" thickBot="1">
      <c r="A7" s="362" t="s">
        <v>1679</v>
      </c>
      <c r="B7" s="363"/>
      <c r="C7" s="364">
        <f>'数据-取费表'!B2</f>
        <v>44378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6" t="s">
        <v>1680</v>
      </c>
      <c r="Q7" s="3714"/>
      <c r="R7" s="701" t="s">
        <v>20</v>
      </c>
      <c r="S7" s="702">
        <f t="shared" ref="S7:S15" si="0">F7</f>
        <v>0</v>
      </c>
      <c r="T7" s="701" t="s">
        <v>20</v>
      </c>
      <c r="U7" s="702">
        <f t="shared" ref="U7:U15" si="1">H7</f>
        <v>0</v>
      </c>
      <c r="V7" s="701" t="s">
        <v>20</v>
      </c>
      <c r="W7" s="702">
        <f t="shared" ref="W7:W15"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6" t="s">
        <v>1683</v>
      </c>
      <c r="Q8" s="3687"/>
      <c r="R8" s="701" t="s">
        <v>20</v>
      </c>
      <c r="S8" s="702">
        <f t="shared" si="0"/>
        <v>100</v>
      </c>
      <c r="T8" s="701" t="s">
        <v>20</v>
      </c>
      <c r="U8" s="702">
        <f t="shared" si="1"/>
        <v>100</v>
      </c>
      <c r="V8" s="701" t="s">
        <v>20</v>
      </c>
      <c r="W8" s="702">
        <f t="shared" si="2"/>
        <v>100</v>
      </c>
      <c r="X8" s="703"/>
      <c r="Y8" s="3686" t="s">
        <v>1683</v>
      </c>
      <c r="Z8" s="368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0"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0"/>
      <c r="Q11" s="1343" t="str">
        <f t="shared" si="6"/>
        <v>容积率</v>
      </c>
      <c r="R11" s="701" t="s">
        <v>18</v>
      </c>
      <c r="S11" s="702" t="e">
        <f t="shared" si="0"/>
        <v>#N/A</v>
      </c>
      <c r="T11" s="701" t="s">
        <v>18</v>
      </c>
      <c r="U11" s="702" t="e">
        <f t="shared" si="1"/>
        <v>#N/A</v>
      </c>
      <c r="V11" s="701" t="s">
        <v>18</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0"/>
      <c r="Q12" s="1343">
        <f t="shared" si="6"/>
        <v>111</v>
      </c>
      <c r="R12" s="701" t="s">
        <v>18</v>
      </c>
      <c r="S12" s="702">
        <f t="shared" si="0"/>
        <v>100</v>
      </c>
      <c r="T12" s="701" t="s">
        <v>18</v>
      </c>
      <c r="U12" s="702">
        <f t="shared" si="1"/>
        <v>100</v>
      </c>
      <c r="V12" s="701" t="s">
        <v>18</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0"/>
      <c r="Q13" s="1343">
        <f t="shared" si="6"/>
        <v>111</v>
      </c>
      <c r="R13" s="701" t="s">
        <v>18</v>
      </c>
      <c r="S13" s="702">
        <f t="shared" si="0"/>
        <v>100</v>
      </c>
      <c r="T13" s="701" t="s">
        <v>18</v>
      </c>
      <c r="U13" s="702">
        <f t="shared" si="1"/>
        <v>100</v>
      </c>
      <c r="V13" s="701" t="s">
        <v>18</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0"/>
      <c r="Q14" s="1343">
        <f t="shared" si="6"/>
        <v>111</v>
      </c>
      <c r="R14" s="701" t="s">
        <v>18</v>
      </c>
      <c r="S14" s="702">
        <f t="shared" si="0"/>
        <v>100</v>
      </c>
      <c r="T14" s="701" t="s">
        <v>18</v>
      </c>
      <c r="U14" s="702">
        <f t="shared" si="1"/>
        <v>100</v>
      </c>
      <c r="V14" s="701" t="s">
        <v>18</v>
      </c>
      <c r="W14" s="702">
        <f t="shared" si="2"/>
        <v>100</v>
      </c>
      <c r="X14" s="703"/>
      <c r="Y14" s="363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7" t="s">
        <v>1691</v>
      </c>
      <c r="Q15" s="1352" t="str">
        <f t="shared" si="6"/>
        <v>居住社区成熟度</v>
      </c>
      <c r="R15" s="705" t="s">
        <v>18</v>
      </c>
      <c r="S15" s="706">
        <f t="shared" si="0"/>
        <v>100</v>
      </c>
      <c r="T15" s="705" t="s">
        <v>18</v>
      </c>
      <c r="U15" s="706">
        <f t="shared" si="1"/>
        <v>100</v>
      </c>
      <c r="V15" s="705" t="s">
        <v>18</v>
      </c>
      <c r="W15" s="706">
        <f t="shared" si="2"/>
        <v>100</v>
      </c>
      <c r="X15" s="1355"/>
      <c r="Y15" s="372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8"/>
      <c r="Q16" s="1352"/>
      <c r="R16" s="705"/>
      <c r="S16" s="706"/>
      <c r="T16" s="705"/>
      <c r="U16" s="706"/>
      <c r="V16" s="705"/>
      <c r="W16" s="706"/>
      <c r="X16" s="1355"/>
      <c r="Y16" s="372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8"/>
      <c r="Q17" s="1352" t="str">
        <f>B17</f>
        <v>交通便捷度</v>
      </c>
      <c r="R17" s="705" t="s">
        <v>18</v>
      </c>
      <c r="S17" s="706">
        <f>F17</f>
        <v>100</v>
      </c>
      <c r="T17" s="705" t="s">
        <v>18</v>
      </c>
      <c r="U17" s="706">
        <f>H17</f>
        <v>100</v>
      </c>
      <c r="V17" s="705" t="s">
        <v>18</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8"/>
      <c r="Q18" s="1352"/>
      <c r="R18" s="705"/>
      <c r="S18" s="706"/>
      <c r="T18" s="705"/>
      <c r="U18" s="706"/>
      <c r="V18" s="705"/>
      <c r="W18" s="706"/>
      <c r="X18" s="1355"/>
      <c r="Y18" s="372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8"/>
      <c r="Q19" s="1352" t="str">
        <f>B19</f>
        <v>公共配套设施</v>
      </c>
      <c r="R19" s="705" t="s">
        <v>18</v>
      </c>
      <c r="S19" s="706">
        <f>F19</f>
        <v>100</v>
      </c>
      <c r="T19" s="705" t="s">
        <v>18</v>
      </c>
      <c r="U19" s="706">
        <f>H19</f>
        <v>100</v>
      </c>
      <c r="V19" s="705" t="s">
        <v>18</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8"/>
      <c r="Q20" s="1352"/>
      <c r="R20" s="705"/>
      <c r="S20" s="706"/>
      <c r="T20" s="705"/>
      <c r="U20" s="706"/>
      <c r="V20" s="705"/>
      <c r="W20" s="706"/>
      <c r="X20" s="1355"/>
      <c r="Y20" s="372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8"/>
      <c r="Q22" s="1352"/>
      <c r="R22" s="705"/>
      <c r="S22" s="706"/>
      <c r="T22" s="705"/>
      <c r="U22" s="706"/>
      <c r="V22" s="705"/>
      <c r="W22" s="706"/>
      <c r="X22" s="1355"/>
      <c r="Y22" s="372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8"/>
      <c r="Q23" s="1352" t="str">
        <f>B23</f>
        <v>自然及人文环境</v>
      </c>
      <c r="R23" s="705" t="s">
        <v>18</v>
      </c>
      <c r="S23" s="706">
        <f>F23</f>
        <v>100</v>
      </c>
      <c r="T23" s="705" t="s">
        <v>18</v>
      </c>
      <c r="U23" s="706">
        <f>H23</f>
        <v>100</v>
      </c>
      <c r="V23" s="705" t="s">
        <v>18</v>
      </c>
      <c r="W23" s="706">
        <f>J23</f>
        <v>100</v>
      </c>
      <c r="X23" s="1355"/>
      <c r="Y23" s="372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8"/>
      <c r="Q24" s="1352"/>
      <c r="R24" s="705"/>
      <c r="S24" s="706"/>
      <c r="T24" s="705"/>
      <c r="U24" s="706"/>
      <c r="V24" s="705"/>
      <c r="W24" s="706"/>
      <c r="X24" s="1355"/>
      <c r="Y24" s="372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8"/>
      <c r="Q26" s="1352" t="str">
        <f t="shared" si="11"/>
        <v>朝向</v>
      </c>
      <c r="R26" s="705" t="s">
        <v>18</v>
      </c>
      <c r="S26" s="706">
        <f t="shared" si="12"/>
        <v>100</v>
      </c>
      <c r="T26" s="705" t="s">
        <v>18</v>
      </c>
      <c r="U26" s="706">
        <f t="shared" si="13"/>
        <v>100</v>
      </c>
      <c r="V26" s="705" t="s">
        <v>18</v>
      </c>
      <c r="W26" s="706">
        <f t="shared" si="14"/>
        <v>100</v>
      </c>
      <c r="X26" s="1355"/>
      <c r="Y26" s="372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8"/>
      <c r="Q27" s="1343">
        <f t="shared" si="11"/>
        <v>111</v>
      </c>
      <c r="R27" s="701" t="s">
        <v>18</v>
      </c>
      <c r="S27" s="702">
        <f t="shared" si="12"/>
        <v>100</v>
      </c>
      <c r="T27" s="701" t="s">
        <v>18</v>
      </c>
      <c r="U27" s="702">
        <f t="shared" si="13"/>
        <v>100</v>
      </c>
      <c r="V27" s="701" t="s">
        <v>18</v>
      </c>
      <c r="W27" s="702">
        <f t="shared" si="14"/>
        <v>100</v>
      </c>
      <c r="X27" s="703"/>
      <c r="Y27" s="372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8"/>
      <c r="Q28" s="1352">
        <f t="shared" si="11"/>
        <v>111</v>
      </c>
      <c r="R28" s="705" t="s">
        <v>18</v>
      </c>
      <c r="S28" s="706">
        <f t="shared" si="12"/>
        <v>100</v>
      </c>
      <c r="T28" s="705" t="s">
        <v>18</v>
      </c>
      <c r="U28" s="706">
        <f t="shared" si="13"/>
        <v>100</v>
      </c>
      <c r="V28" s="705" t="s">
        <v>18</v>
      </c>
      <c r="W28" s="706">
        <f t="shared" si="14"/>
        <v>100</v>
      </c>
      <c r="X28" s="1355"/>
      <c r="Y28" s="372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8"/>
      <c r="Q29" s="1352">
        <f t="shared" si="11"/>
        <v>111</v>
      </c>
      <c r="R29" s="705" t="s">
        <v>18</v>
      </c>
      <c r="S29" s="706">
        <f t="shared" si="12"/>
        <v>100</v>
      </c>
      <c r="T29" s="705" t="s">
        <v>18</v>
      </c>
      <c r="U29" s="706">
        <f t="shared" si="13"/>
        <v>100</v>
      </c>
      <c r="V29" s="705" t="s">
        <v>18</v>
      </c>
      <c r="W29" s="706">
        <f t="shared" si="14"/>
        <v>100</v>
      </c>
      <c r="X29" s="1355"/>
      <c r="Y29" s="372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8"/>
      <c r="Q30" s="1352">
        <f t="shared" si="11"/>
        <v>111</v>
      </c>
      <c r="R30" s="705" t="s">
        <v>18</v>
      </c>
      <c r="S30" s="706">
        <f t="shared" si="12"/>
        <v>100</v>
      </c>
      <c r="T30" s="705" t="s">
        <v>18</v>
      </c>
      <c r="U30" s="706">
        <f t="shared" si="13"/>
        <v>100</v>
      </c>
      <c r="V30" s="705" t="s">
        <v>18</v>
      </c>
      <c r="W30" s="706">
        <f t="shared" si="14"/>
        <v>100</v>
      </c>
      <c r="X30" s="1355"/>
      <c r="Y30" s="372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8"/>
      <c r="Q31" s="1352">
        <f t="shared" si="11"/>
        <v>111</v>
      </c>
      <c r="R31" s="705" t="s">
        <v>18</v>
      </c>
      <c r="S31" s="706">
        <f t="shared" si="12"/>
        <v>100</v>
      </c>
      <c r="T31" s="705" t="s">
        <v>18</v>
      </c>
      <c r="U31" s="706">
        <f t="shared" si="13"/>
        <v>100</v>
      </c>
      <c r="V31" s="705" t="s">
        <v>18</v>
      </c>
      <c r="W31" s="706">
        <f t="shared" si="14"/>
        <v>100</v>
      </c>
      <c r="X31" s="1355"/>
      <c r="Y31" s="372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2" t="s">
        <v>1696</v>
      </c>
      <c r="Q32" s="1352" t="str">
        <f t="shared" si="11"/>
        <v>建筑类型</v>
      </c>
      <c r="R32" s="705" t="s">
        <v>18</v>
      </c>
      <c r="S32" s="706">
        <f t="shared" si="12"/>
        <v>100</v>
      </c>
      <c r="T32" s="705" t="s">
        <v>18</v>
      </c>
      <c r="U32" s="706">
        <f t="shared" si="13"/>
        <v>100</v>
      </c>
      <c r="V32" s="705" t="s">
        <v>18</v>
      </c>
      <c r="W32" s="706">
        <f t="shared" si="14"/>
        <v>100</v>
      </c>
      <c r="X32" s="1355"/>
      <c r="Y32" s="372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3"/>
      <c r="Q33" s="707" t="str">
        <f t="shared" si="11"/>
        <v>项目建筑规模</v>
      </c>
      <c r="R33" s="708" t="s">
        <v>18</v>
      </c>
      <c r="S33" s="709" t="e">
        <f t="shared" si="12"/>
        <v>#N/A</v>
      </c>
      <c r="T33" s="708" t="s">
        <v>18</v>
      </c>
      <c r="U33" s="709" t="e">
        <f t="shared" si="13"/>
        <v>#N/A</v>
      </c>
      <c r="V33" s="708" t="s">
        <v>18</v>
      </c>
      <c r="W33" s="709" t="e">
        <f t="shared" si="14"/>
        <v>#N/A</v>
      </c>
      <c r="X33" s="710"/>
      <c r="Y33" s="372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3"/>
      <c r="Q34" s="1352" t="str">
        <f t="shared" si="11"/>
        <v>建筑结构</v>
      </c>
      <c r="R34" s="705" t="s">
        <v>18</v>
      </c>
      <c r="S34" s="706">
        <f t="shared" si="12"/>
        <v>100</v>
      </c>
      <c r="T34" s="705" t="s">
        <v>18</v>
      </c>
      <c r="U34" s="706">
        <f t="shared" si="13"/>
        <v>100</v>
      </c>
      <c r="V34" s="705" t="s">
        <v>18</v>
      </c>
      <c r="W34" s="706">
        <f t="shared" si="14"/>
        <v>100</v>
      </c>
      <c r="X34" s="1355"/>
      <c r="Y34" s="372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3"/>
      <c r="Q35" s="1352" t="str">
        <f t="shared" si="11"/>
        <v>建筑品质</v>
      </c>
      <c r="R35" s="705" t="s">
        <v>18</v>
      </c>
      <c r="S35" s="706">
        <f t="shared" si="12"/>
        <v>100</v>
      </c>
      <c r="T35" s="705" t="s">
        <v>18</v>
      </c>
      <c r="U35" s="706">
        <f t="shared" si="13"/>
        <v>100</v>
      </c>
      <c r="V35" s="705" t="s">
        <v>18</v>
      </c>
      <c r="W35" s="706">
        <f t="shared" si="14"/>
        <v>100</v>
      </c>
      <c r="X35" s="1355"/>
      <c r="Y35" s="372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3"/>
      <c r="Q36" s="1352" t="str">
        <f t="shared" si="11"/>
        <v>公共部分装修</v>
      </c>
      <c r="R36" s="705" t="s">
        <v>18</v>
      </c>
      <c r="S36" s="706">
        <f t="shared" si="12"/>
        <v>100</v>
      </c>
      <c r="T36" s="705" t="s">
        <v>18</v>
      </c>
      <c r="U36" s="706">
        <f t="shared" si="13"/>
        <v>100</v>
      </c>
      <c r="V36" s="705" t="s">
        <v>18</v>
      </c>
      <c r="W36" s="706">
        <f t="shared" si="14"/>
        <v>100</v>
      </c>
      <c r="X36" s="1355"/>
      <c r="Y36" s="372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3"/>
      <c r="Q37" s="1343" t="str">
        <f t="shared" si="11"/>
        <v>成新度</v>
      </c>
      <c r="R37" s="701" t="s">
        <v>18</v>
      </c>
      <c r="S37" s="702" t="e">
        <f t="shared" si="12"/>
        <v>#N/A</v>
      </c>
      <c r="T37" s="701" t="s">
        <v>18</v>
      </c>
      <c r="U37" s="702" t="e">
        <f t="shared" si="13"/>
        <v>#N/A</v>
      </c>
      <c r="V37" s="701" t="s">
        <v>18</v>
      </c>
      <c r="W37" s="702" t="e">
        <f t="shared" si="14"/>
        <v>#N/A</v>
      </c>
      <c r="X37" s="703"/>
      <c r="Y37" s="372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3" t="s">
        <v>1696</v>
      </c>
      <c r="Q38" s="1352" t="str">
        <f t="shared" si="11"/>
        <v>物业管理</v>
      </c>
      <c r="R38" s="705" t="s">
        <v>18</v>
      </c>
      <c r="S38" s="706">
        <f t="shared" si="12"/>
        <v>100</v>
      </c>
      <c r="T38" s="705" t="s">
        <v>18</v>
      </c>
      <c r="U38" s="706">
        <f t="shared" si="13"/>
        <v>100</v>
      </c>
      <c r="V38" s="705" t="s">
        <v>18</v>
      </c>
      <c r="W38" s="706">
        <f t="shared" si="14"/>
        <v>100</v>
      </c>
      <c r="X38" s="1355"/>
      <c r="Y38" s="372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3"/>
      <c r="Q39" s="1352" t="str">
        <f t="shared" si="11"/>
        <v>市政基础设施</v>
      </c>
      <c r="R39" s="705" t="s">
        <v>18</v>
      </c>
      <c r="S39" s="706">
        <f t="shared" si="12"/>
        <v>100</v>
      </c>
      <c r="T39" s="705" t="s">
        <v>18</v>
      </c>
      <c r="U39" s="706">
        <f t="shared" si="13"/>
        <v>100</v>
      </c>
      <c r="V39" s="705" t="s">
        <v>18</v>
      </c>
      <c r="W39" s="706">
        <f t="shared" si="14"/>
        <v>100</v>
      </c>
      <c r="X39" s="1355"/>
      <c r="Y39" s="372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3"/>
      <c r="Q40" s="1352" t="str">
        <f t="shared" si="11"/>
        <v>房型</v>
      </c>
      <c r="R40" s="705" t="s">
        <v>18</v>
      </c>
      <c r="S40" s="706">
        <f t="shared" si="12"/>
        <v>100</v>
      </c>
      <c r="T40" s="705" t="s">
        <v>18</v>
      </c>
      <c r="U40" s="706">
        <f t="shared" si="13"/>
        <v>100</v>
      </c>
      <c r="V40" s="705" t="s">
        <v>18</v>
      </c>
      <c r="W40" s="706">
        <f t="shared" si="14"/>
        <v>100</v>
      </c>
      <c r="X40" s="1355"/>
      <c r="Y40" s="372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3"/>
      <c r="Q41" s="707" t="str">
        <f t="shared" si="11"/>
        <v>单套/主力户型建筑面积</v>
      </c>
      <c r="R41" s="708" t="s">
        <v>18</v>
      </c>
      <c r="S41" s="709">
        <f t="shared" si="12"/>
        <v>100</v>
      </c>
      <c r="T41" s="708" t="s">
        <v>18</v>
      </c>
      <c r="U41" s="709">
        <f t="shared" si="13"/>
        <v>100</v>
      </c>
      <c r="V41" s="708" t="s">
        <v>18</v>
      </c>
      <c r="W41" s="709">
        <f t="shared" si="14"/>
        <v>100</v>
      </c>
      <c r="X41" s="710"/>
      <c r="Y41" s="372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3"/>
      <c r="Q42" s="1352" t="str">
        <f t="shared" si="11"/>
        <v>内部装修</v>
      </c>
      <c r="R42" s="705" t="s">
        <v>18</v>
      </c>
      <c r="S42" s="706">
        <f t="shared" si="12"/>
        <v>100</v>
      </c>
      <c r="T42" s="705" t="s">
        <v>18</v>
      </c>
      <c r="U42" s="706">
        <f t="shared" si="13"/>
        <v>100</v>
      </c>
      <c r="V42" s="705" t="s">
        <v>18</v>
      </c>
      <c r="W42" s="706">
        <f t="shared" si="14"/>
        <v>100</v>
      </c>
      <c r="X42" s="1355"/>
      <c r="Y42" s="372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3"/>
      <c r="Q43" s="1352" t="str">
        <f t="shared" si="11"/>
        <v>内部装修维护情况</v>
      </c>
      <c r="R43" s="705" t="s">
        <v>18</v>
      </c>
      <c r="S43" s="706">
        <f t="shared" si="12"/>
        <v>100</v>
      </c>
      <c r="T43" s="705" t="s">
        <v>18</v>
      </c>
      <c r="U43" s="706">
        <f t="shared" si="13"/>
        <v>100</v>
      </c>
      <c r="V43" s="705" t="s">
        <v>18</v>
      </c>
      <c r="W43" s="706">
        <f t="shared" si="14"/>
        <v>100</v>
      </c>
      <c r="X43" s="1355"/>
      <c r="Y43" s="372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3"/>
      <c r="Q44" s="1343">
        <f t="shared" si="11"/>
        <v>111</v>
      </c>
      <c r="R44" s="701" t="s">
        <v>18</v>
      </c>
      <c r="S44" s="702">
        <f t="shared" si="12"/>
        <v>100</v>
      </c>
      <c r="T44" s="701" t="s">
        <v>18</v>
      </c>
      <c r="U44" s="702">
        <f t="shared" si="13"/>
        <v>100</v>
      </c>
      <c r="V44" s="701" t="s">
        <v>18</v>
      </c>
      <c r="W44" s="702">
        <f t="shared" si="14"/>
        <v>100</v>
      </c>
      <c r="X44" s="703"/>
      <c r="Y44" s="372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3"/>
      <c r="Q45" s="1352">
        <f t="shared" si="11"/>
        <v>111</v>
      </c>
      <c r="R45" s="705" t="s">
        <v>18</v>
      </c>
      <c r="S45" s="706">
        <f t="shared" si="12"/>
        <v>100</v>
      </c>
      <c r="T45" s="705" t="s">
        <v>18</v>
      </c>
      <c r="U45" s="706">
        <f t="shared" si="13"/>
        <v>100</v>
      </c>
      <c r="V45" s="705" t="s">
        <v>18</v>
      </c>
      <c r="W45" s="706">
        <f t="shared" si="14"/>
        <v>100</v>
      </c>
      <c r="X45" s="1355"/>
      <c r="Y45" s="372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4"/>
      <c r="Q46" s="1352">
        <f t="shared" si="11"/>
        <v>111</v>
      </c>
      <c r="R46" s="705" t="s">
        <v>17</v>
      </c>
      <c r="S46" s="706">
        <f t="shared" si="12"/>
        <v>100</v>
      </c>
      <c r="T46" s="705" t="s">
        <v>17</v>
      </c>
      <c r="U46" s="706">
        <f t="shared" si="13"/>
        <v>100</v>
      </c>
      <c r="V46" s="705" t="s">
        <v>17</v>
      </c>
      <c r="W46" s="706">
        <f t="shared" si="14"/>
        <v>100</v>
      </c>
      <c r="X46" s="1355"/>
      <c r="Y46" s="372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8" t="str">
        <f>A47</f>
        <v>成交单价（元/平方米）</v>
      </c>
      <c r="Q47" s="3718"/>
      <c r="R47" s="3719">
        <f>E47</f>
        <v>0</v>
      </c>
      <c r="S47" s="3719"/>
      <c r="T47" s="3719">
        <f>G47</f>
        <v>0</v>
      </c>
      <c r="U47" s="3719"/>
      <c r="V47" s="3719">
        <f>I47</f>
        <v>0</v>
      </c>
      <c r="W47" s="371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2021-7</v>
      </c>
      <c r="D58" s="1185">
        <f>EDATE(C58,-1)</f>
        <v>44348</v>
      </c>
      <c r="E58" s="1185">
        <f>EDATE(D58,-1)</f>
        <v>44317</v>
      </c>
      <c r="F58" s="1185">
        <f t="shared" ref="F58:O58" si="19">EDATE(E58,-1)</f>
        <v>44287</v>
      </c>
      <c r="G58" s="1185">
        <f t="shared" si="19"/>
        <v>44256</v>
      </c>
      <c r="H58" s="1185">
        <f t="shared" si="19"/>
        <v>44228</v>
      </c>
      <c r="I58" s="1185">
        <f t="shared" si="19"/>
        <v>44197</v>
      </c>
      <c r="J58" s="1185">
        <f t="shared" si="19"/>
        <v>44166</v>
      </c>
      <c r="K58" s="1185">
        <f t="shared" si="19"/>
        <v>44136</v>
      </c>
      <c r="L58" s="1185">
        <f t="shared" si="19"/>
        <v>44105</v>
      </c>
      <c r="M58" s="1185">
        <f t="shared" si="19"/>
        <v>44075</v>
      </c>
      <c r="N58" s="1185">
        <f t="shared" si="19"/>
        <v>44044</v>
      </c>
      <c r="O58" s="1185">
        <f t="shared" si="19"/>
        <v>44013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128400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688" t="s">
        <v>1771</v>
      </c>
      <c r="S4" s="3689"/>
      <c r="T4" s="3688" t="s">
        <v>1772</v>
      </c>
      <c r="U4" s="3689"/>
      <c r="V4" s="3713" t="s">
        <v>1773</v>
      </c>
      <c r="W4" s="3713"/>
      <c r="X4" s="1355"/>
      <c r="Y4" s="3688" t="s">
        <v>1775</v>
      </c>
      <c r="Z4" s="3689"/>
      <c r="AA4" s="3683" t="s">
        <v>1771</v>
      </c>
      <c r="AB4" s="3713" t="s">
        <v>1772</v>
      </c>
      <c r="AC4" s="3683" t="s">
        <v>1773</v>
      </c>
    </row>
    <row r="5" spans="1:29" ht="15">
      <c r="A5" s="358"/>
      <c r="B5" s="359"/>
      <c r="C5" s="3694" t="s">
        <v>1673</v>
      </c>
      <c r="D5" s="3695"/>
      <c r="E5" s="3692" t="s">
        <v>1674</v>
      </c>
      <c r="F5" s="3693"/>
      <c r="G5" s="3694" t="s">
        <v>1675</v>
      </c>
      <c r="H5" s="3695"/>
      <c r="I5" s="3694" t="s">
        <v>1676</v>
      </c>
      <c r="J5" s="3695"/>
      <c r="K5" s="559"/>
      <c r="L5" s="2715"/>
      <c r="M5" s="2716"/>
      <c r="N5" s="2716"/>
      <c r="O5" s="2716"/>
      <c r="P5" s="3707"/>
      <c r="Q5" s="3708"/>
      <c r="R5" s="3690"/>
      <c r="S5" s="3691"/>
      <c r="T5" s="3690"/>
      <c r="U5" s="3691"/>
      <c r="V5" s="3713"/>
      <c r="W5" s="3713"/>
      <c r="X5" s="1355"/>
      <c r="Y5" s="3690"/>
      <c r="Z5" s="3691"/>
      <c r="AA5" s="3684"/>
      <c r="AB5" s="3713"/>
      <c r="AC5" s="3684"/>
    </row>
    <row r="6" spans="1:29" ht="15.75" thickBot="1">
      <c r="A6" s="360"/>
      <c r="B6" s="361"/>
      <c r="C6" s="3696" t="s">
        <v>1677</v>
      </c>
      <c r="D6" s="3697"/>
      <c r="E6" s="3698" t="s">
        <v>1677</v>
      </c>
      <c r="F6" s="3699"/>
      <c r="G6" s="3696" t="s">
        <v>1677</v>
      </c>
      <c r="H6" s="3697"/>
      <c r="I6" s="3696" t="s">
        <v>1677</v>
      </c>
      <c r="J6" s="3697"/>
      <c r="K6" s="559" t="s">
        <v>1678</v>
      </c>
      <c r="L6" s="2715"/>
      <c r="M6" s="2716"/>
      <c r="N6" s="2716"/>
      <c r="O6" s="2716"/>
      <c r="P6" s="3709"/>
      <c r="Q6" s="3710"/>
      <c r="R6" s="3690"/>
      <c r="S6" s="3691"/>
      <c r="T6" s="3711"/>
      <c r="U6" s="3712"/>
      <c r="V6" s="3713"/>
      <c r="W6" s="3713"/>
      <c r="X6" s="1355"/>
      <c r="Y6" s="3711"/>
      <c r="Z6" s="3712"/>
      <c r="AA6" s="3685"/>
      <c r="AB6" s="3713"/>
      <c r="AC6" s="3685"/>
    </row>
    <row r="7" spans="1:29" s="108" customFormat="1" ht="15.75" thickBot="1">
      <c r="A7" s="362" t="s">
        <v>1679</v>
      </c>
      <c r="B7" s="363"/>
      <c r="C7" s="364">
        <f>'数据-取费表'!B2</f>
        <v>44378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6"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6" t="s">
        <v>1683</v>
      </c>
      <c r="Q8" s="3687"/>
      <c r="R8" s="701" t="s">
        <v>14</v>
      </c>
      <c r="S8" s="702">
        <f t="shared" si="0"/>
        <v>100</v>
      </c>
      <c r="T8" s="701" t="s">
        <v>14</v>
      </c>
      <c r="U8" s="702">
        <f t="shared" si="1"/>
        <v>100</v>
      </c>
      <c r="V8" s="701" t="s">
        <v>14</v>
      </c>
      <c r="W8" s="702">
        <f t="shared" si="2"/>
        <v>100</v>
      </c>
      <c r="X8" s="703"/>
      <c r="Y8" s="3686" t="s">
        <v>1683</v>
      </c>
      <c r="Z8" s="368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0"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0"/>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0"/>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7" t="s">
        <v>1691</v>
      </c>
      <c r="Q15" s="1352" t="str">
        <f t="shared" si="6"/>
        <v>商业繁华度</v>
      </c>
      <c r="R15" s="705" t="s">
        <v>14</v>
      </c>
      <c r="S15" s="706">
        <f t="shared" si="0"/>
        <v>100</v>
      </c>
      <c r="T15" s="705" t="s">
        <v>14</v>
      </c>
      <c r="U15" s="706">
        <f t="shared" si="1"/>
        <v>100</v>
      </c>
      <c r="V15" s="705" t="s">
        <v>14</v>
      </c>
      <c r="W15" s="706">
        <f t="shared" si="2"/>
        <v>100</v>
      </c>
      <c r="X15" s="1355"/>
      <c r="Y15" s="372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8"/>
      <c r="Q16" s="1352"/>
      <c r="R16" s="705"/>
      <c r="S16" s="706"/>
      <c r="T16" s="705"/>
      <c r="U16" s="706"/>
      <c r="V16" s="705"/>
      <c r="W16" s="706"/>
      <c r="X16" s="1355"/>
      <c r="Y16" s="372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8"/>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8"/>
      <c r="Q18" s="1352"/>
      <c r="R18" s="705"/>
      <c r="S18" s="706"/>
      <c r="T18" s="705"/>
      <c r="U18" s="706"/>
      <c r="V18" s="705"/>
      <c r="W18" s="706"/>
      <c r="X18" s="1355"/>
      <c r="Y18" s="372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8"/>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8"/>
      <c r="Q20" s="1352"/>
      <c r="R20" s="705"/>
      <c r="S20" s="706"/>
      <c r="T20" s="705"/>
      <c r="U20" s="706"/>
      <c r="V20" s="705"/>
      <c r="W20" s="706"/>
      <c r="X20" s="1355"/>
      <c r="Y20" s="372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8"/>
      <c r="Q22" s="1352"/>
      <c r="R22" s="705"/>
      <c r="S22" s="706"/>
      <c r="T22" s="705"/>
      <c r="U22" s="706"/>
      <c r="V22" s="705"/>
      <c r="W22" s="706"/>
      <c r="X22" s="1355"/>
      <c r="Y22" s="372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8"/>
      <c r="Q23" s="1352" t="str">
        <f>B23</f>
        <v>自然及人文环境</v>
      </c>
      <c r="R23" s="705" t="s">
        <v>14</v>
      </c>
      <c r="S23" s="706">
        <f>F23</f>
        <v>100</v>
      </c>
      <c r="T23" s="705" t="s">
        <v>14</v>
      </c>
      <c r="U23" s="706">
        <f>H23</f>
        <v>100</v>
      </c>
      <c r="V23" s="705" t="s">
        <v>14</v>
      </c>
      <c r="W23" s="706">
        <f>J23</f>
        <v>100</v>
      </c>
      <c r="X23" s="1355"/>
      <c r="Y23" s="372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8"/>
      <c r="Q24" s="1352"/>
      <c r="R24" s="705"/>
      <c r="S24" s="706"/>
      <c r="T24" s="705"/>
      <c r="U24" s="706"/>
      <c r="V24" s="705"/>
      <c r="W24" s="706"/>
      <c r="X24" s="1355"/>
      <c r="Y24" s="372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8"/>
      <c r="Q25" s="1352" t="str">
        <f t="shared" ref="Q25:Q46" si="11">B25</f>
        <v>临街状况</v>
      </c>
      <c r="R25" s="705" t="s">
        <v>14</v>
      </c>
      <c r="S25" s="706">
        <f>F25</f>
        <v>100</v>
      </c>
      <c r="T25" s="705" t="s">
        <v>14</v>
      </c>
      <c r="U25" s="706">
        <f>H25</f>
        <v>100</v>
      </c>
      <c r="V25" s="705" t="s">
        <v>14</v>
      </c>
      <c r="W25" s="706">
        <f>J25</f>
        <v>100</v>
      </c>
      <c r="X25" s="1355"/>
      <c r="Y25" s="372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8"/>
      <c r="Q26" s="1352" t="str">
        <f t="shared" si="11"/>
        <v>平面位置/可视性</v>
      </c>
      <c r="R26" s="705" t="s">
        <v>14</v>
      </c>
      <c r="S26" s="706">
        <f>F26</f>
        <v>100</v>
      </c>
      <c r="T26" s="705" t="s">
        <v>14</v>
      </c>
      <c r="U26" s="706">
        <f>H26</f>
        <v>100</v>
      </c>
      <c r="V26" s="705" t="s">
        <v>14</v>
      </c>
      <c r="W26" s="706">
        <f>J26</f>
        <v>100</v>
      </c>
      <c r="X26" s="1355"/>
      <c r="Y26" s="372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8"/>
      <c r="Q27" s="1343" t="str">
        <f t="shared" si="11"/>
        <v>人流量</v>
      </c>
      <c r="R27" s="701" t="s">
        <v>14</v>
      </c>
      <c r="S27" s="702">
        <f>F27</f>
        <v>100</v>
      </c>
      <c r="T27" s="701" t="s">
        <v>14</v>
      </c>
      <c r="U27" s="702">
        <f>H27</f>
        <v>100</v>
      </c>
      <c r="V27" s="701" t="s">
        <v>14</v>
      </c>
      <c r="W27" s="702">
        <f>J27</f>
        <v>100</v>
      </c>
      <c r="X27" s="703"/>
      <c r="Y27" s="372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8"/>
      <c r="Q29" s="1352">
        <f t="shared" si="11"/>
        <v>111</v>
      </c>
      <c r="R29" s="705" t="s">
        <v>14</v>
      </c>
      <c r="S29" s="706">
        <f t="shared" si="12"/>
        <v>100</v>
      </c>
      <c r="T29" s="705" t="s">
        <v>14</v>
      </c>
      <c r="U29" s="706">
        <f t="shared" si="13"/>
        <v>100</v>
      </c>
      <c r="V29" s="705" t="s">
        <v>14</v>
      </c>
      <c r="W29" s="706">
        <f t="shared" si="14"/>
        <v>100</v>
      </c>
      <c r="X29" s="1355"/>
      <c r="Y29" s="372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8"/>
      <c r="Q30" s="1352">
        <f t="shared" si="11"/>
        <v>111</v>
      </c>
      <c r="R30" s="705" t="s">
        <v>14</v>
      </c>
      <c r="S30" s="706">
        <f t="shared" si="12"/>
        <v>100</v>
      </c>
      <c r="T30" s="705" t="s">
        <v>14</v>
      </c>
      <c r="U30" s="706">
        <f t="shared" si="13"/>
        <v>100</v>
      </c>
      <c r="V30" s="705" t="s">
        <v>14</v>
      </c>
      <c r="W30" s="706">
        <f t="shared" si="14"/>
        <v>100</v>
      </c>
      <c r="X30" s="1355"/>
      <c r="Y30" s="372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8"/>
      <c r="Q31" s="1352">
        <f t="shared" si="11"/>
        <v>111</v>
      </c>
      <c r="R31" s="705" t="s">
        <v>14</v>
      </c>
      <c r="S31" s="706">
        <f t="shared" si="12"/>
        <v>100</v>
      </c>
      <c r="T31" s="705" t="s">
        <v>14</v>
      </c>
      <c r="U31" s="706">
        <f t="shared" si="13"/>
        <v>100</v>
      </c>
      <c r="V31" s="705" t="s">
        <v>14</v>
      </c>
      <c r="W31" s="706">
        <f t="shared" si="14"/>
        <v>100</v>
      </c>
      <c r="X31" s="1355"/>
      <c r="Y31" s="372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2" t="s">
        <v>1696</v>
      </c>
      <c r="Q32" s="1352" t="str">
        <f t="shared" si="11"/>
        <v>商业类型</v>
      </c>
      <c r="R32" s="705" t="s">
        <v>14</v>
      </c>
      <c r="S32" s="706">
        <f t="shared" si="12"/>
        <v>100</v>
      </c>
      <c r="T32" s="705" t="s">
        <v>14</v>
      </c>
      <c r="U32" s="706">
        <f t="shared" si="13"/>
        <v>100</v>
      </c>
      <c r="V32" s="705" t="s">
        <v>14</v>
      </c>
      <c r="W32" s="706">
        <f t="shared" si="14"/>
        <v>100</v>
      </c>
      <c r="X32" s="1355"/>
      <c r="Y32" s="372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3"/>
      <c r="Q33" s="707" t="str">
        <f t="shared" si="11"/>
        <v>项目建筑规模</v>
      </c>
      <c r="R33" s="708" t="s">
        <v>14</v>
      </c>
      <c r="S33" s="709" t="e">
        <f t="shared" si="12"/>
        <v>#N/A</v>
      </c>
      <c r="T33" s="708" t="s">
        <v>14</v>
      </c>
      <c r="U33" s="709" t="e">
        <f t="shared" si="13"/>
        <v>#N/A</v>
      </c>
      <c r="V33" s="708" t="s">
        <v>14</v>
      </c>
      <c r="W33" s="709" t="e">
        <f t="shared" si="14"/>
        <v>#N/A</v>
      </c>
      <c r="X33" s="710"/>
      <c r="Y33" s="372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3"/>
      <c r="Q34" s="1352" t="str">
        <f t="shared" si="11"/>
        <v>建筑结构</v>
      </c>
      <c r="R34" s="705" t="s">
        <v>14</v>
      </c>
      <c r="S34" s="706">
        <f t="shared" si="12"/>
        <v>100</v>
      </c>
      <c r="T34" s="705" t="s">
        <v>14</v>
      </c>
      <c r="U34" s="706">
        <f t="shared" si="13"/>
        <v>100</v>
      </c>
      <c r="V34" s="705" t="s">
        <v>14</v>
      </c>
      <c r="W34" s="706">
        <f t="shared" si="14"/>
        <v>100</v>
      </c>
      <c r="X34" s="1355"/>
      <c r="Y34" s="372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3"/>
      <c r="Q35" s="1352" t="str">
        <f t="shared" si="11"/>
        <v>公共部分装修</v>
      </c>
      <c r="R35" s="705" t="s">
        <v>14</v>
      </c>
      <c r="S35" s="706">
        <f t="shared" si="12"/>
        <v>100</v>
      </c>
      <c r="T35" s="705" t="s">
        <v>14</v>
      </c>
      <c r="U35" s="706">
        <f t="shared" si="13"/>
        <v>100</v>
      </c>
      <c r="V35" s="705" t="s">
        <v>14</v>
      </c>
      <c r="W35" s="706">
        <f t="shared" si="14"/>
        <v>100</v>
      </c>
      <c r="X35" s="1355"/>
      <c r="Y35" s="372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3"/>
      <c r="Q36" s="1352" t="str">
        <f t="shared" si="11"/>
        <v>成新度</v>
      </c>
      <c r="R36" s="705" t="s">
        <v>14</v>
      </c>
      <c r="S36" s="706" t="e">
        <f t="shared" si="12"/>
        <v>#N/A</v>
      </c>
      <c r="T36" s="705" t="s">
        <v>14</v>
      </c>
      <c r="U36" s="706" t="e">
        <f t="shared" si="13"/>
        <v>#N/A</v>
      </c>
      <c r="V36" s="705" t="s">
        <v>14</v>
      </c>
      <c r="W36" s="706" t="e">
        <f t="shared" si="14"/>
        <v>#N/A</v>
      </c>
      <c r="X36" s="1355"/>
      <c r="Y36" s="372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3"/>
      <c r="Q37" s="1343" t="str">
        <f t="shared" si="11"/>
        <v>市政基础设施</v>
      </c>
      <c r="R37" s="701" t="s">
        <v>14</v>
      </c>
      <c r="S37" s="702">
        <f t="shared" si="12"/>
        <v>100</v>
      </c>
      <c r="T37" s="701" t="s">
        <v>14</v>
      </c>
      <c r="U37" s="702">
        <f t="shared" si="13"/>
        <v>100</v>
      </c>
      <c r="V37" s="701" t="s">
        <v>14</v>
      </c>
      <c r="W37" s="702">
        <f t="shared" si="14"/>
        <v>100</v>
      </c>
      <c r="X37" s="703"/>
      <c r="Y37" s="372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3" t="s">
        <v>1696</v>
      </c>
      <c r="Q38" s="1352" t="str">
        <f t="shared" si="11"/>
        <v>业态</v>
      </c>
      <c r="R38" s="705" t="s">
        <v>14</v>
      </c>
      <c r="S38" s="706">
        <f t="shared" si="12"/>
        <v>100</v>
      </c>
      <c r="T38" s="705" t="s">
        <v>14</v>
      </c>
      <c r="U38" s="706">
        <f t="shared" si="13"/>
        <v>100</v>
      </c>
      <c r="V38" s="705" t="s">
        <v>14</v>
      </c>
      <c r="W38" s="706">
        <f t="shared" si="14"/>
        <v>100</v>
      </c>
      <c r="X38" s="1355"/>
      <c r="Y38" s="372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3"/>
      <c r="Q39" s="1352" t="str">
        <f t="shared" si="11"/>
        <v>层高</v>
      </c>
      <c r="R39" s="705" t="s">
        <v>14</v>
      </c>
      <c r="S39" s="706">
        <f t="shared" si="12"/>
        <v>100</v>
      </c>
      <c r="T39" s="705" t="s">
        <v>14</v>
      </c>
      <c r="U39" s="706">
        <f t="shared" si="13"/>
        <v>100</v>
      </c>
      <c r="V39" s="705" t="s">
        <v>14</v>
      </c>
      <c r="W39" s="706">
        <f t="shared" si="14"/>
        <v>100</v>
      </c>
      <c r="X39" s="1355"/>
      <c r="Y39" s="372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3"/>
      <c r="Q40" s="1352" t="str">
        <f t="shared" si="11"/>
        <v>单套建筑面积</v>
      </c>
      <c r="R40" s="705" t="s">
        <v>14</v>
      </c>
      <c r="S40" s="706">
        <f t="shared" si="12"/>
        <v>100</v>
      </c>
      <c r="T40" s="705" t="s">
        <v>14</v>
      </c>
      <c r="U40" s="706">
        <f t="shared" si="13"/>
        <v>100</v>
      </c>
      <c r="V40" s="705" t="s">
        <v>14</v>
      </c>
      <c r="W40" s="706">
        <f t="shared" si="14"/>
        <v>100</v>
      </c>
      <c r="X40" s="1355"/>
      <c r="Y40" s="372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3"/>
      <c r="Q41" s="707" t="str">
        <f t="shared" si="11"/>
        <v>进深比</v>
      </c>
      <c r="R41" s="708" t="s">
        <v>14</v>
      </c>
      <c r="S41" s="709">
        <f t="shared" si="12"/>
        <v>100</v>
      </c>
      <c r="T41" s="708" t="s">
        <v>14</v>
      </c>
      <c r="U41" s="709">
        <f t="shared" si="13"/>
        <v>100</v>
      </c>
      <c r="V41" s="708" t="s">
        <v>14</v>
      </c>
      <c r="W41" s="709">
        <f t="shared" si="14"/>
        <v>100</v>
      </c>
      <c r="X41" s="710"/>
      <c r="Y41" s="372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3"/>
      <c r="Q42" s="1352" t="str">
        <f t="shared" si="11"/>
        <v>内部装修</v>
      </c>
      <c r="R42" s="705" t="s">
        <v>14</v>
      </c>
      <c r="S42" s="706">
        <f t="shared" si="12"/>
        <v>100</v>
      </c>
      <c r="T42" s="705" t="s">
        <v>14</v>
      </c>
      <c r="U42" s="706">
        <f t="shared" si="13"/>
        <v>100</v>
      </c>
      <c r="V42" s="705" t="s">
        <v>14</v>
      </c>
      <c r="W42" s="706">
        <f t="shared" si="14"/>
        <v>100</v>
      </c>
      <c r="X42" s="1355"/>
      <c r="Y42" s="372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3"/>
      <c r="Q43" s="1352" t="str">
        <f t="shared" si="11"/>
        <v>内部装修维护情况</v>
      </c>
      <c r="R43" s="705" t="s">
        <v>14</v>
      </c>
      <c r="S43" s="706">
        <f t="shared" si="12"/>
        <v>100</v>
      </c>
      <c r="T43" s="705" t="s">
        <v>14</v>
      </c>
      <c r="U43" s="706">
        <f t="shared" si="13"/>
        <v>100</v>
      </c>
      <c r="V43" s="705" t="s">
        <v>14</v>
      </c>
      <c r="W43" s="706">
        <f t="shared" si="14"/>
        <v>100</v>
      </c>
      <c r="X43" s="1355"/>
      <c r="Y43" s="372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3"/>
      <c r="Q44" s="1343">
        <f t="shared" si="11"/>
        <v>111</v>
      </c>
      <c r="R44" s="701" t="s">
        <v>14</v>
      </c>
      <c r="S44" s="702">
        <f t="shared" si="12"/>
        <v>100</v>
      </c>
      <c r="T44" s="701" t="s">
        <v>14</v>
      </c>
      <c r="U44" s="702">
        <f t="shared" si="13"/>
        <v>100</v>
      </c>
      <c r="V44" s="701" t="s">
        <v>14</v>
      </c>
      <c r="W44" s="702">
        <f t="shared" si="14"/>
        <v>100</v>
      </c>
      <c r="X44" s="703"/>
      <c r="Y44" s="372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3"/>
      <c r="Q45" s="1352">
        <f t="shared" si="11"/>
        <v>111</v>
      </c>
      <c r="R45" s="705" t="s">
        <v>14</v>
      </c>
      <c r="S45" s="706">
        <f t="shared" si="12"/>
        <v>100</v>
      </c>
      <c r="T45" s="705" t="s">
        <v>14</v>
      </c>
      <c r="U45" s="706">
        <f t="shared" si="13"/>
        <v>100</v>
      </c>
      <c r="V45" s="705" t="s">
        <v>14</v>
      </c>
      <c r="W45" s="706">
        <f t="shared" si="14"/>
        <v>100</v>
      </c>
      <c r="X45" s="1355"/>
      <c r="Y45" s="372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4"/>
      <c r="Q46" s="1352">
        <f t="shared" si="11"/>
        <v>111</v>
      </c>
      <c r="R46" s="705" t="s">
        <v>14</v>
      </c>
      <c r="S46" s="706">
        <f t="shared" si="12"/>
        <v>100</v>
      </c>
      <c r="T46" s="705" t="s">
        <v>14</v>
      </c>
      <c r="U46" s="706">
        <f t="shared" si="13"/>
        <v>100</v>
      </c>
      <c r="V46" s="705" t="s">
        <v>14</v>
      </c>
      <c r="W46" s="706">
        <f t="shared" si="14"/>
        <v>100</v>
      </c>
      <c r="X46" s="1355"/>
      <c r="Y46" s="372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8" t="str">
        <f>A47</f>
        <v>成交单价（元/平方米）</v>
      </c>
      <c r="Q47" s="3718"/>
      <c r="R47" s="3713">
        <f>E47</f>
        <v>0</v>
      </c>
      <c r="S47" s="3713"/>
      <c r="T47" s="3713">
        <f>G47</f>
        <v>0</v>
      </c>
      <c r="U47" s="3713"/>
      <c r="V47" s="3713">
        <f>I47</f>
        <v>0</v>
      </c>
      <c r="W47" s="371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2021-7</v>
      </c>
      <c r="D58" s="1185">
        <f>EDATE(C58,-1)</f>
        <v>44348</v>
      </c>
      <c r="E58" s="1185">
        <f t="shared" ref="E58:N58" si="16">EDATE(D58,-1)</f>
        <v>44317</v>
      </c>
      <c r="F58" s="1185">
        <f t="shared" si="16"/>
        <v>44287</v>
      </c>
      <c r="G58" s="1185">
        <f t="shared" si="16"/>
        <v>44256</v>
      </c>
      <c r="H58" s="1185">
        <f t="shared" si="16"/>
        <v>44228</v>
      </c>
      <c r="I58" s="1185">
        <f t="shared" si="16"/>
        <v>44197</v>
      </c>
      <c r="J58" s="1185">
        <f t="shared" si="16"/>
        <v>44166</v>
      </c>
      <c r="K58" s="1185">
        <f t="shared" si="16"/>
        <v>44136</v>
      </c>
      <c r="L58" s="1185">
        <f t="shared" si="16"/>
        <v>44105</v>
      </c>
      <c r="M58" s="1185">
        <f t="shared" si="16"/>
        <v>44075</v>
      </c>
      <c r="N58" s="1185">
        <f t="shared" si="16"/>
        <v>44044</v>
      </c>
      <c r="O58" s="1185">
        <f>EDATE(N58,-1)</f>
        <v>44013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128400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35" t="s">
        <v>1775</v>
      </c>
      <c r="Q4" s="3736"/>
      <c r="R4" s="3730" t="s">
        <v>1771</v>
      </c>
      <c r="S4" s="3731"/>
      <c r="T4" s="3730" t="s">
        <v>1772</v>
      </c>
      <c r="U4" s="3731"/>
      <c r="V4" s="3739" t="s">
        <v>1773</v>
      </c>
      <c r="W4" s="3739"/>
      <c r="X4" s="1958"/>
      <c r="Y4" s="3730" t="s">
        <v>1775</v>
      </c>
      <c r="Z4" s="3731"/>
      <c r="AA4" s="3729" t="s">
        <v>1771</v>
      </c>
      <c r="AB4" s="3729" t="s">
        <v>1772</v>
      </c>
      <c r="AC4" s="3732" t="s">
        <v>1773</v>
      </c>
    </row>
    <row r="5" spans="1:29" ht="15">
      <c r="A5" s="358"/>
      <c r="B5" s="359"/>
      <c r="C5" s="3694" t="s">
        <v>1673</v>
      </c>
      <c r="D5" s="3695"/>
      <c r="E5" s="3692" t="s">
        <v>1674</v>
      </c>
      <c r="F5" s="3693"/>
      <c r="G5" s="3694" t="s">
        <v>1675</v>
      </c>
      <c r="H5" s="3695"/>
      <c r="I5" s="3694" t="s">
        <v>1676</v>
      </c>
      <c r="J5" s="3695"/>
      <c r="K5" s="559"/>
      <c r="L5" s="2715"/>
      <c r="M5" s="2716"/>
      <c r="N5" s="2716"/>
      <c r="O5" s="2716"/>
      <c r="P5" s="3737"/>
      <c r="Q5" s="3708"/>
      <c r="R5" s="3690"/>
      <c r="S5" s="3691"/>
      <c r="T5" s="3690"/>
      <c r="U5" s="3691"/>
      <c r="V5" s="3713"/>
      <c r="W5" s="3713"/>
      <c r="X5" s="1355"/>
      <c r="Y5" s="3690"/>
      <c r="Z5" s="3691"/>
      <c r="AA5" s="3684"/>
      <c r="AB5" s="3684"/>
      <c r="AC5" s="3733"/>
    </row>
    <row r="6" spans="1:29" ht="15.75" thickBot="1">
      <c r="A6" s="360"/>
      <c r="B6" s="361"/>
      <c r="C6" s="3696" t="s">
        <v>1677</v>
      </c>
      <c r="D6" s="3697"/>
      <c r="E6" s="3698" t="s">
        <v>1677</v>
      </c>
      <c r="F6" s="3699"/>
      <c r="G6" s="3696" t="s">
        <v>1677</v>
      </c>
      <c r="H6" s="3697"/>
      <c r="I6" s="3696" t="s">
        <v>1677</v>
      </c>
      <c r="J6" s="3697"/>
      <c r="K6" s="559" t="s">
        <v>1678</v>
      </c>
      <c r="L6" s="2715"/>
      <c r="M6" s="2716"/>
      <c r="N6" s="2716"/>
      <c r="O6" s="2716"/>
      <c r="P6" s="3738"/>
      <c r="Q6" s="3710"/>
      <c r="R6" s="3690"/>
      <c r="S6" s="3691"/>
      <c r="T6" s="3711"/>
      <c r="U6" s="3712"/>
      <c r="V6" s="3713"/>
      <c r="W6" s="3713"/>
      <c r="X6" s="1355"/>
      <c r="Y6" s="3711"/>
      <c r="Z6" s="3712"/>
      <c r="AA6" s="3685"/>
      <c r="AB6" s="3685"/>
      <c r="AC6" s="3734"/>
    </row>
    <row r="7" spans="1:29" s="108" customFormat="1" ht="15.75" thickBot="1">
      <c r="A7" s="362" t="s">
        <v>1679</v>
      </c>
      <c r="B7" s="363"/>
      <c r="C7" s="364">
        <f>'数据-取费表'!B2</f>
        <v>44378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0"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0" t="s">
        <v>1683</v>
      </c>
      <c r="Q8" s="3687"/>
      <c r="R8" s="701" t="s">
        <v>14</v>
      </c>
      <c r="S8" s="702">
        <f t="shared" si="0"/>
        <v>100</v>
      </c>
      <c r="T8" s="701" t="s">
        <v>14</v>
      </c>
      <c r="U8" s="702">
        <f t="shared" si="1"/>
        <v>100</v>
      </c>
      <c r="V8" s="701" t="s">
        <v>14</v>
      </c>
      <c r="W8" s="702">
        <f t="shared" si="2"/>
        <v>100</v>
      </c>
      <c r="X8" s="703"/>
      <c r="Y8" s="3686" t="s">
        <v>1683</v>
      </c>
      <c r="Z8" s="368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0"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0"/>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0"/>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7" t="s">
        <v>1691</v>
      </c>
      <c r="Q15" s="1352" t="str">
        <f t="shared" si="6"/>
        <v>办公集聚程度</v>
      </c>
      <c r="R15" s="705" t="s">
        <v>14</v>
      </c>
      <c r="S15" s="706">
        <f t="shared" si="0"/>
        <v>100</v>
      </c>
      <c r="T15" s="705" t="s">
        <v>14</v>
      </c>
      <c r="U15" s="706">
        <f t="shared" si="1"/>
        <v>100</v>
      </c>
      <c r="V15" s="705" t="s">
        <v>14</v>
      </c>
      <c r="W15" s="706">
        <f t="shared" si="2"/>
        <v>100</v>
      </c>
      <c r="X15" s="1355"/>
      <c r="Y15" s="372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8"/>
      <c r="Q16" s="1352"/>
      <c r="R16" s="705"/>
      <c r="S16" s="706"/>
      <c r="T16" s="705"/>
      <c r="U16" s="706"/>
      <c r="V16" s="705"/>
      <c r="W16" s="706"/>
      <c r="X16" s="1355"/>
      <c r="Y16" s="372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8"/>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8"/>
      <c r="Q18" s="1352"/>
      <c r="R18" s="705"/>
      <c r="S18" s="706"/>
      <c r="T18" s="705"/>
      <c r="U18" s="706"/>
      <c r="V18" s="705"/>
      <c r="W18" s="706"/>
      <c r="X18" s="1355"/>
      <c r="Y18" s="372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8"/>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8"/>
      <c r="Q20" s="1352"/>
      <c r="R20" s="705"/>
      <c r="S20" s="706"/>
      <c r="T20" s="705"/>
      <c r="U20" s="706"/>
      <c r="V20" s="705"/>
      <c r="W20" s="706"/>
      <c r="X20" s="1355"/>
      <c r="Y20" s="372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8"/>
      <c r="Q22" s="1352"/>
      <c r="R22" s="705"/>
      <c r="S22" s="706"/>
      <c r="T22" s="705"/>
      <c r="U22" s="706"/>
      <c r="V22" s="705"/>
      <c r="W22" s="706"/>
      <c r="X22" s="1355"/>
      <c r="Y22" s="372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8"/>
      <c r="Q23" s="1352" t="str">
        <f>B23</f>
        <v>环境质量</v>
      </c>
      <c r="R23" s="705" t="s">
        <v>14</v>
      </c>
      <c r="S23" s="706">
        <f>F23</f>
        <v>100</v>
      </c>
      <c r="T23" s="705" t="s">
        <v>14</v>
      </c>
      <c r="U23" s="706">
        <f>H23</f>
        <v>100</v>
      </c>
      <c r="V23" s="705" t="s">
        <v>14</v>
      </c>
      <c r="W23" s="706">
        <f>J23</f>
        <v>100</v>
      </c>
      <c r="X23" s="1355"/>
      <c r="Y23" s="372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8"/>
      <c r="Q24" s="1352"/>
      <c r="R24" s="705"/>
      <c r="S24" s="706"/>
      <c r="T24" s="705"/>
      <c r="U24" s="706"/>
      <c r="V24" s="705"/>
      <c r="W24" s="706"/>
      <c r="X24" s="1355"/>
      <c r="Y24" s="372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8"/>
      <c r="Q25" s="1352" t="str">
        <f>B25</f>
        <v>毗邻道路的类型与等级</v>
      </c>
      <c r="R25" s="705" t="s">
        <v>14</v>
      </c>
      <c r="S25" s="706">
        <f>F25</f>
        <v>100</v>
      </c>
      <c r="T25" s="705" t="s">
        <v>14</v>
      </c>
      <c r="U25" s="706">
        <f>H25</f>
        <v>100</v>
      </c>
      <c r="V25" s="705" t="s">
        <v>14</v>
      </c>
      <c r="W25" s="706">
        <f>J25</f>
        <v>100</v>
      </c>
      <c r="X25" s="1355"/>
      <c r="Y25" s="372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8"/>
      <c r="Q26" s="1352"/>
      <c r="R26" s="705"/>
      <c r="S26" s="706"/>
      <c r="T26" s="705"/>
      <c r="U26" s="706"/>
      <c r="V26" s="705"/>
      <c r="W26" s="706"/>
      <c r="X26" s="1355"/>
      <c r="Y26" s="372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8"/>
      <c r="Q27" s="1352" t="str">
        <f t="shared" ref="Q27:Q47" si="11">B27</f>
        <v>楼层</v>
      </c>
      <c r="R27" s="705" t="s">
        <v>14</v>
      </c>
      <c r="S27" s="706">
        <f>F27</f>
        <v>100</v>
      </c>
      <c r="T27" s="705" t="s">
        <v>14</v>
      </c>
      <c r="U27" s="706">
        <f>H27</f>
        <v>100</v>
      </c>
      <c r="V27" s="705" t="s">
        <v>14</v>
      </c>
      <c r="W27" s="706">
        <f>J27</f>
        <v>100</v>
      </c>
      <c r="X27" s="1355"/>
      <c r="Y27" s="372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8"/>
      <c r="Q28" s="1343" t="str">
        <f t="shared" si="11"/>
        <v>朝向</v>
      </c>
      <c r="R28" s="701" t="s">
        <v>14</v>
      </c>
      <c r="S28" s="702">
        <f>F28</f>
        <v>100</v>
      </c>
      <c r="T28" s="701" t="s">
        <v>14</v>
      </c>
      <c r="U28" s="702">
        <f>H28</f>
        <v>100</v>
      </c>
      <c r="V28" s="701" t="s">
        <v>14</v>
      </c>
      <c r="W28" s="702">
        <f>J28</f>
        <v>100</v>
      </c>
      <c r="X28" s="703"/>
      <c r="Y28" s="372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8"/>
      <c r="Q29" s="1352">
        <f t="shared" si="11"/>
        <v>111</v>
      </c>
      <c r="R29" s="705" t="s">
        <v>14</v>
      </c>
      <c r="S29" s="706">
        <f t="shared" ref="S29:S47" si="12">F29</f>
        <v>100</v>
      </c>
      <c r="T29" s="705" t="s">
        <v>14</v>
      </c>
      <c r="U29" s="706">
        <f t="shared" ref="U29:U47" si="13">H29</f>
        <v>100</v>
      </c>
      <c r="V29" s="705" t="s">
        <v>14</v>
      </c>
      <c r="W29" s="706">
        <f t="shared" ref="W29:W47" si="14">J29</f>
        <v>100</v>
      </c>
      <c r="X29" s="1355"/>
      <c r="Y29" s="372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8"/>
      <c r="Q30" s="1352">
        <f t="shared" si="11"/>
        <v>111</v>
      </c>
      <c r="R30" s="705" t="s">
        <v>14</v>
      </c>
      <c r="S30" s="706">
        <f t="shared" si="12"/>
        <v>100</v>
      </c>
      <c r="T30" s="705" t="s">
        <v>14</v>
      </c>
      <c r="U30" s="706">
        <f t="shared" si="13"/>
        <v>100</v>
      </c>
      <c r="V30" s="705" t="s">
        <v>14</v>
      </c>
      <c r="W30" s="706">
        <f t="shared" si="14"/>
        <v>100</v>
      </c>
      <c r="X30" s="1355"/>
      <c r="Y30" s="372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8"/>
      <c r="Q31" s="1352">
        <f t="shared" si="11"/>
        <v>111</v>
      </c>
      <c r="R31" s="705" t="s">
        <v>14</v>
      </c>
      <c r="S31" s="706">
        <f t="shared" si="12"/>
        <v>100</v>
      </c>
      <c r="T31" s="705" t="s">
        <v>14</v>
      </c>
      <c r="U31" s="706">
        <f t="shared" si="13"/>
        <v>100</v>
      </c>
      <c r="V31" s="705" t="s">
        <v>14</v>
      </c>
      <c r="W31" s="706">
        <f t="shared" si="14"/>
        <v>100</v>
      </c>
      <c r="X31" s="1355"/>
      <c r="Y31" s="372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8"/>
      <c r="Q32" s="1352">
        <f t="shared" si="11"/>
        <v>111</v>
      </c>
      <c r="R32" s="705" t="s">
        <v>14</v>
      </c>
      <c r="S32" s="706">
        <f t="shared" si="12"/>
        <v>100</v>
      </c>
      <c r="T32" s="705" t="s">
        <v>14</v>
      </c>
      <c r="U32" s="706">
        <f t="shared" si="13"/>
        <v>100</v>
      </c>
      <c r="V32" s="705" t="s">
        <v>14</v>
      </c>
      <c r="W32" s="706">
        <f t="shared" si="14"/>
        <v>100</v>
      </c>
      <c r="X32" s="1355"/>
      <c r="Y32" s="372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2" t="s">
        <v>1696</v>
      </c>
      <c r="Q33" s="1352" t="str">
        <f t="shared" si="11"/>
        <v>建筑类型</v>
      </c>
      <c r="R33" s="705" t="s">
        <v>14</v>
      </c>
      <c r="S33" s="706">
        <f t="shared" si="12"/>
        <v>100</v>
      </c>
      <c r="T33" s="705" t="s">
        <v>14</v>
      </c>
      <c r="U33" s="706">
        <f t="shared" si="13"/>
        <v>100</v>
      </c>
      <c r="V33" s="705" t="s">
        <v>14</v>
      </c>
      <c r="W33" s="706">
        <f t="shared" si="14"/>
        <v>100</v>
      </c>
      <c r="X33" s="1355"/>
      <c r="Y33" s="372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3"/>
      <c r="Q34" s="707" t="str">
        <f t="shared" si="11"/>
        <v>项目建筑规模</v>
      </c>
      <c r="R34" s="708" t="s">
        <v>14</v>
      </c>
      <c r="S34" s="709" t="e">
        <f t="shared" si="12"/>
        <v>#N/A</v>
      </c>
      <c r="T34" s="708" t="s">
        <v>14</v>
      </c>
      <c r="U34" s="709" t="e">
        <f t="shared" si="13"/>
        <v>#N/A</v>
      </c>
      <c r="V34" s="708" t="s">
        <v>14</v>
      </c>
      <c r="W34" s="709" t="e">
        <f t="shared" si="14"/>
        <v>#N/A</v>
      </c>
      <c r="X34" s="710"/>
      <c r="Y34" s="372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3"/>
      <c r="Q35" s="1352" t="str">
        <f t="shared" si="11"/>
        <v>建筑结构</v>
      </c>
      <c r="R35" s="705" t="s">
        <v>14</v>
      </c>
      <c r="S35" s="706">
        <f t="shared" si="12"/>
        <v>100</v>
      </c>
      <c r="T35" s="705" t="s">
        <v>14</v>
      </c>
      <c r="U35" s="706">
        <f t="shared" si="13"/>
        <v>100</v>
      </c>
      <c r="V35" s="705" t="s">
        <v>14</v>
      </c>
      <c r="W35" s="706">
        <f t="shared" si="14"/>
        <v>100</v>
      </c>
      <c r="X35" s="1355"/>
      <c r="Y35" s="372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3"/>
      <c r="Q36" s="1352" t="str">
        <f t="shared" si="11"/>
        <v>公共部分装修</v>
      </c>
      <c r="R36" s="705" t="s">
        <v>14</v>
      </c>
      <c r="S36" s="706">
        <f t="shared" si="12"/>
        <v>100</v>
      </c>
      <c r="T36" s="705" t="s">
        <v>14</v>
      </c>
      <c r="U36" s="706">
        <f t="shared" si="13"/>
        <v>100</v>
      </c>
      <c r="V36" s="705" t="s">
        <v>14</v>
      </c>
      <c r="W36" s="706">
        <f t="shared" si="14"/>
        <v>100</v>
      </c>
      <c r="X36" s="1355"/>
      <c r="Y36" s="372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3"/>
      <c r="Q37" s="1352" t="str">
        <f t="shared" si="11"/>
        <v>成新度</v>
      </c>
      <c r="R37" s="705" t="s">
        <v>14</v>
      </c>
      <c r="S37" s="706" t="e">
        <f t="shared" si="12"/>
        <v>#N/A</v>
      </c>
      <c r="T37" s="705" t="s">
        <v>14</v>
      </c>
      <c r="U37" s="706" t="e">
        <f t="shared" si="13"/>
        <v>#N/A</v>
      </c>
      <c r="V37" s="705" t="s">
        <v>14</v>
      </c>
      <c r="W37" s="706" t="e">
        <f t="shared" si="14"/>
        <v>#N/A</v>
      </c>
      <c r="X37" s="1355"/>
      <c r="Y37" s="372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3"/>
      <c r="Q38" s="1343" t="str">
        <f t="shared" si="11"/>
        <v>写字楼等级</v>
      </c>
      <c r="R38" s="701" t="s">
        <v>14</v>
      </c>
      <c r="S38" s="702">
        <f t="shared" si="12"/>
        <v>100</v>
      </c>
      <c r="T38" s="701" t="s">
        <v>14</v>
      </c>
      <c r="U38" s="702">
        <f t="shared" si="13"/>
        <v>100</v>
      </c>
      <c r="V38" s="701" t="s">
        <v>14</v>
      </c>
      <c r="W38" s="702">
        <f t="shared" si="14"/>
        <v>100</v>
      </c>
      <c r="X38" s="703"/>
      <c r="Y38" s="372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3" t="s">
        <v>1696</v>
      </c>
      <c r="Q39" s="1352" t="str">
        <f t="shared" si="11"/>
        <v>物业管理</v>
      </c>
      <c r="R39" s="705" t="s">
        <v>14</v>
      </c>
      <c r="S39" s="706">
        <f t="shared" si="12"/>
        <v>100</v>
      </c>
      <c r="T39" s="705" t="s">
        <v>14</v>
      </c>
      <c r="U39" s="706">
        <f t="shared" si="13"/>
        <v>100</v>
      </c>
      <c r="V39" s="705" t="s">
        <v>14</v>
      </c>
      <c r="W39" s="706">
        <f t="shared" si="14"/>
        <v>100</v>
      </c>
      <c r="X39" s="1355"/>
      <c r="Y39" s="372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3"/>
      <c r="Q40" s="1352" t="str">
        <f t="shared" si="11"/>
        <v>市政基础设施</v>
      </c>
      <c r="R40" s="705" t="s">
        <v>14</v>
      </c>
      <c r="S40" s="706">
        <f t="shared" si="12"/>
        <v>100</v>
      </c>
      <c r="T40" s="705" t="s">
        <v>14</v>
      </c>
      <c r="U40" s="706">
        <f t="shared" si="13"/>
        <v>100</v>
      </c>
      <c r="V40" s="705" t="s">
        <v>14</v>
      </c>
      <c r="W40" s="706">
        <f t="shared" si="14"/>
        <v>100</v>
      </c>
      <c r="X40" s="1355"/>
      <c r="Y40" s="372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3"/>
      <c r="Q41" s="1352" t="str">
        <f t="shared" si="11"/>
        <v>层高</v>
      </c>
      <c r="R41" s="705" t="s">
        <v>14</v>
      </c>
      <c r="S41" s="706">
        <f t="shared" si="12"/>
        <v>100</v>
      </c>
      <c r="T41" s="705" t="s">
        <v>14</v>
      </c>
      <c r="U41" s="706">
        <f t="shared" si="13"/>
        <v>100</v>
      </c>
      <c r="V41" s="705" t="s">
        <v>14</v>
      </c>
      <c r="W41" s="706">
        <f t="shared" si="14"/>
        <v>100</v>
      </c>
      <c r="X41" s="1355"/>
      <c r="Y41" s="372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3"/>
      <c r="Q42" s="707" t="str">
        <f t="shared" si="11"/>
        <v>单套建筑面积</v>
      </c>
      <c r="R42" s="708" t="s">
        <v>14</v>
      </c>
      <c r="S42" s="709">
        <f t="shared" si="12"/>
        <v>100</v>
      </c>
      <c r="T42" s="708" t="s">
        <v>14</v>
      </c>
      <c r="U42" s="709">
        <f t="shared" si="13"/>
        <v>100</v>
      </c>
      <c r="V42" s="708" t="s">
        <v>14</v>
      </c>
      <c r="W42" s="709">
        <f t="shared" si="14"/>
        <v>100</v>
      </c>
      <c r="X42" s="710"/>
      <c r="Y42" s="372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3"/>
      <c r="Q43" s="1352" t="str">
        <f t="shared" si="11"/>
        <v>内部装修</v>
      </c>
      <c r="R43" s="705" t="s">
        <v>14</v>
      </c>
      <c r="S43" s="706">
        <f t="shared" si="12"/>
        <v>100</v>
      </c>
      <c r="T43" s="705" t="s">
        <v>14</v>
      </c>
      <c r="U43" s="706">
        <f t="shared" si="13"/>
        <v>100</v>
      </c>
      <c r="V43" s="705" t="s">
        <v>14</v>
      </c>
      <c r="W43" s="706">
        <f t="shared" si="14"/>
        <v>100</v>
      </c>
      <c r="X43" s="1355"/>
      <c r="Y43" s="372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3"/>
      <c r="Q44" s="1352" t="str">
        <f t="shared" si="11"/>
        <v>内部装修维护情况</v>
      </c>
      <c r="R44" s="705" t="s">
        <v>14</v>
      </c>
      <c r="S44" s="706">
        <f t="shared" si="12"/>
        <v>100</v>
      </c>
      <c r="T44" s="705" t="s">
        <v>14</v>
      </c>
      <c r="U44" s="706">
        <f t="shared" si="13"/>
        <v>100</v>
      </c>
      <c r="V44" s="705" t="s">
        <v>14</v>
      </c>
      <c r="W44" s="706">
        <f t="shared" si="14"/>
        <v>100</v>
      </c>
      <c r="X44" s="1355"/>
      <c r="Y44" s="372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3"/>
      <c r="Q45" s="1343">
        <f t="shared" si="11"/>
        <v>111</v>
      </c>
      <c r="R45" s="701" t="s">
        <v>14</v>
      </c>
      <c r="S45" s="702">
        <f t="shared" si="12"/>
        <v>100</v>
      </c>
      <c r="T45" s="701" t="s">
        <v>14</v>
      </c>
      <c r="U45" s="702">
        <f t="shared" si="13"/>
        <v>100</v>
      </c>
      <c r="V45" s="701" t="s">
        <v>14</v>
      </c>
      <c r="W45" s="702">
        <f t="shared" si="14"/>
        <v>100</v>
      </c>
      <c r="X45" s="703"/>
      <c r="Y45" s="372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4"/>
      <c r="Q47" s="1352">
        <f t="shared" si="11"/>
        <v>111</v>
      </c>
      <c r="R47" s="705" t="s">
        <v>14</v>
      </c>
      <c r="S47" s="706">
        <f t="shared" si="12"/>
        <v>100</v>
      </c>
      <c r="T47" s="705" t="s">
        <v>14</v>
      </c>
      <c r="U47" s="706">
        <f t="shared" si="13"/>
        <v>100</v>
      </c>
      <c r="V47" s="705" t="s">
        <v>14</v>
      </c>
      <c r="W47" s="706">
        <f t="shared" si="14"/>
        <v>100</v>
      </c>
      <c r="X47" s="1355"/>
      <c r="Y47" s="372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0" t="str">
        <f>A48</f>
        <v>成交单价（元/平方米）</v>
      </c>
      <c r="Q48" s="3718"/>
      <c r="R48" s="3719">
        <f>E48</f>
        <v>0</v>
      </c>
      <c r="S48" s="3719"/>
      <c r="T48" s="3719">
        <f>G48</f>
        <v>0</v>
      </c>
      <c r="U48" s="3719"/>
      <c r="V48" s="3719">
        <f>I48</f>
        <v>0</v>
      </c>
      <c r="W48" s="371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0" t="str">
        <f>A49</f>
        <v>比较价值（元/平方米）</v>
      </c>
      <c r="Q49" s="3718"/>
      <c r="R49" s="3719" t="e">
        <f>IF(F1="售价",ROUND(PRODUCT(R48,AA7:AA47),0),ROUND(PRODUCT(R48,AA7:AA47),1))</f>
        <v>#DIV/0!</v>
      </c>
      <c r="S49" s="3719"/>
      <c r="T49" s="3719" t="e">
        <f>IF(F1="售价",ROUND(PRODUCT(T48,AB7:AB47),0),ROUND(PRODUCT(T48,AB7:AB47),1))</f>
        <v>#DIV/0!</v>
      </c>
      <c r="U49" s="3719"/>
      <c r="V49" s="3719" t="e">
        <f>IF(F1="售价",ROUND(PRODUCT(V48,AC7:AC47),0),ROUND(PRODUCT(V48,AC7:AC47),1))</f>
        <v>#DIV/0!</v>
      </c>
      <c r="W49" s="371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2021-7</v>
      </c>
      <c r="D59" s="1185">
        <f>EDATE(C59,-1)</f>
        <v>44348</v>
      </c>
      <c r="E59" s="1185">
        <f>EDATE(D59,-1)</f>
        <v>44317</v>
      </c>
      <c r="F59" s="1185">
        <f t="shared" ref="F59:O59" si="16">EDATE(E59,-1)</f>
        <v>44287</v>
      </c>
      <c r="G59" s="1185">
        <f t="shared" si="16"/>
        <v>44256</v>
      </c>
      <c r="H59" s="1185">
        <f t="shared" si="16"/>
        <v>44228</v>
      </c>
      <c r="I59" s="1185">
        <f t="shared" si="16"/>
        <v>44197</v>
      </c>
      <c r="J59" s="1185">
        <f t="shared" si="16"/>
        <v>44166</v>
      </c>
      <c r="K59" s="1185">
        <f t="shared" si="16"/>
        <v>44136</v>
      </c>
      <c r="L59" s="1185">
        <f t="shared" si="16"/>
        <v>44105</v>
      </c>
      <c r="M59" s="1185">
        <f t="shared" si="16"/>
        <v>44075</v>
      </c>
      <c r="N59" s="1185">
        <f t="shared" si="16"/>
        <v>44044</v>
      </c>
      <c r="O59" s="1185">
        <f t="shared" si="16"/>
        <v>44013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128400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913"/>
      <c r="M4" s="914"/>
      <c r="N4" s="914"/>
      <c r="O4" s="914"/>
      <c r="P4" s="3705" t="s">
        <v>1775</v>
      </c>
      <c r="Q4" s="3706"/>
      <c r="R4" s="3688" t="s">
        <v>1771</v>
      </c>
      <c r="S4" s="3689"/>
      <c r="T4" s="3688" t="s">
        <v>1772</v>
      </c>
      <c r="U4" s="3689"/>
      <c r="V4" s="3713" t="s">
        <v>1773</v>
      </c>
      <c r="W4" s="3713"/>
      <c r="X4" s="1355"/>
      <c r="Y4" s="3688" t="s">
        <v>1775</v>
      </c>
      <c r="Z4" s="3689"/>
      <c r="AA4" s="3683" t="s">
        <v>1771</v>
      </c>
      <c r="AB4" s="3684" t="s">
        <v>1772</v>
      </c>
      <c r="AC4" s="3683" t="s">
        <v>1773</v>
      </c>
    </row>
    <row r="5" spans="1:29" ht="15">
      <c r="A5" s="358"/>
      <c r="B5" s="359"/>
      <c r="C5" s="3694" t="s">
        <v>1673</v>
      </c>
      <c r="D5" s="3695"/>
      <c r="E5" s="3692" t="s">
        <v>1674</v>
      </c>
      <c r="F5" s="3693"/>
      <c r="G5" s="3694" t="s">
        <v>1675</v>
      </c>
      <c r="H5" s="3695"/>
      <c r="I5" s="3694" t="s">
        <v>1676</v>
      </c>
      <c r="J5" s="3695"/>
      <c r="K5" s="559"/>
      <c r="L5" s="913"/>
      <c r="M5" s="914"/>
      <c r="N5" s="914"/>
      <c r="O5" s="914"/>
      <c r="P5" s="3707"/>
      <c r="Q5" s="3708"/>
      <c r="R5" s="3690"/>
      <c r="S5" s="3691"/>
      <c r="T5" s="3690"/>
      <c r="U5" s="3691"/>
      <c r="V5" s="3713"/>
      <c r="W5" s="3713"/>
      <c r="X5" s="1355"/>
      <c r="Y5" s="3690"/>
      <c r="Z5" s="3691"/>
      <c r="AA5" s="3684"/>
      <c r="AB5" s="3684"/>
      <c r="AC5" s="3684"/>
    </row>
    <row r="6" spans="1:29" ht="15.75" thickBot="1">
      <c r="A6" s="360"/>
      <c r="B6" s="361"/>
      <c r="C6" s="3696" t="s">
        <v>1677</v>
      </c>
      <c r="D6" s="3697"/>
      <c r="E6" s="3698" t="s">
        <v>1677</v>
      </c>
      <c r="F6" s="3699"/>
      <c r="G6" s="3696" t="s">
        <v>1677</v>
      </c>
      <c r="H6" s="3697"/>
      <c r="I6" s="3696" t="s">
        <v>1677</v>
      </c>
      <c r="J6" s="3697"/>
      <c r="K6" s="559" t="s">
        <v>1678</v>
      </c>
      <c r="L6" s="913"/>
      <c r="M6" s="914"/>
      <c r="N6" s="914"/>
      <c r="O6" s="914"/>
      <c r="P6" s="3709"/>
      <c r="Q6" s="3710"/>
      <c r="R6" s="3690"/>
      <c r="S6" s="3691"/>
      <c r="T6" s="3711"/>
      <c r="U6" s="3712"/>
      <c r="V6" s="3713"/>
      <c r="W6" s="3713"/>
      <c r="X6" s="1355"/>
      <c r="Y6" s="3711"/>
      <c r="Z6" s="3712"/>
      <c r="AA6" s="3685"/>
      <c r="AB6" s="3685"/>
      <c r="AC6" s="3685"/>
    </row>
    <row r="7" spans="1:29" s="108" customFormat="1" ht="15.75" thickBot="1">
      <c r="A7" s="362" t="s">
        <v>1679</v>
      </c>
      <c r="B7" s="363"/>
      <c r="C7" s="364">
        <f>'数据-取费表'!B2</f>
        <v>44378</v>
      </c>
      <c r="D7" s="365">
        <v>100</v>
      </c>
      <c r="E7" s="366"/>
      <c r="F7" s="367">
        <f>SUMIF(52:52,YEAR(E7)&amp;"-"&amp;MONTH(E7),53:53)</f>
        <v>0</v>
      </c>
      <c r="G7" s="366"/>
      <c r="H7" s="365">
        <f>SUMIF(52:52,YEAR(G7)&amp;"-"&amp;MONTH(G7),53:53)</f>
        <v>0</v>
      </c>
      <c r="I7" s="366"/>
      <c r="J7" s="365">
        <f>SUMIF(52:52,YEAR(I7)&amp;"-"&amp;MONTH(I7),53:53)</f>
        <v>0</v>
      </c>
      <c r="K7" s="560"/>
      <c r="L7" s="915"/>
      <c r="M7" s="916"/>
      <c r="N7" s="916"/>
      <c r="O7" s="916"/>
      <c r="P7" s="3686"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6" t="s">
        <v>1683</v>
      </c>
      <c r="Q8" s="3687"/>
      <c r="R8" s="701" t="s">
        <v>14</v>
      </c>
      <c r="S8" s="702">
        <f t="shared" si="0"/>
        <v>100</v>
      </c>
      <c r="T8" s="701" t="s">
        <v>14</v>
      </c>
      <c r="U8" s="702">
        <f t="shared" si="1"/>
        <v>100</v>
      </c>
      <c r="V8" s="701" t="s">
        <v>14</v>
      </c>
      <c r="W8" s="702">
        <f t="shared" si="2"/>
        <v>100</v>
      </c>
      <c r="X8" s="703"/>
      <c r="Y8" s="3686" t="s">
        <v>1683</v>
      </c>
      <c r="Z8" s="368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8"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8"/>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8"/>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8"/>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0" t="s">
        <v>1691</v>
      </c>
      <c r="Q15" s="1352" t="str">
        <f t="shared" si="6"/>
        <v>产业集聚程度</v>
      </c>
      <c r="R15" s="705" t="s">
        <v>14</v>
      </c>
      <c r="S15" s="706">
        <f t="shared" si="0"/>
        <v>100</v>
      </c>
      <c r="T15" s="705" t="s">
        <v>14</v>
      </c>
      <c r="U15" s="706">
        <f t="shared" si="1"/>
        <v>100</v>
      </c>
      <c r="V15" s="705" t="s">
        <v>14</v>
      </c>
      <c r="W15" s="706">
        <f t="shared" si="2"/>
        <v>100</v>
      </c>
      <c r="X15" s="1355"/>
      <c r="Y15" s="372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1"/>
      <c r="Q16" s="1352"/>
      <c r="R16" s="705"/>
      <c r="S16" s="706"/>
      <c r="T16" s="705"/>
      <c r="U16" s="706"/>
      <c r="V16" s="705"/>
      <c r="W16" s="706"/>
      <c r="X16" s="1355"/>
      <c r="Y16" s="372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1"/>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1"/>
      <c r="Q18" s="1352"/>
      <c r="R18" s="705"/>
      <c r="S18" s="706"/>
      <c r="T18" s="705"/>
      <c r="U18" s="706"/>
      <c r="V18" s="705"/>
      <c r="W18" s="706"/>
      <c r="X18" s="1355"/>
      <c r="Y18" s="372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1"/>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1"/>
      <c r="Q20" s="1352"/>
      <c r="R20" s="705"/>
      <c r="S20" s="706"/>
      <c r="T20" s="705"/>
      <c r="U20" s="706"/>
      <c r="V20" s="705"/>
      <c r="W20" s="706"/>
      <c r="X20" s="1355"/>
      <c r="Y20" s="372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1"/>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1"/>
      <c r="Q22" s="1352"/>
      <c r="R22" s="705"/>
      <c r="S22" s="706"/>
      <c r="T22" s="705"/>
      <c r="U22" s="706"/>
      <c r="V22" s="705"/>
      <c r="W22" s="706"/>
      <c r="X22" s="1355"/>
      <c r="Y22" s="372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1"/>
      <c r="Q23" s="1352" t="str">
        <f>B23</f>
        <v>环境质量</v>
      </c>
      <c r="R23" s="705" t="s">
        <v>14</v>
      </c>
      <c r="S23" s="706">
        <f>F23</f>
        <v>100</v>
      </c>
      <c r="T23" s="705" t="s">
        <v>14</v>
      </c>
      <c r="U23" s="706">
        <f>H23</f>
        <v>100</v>
      </c>
      <c r="V23" s="705" t="s">
        <v>14</v>
      </c>
      <c r="W23" s="706">
        <f>J23</f>
        <v>100</v>
      </c>
      <c r="X23" s="1355"/>
      <c r="Y23" s="372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1"/>
      <c r="Q24" s="1352"/>
      <c r="R24" s="705"/>
      <c r="S24" s="706"/>
      <c r="T24" s="705"/>
      <c r="U24" s="706"/>
      <c r="V24" s="705"/>
      <c r="W24" s="706"/>
      <c r="X24" s="1355"/>
      <c r="Y24" s="372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1"/>
      <c r="Q25" s="1352">
        <f>B25</f>
        <v>111</v>
      </c>
      <c r="R25" s="705" t="s">
        <v>14</v>
      </c>
      <c r="S25" s="706">
        <f>F25</f>
        <v>100</v>
      </c>
      <c r="T25" s="705" t="s">
        <v>14</v>
      </c>
      <c r="U25" s="706">
        <f>H25</f>
        <v>100</v>
      </c>
      <c r="V25" s="705" t="s">
        <v>14</v>
      </c>
      <c r="W25" s="706">
        <f>J25</f>
        <v>100</v>
      </c>
      <c r="X25" s="1355"/>
      <c r="Y25" s="372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1"/>
      <c r="Q26" s="1352">
        <f t="shared" ref="Q26:Q40" si="11">B26</f>
        <v>111</v>
      </c>
      <c r="R26" s="705" t="s">
        <v>14</v>
      </c>
      <c r="S26" s="706">
        <f>F26</f>
        <v>100</v>
      </c>
      <c r="T26" s="705" t="s">
        <v>14</v>
      </c>
      <c r="U26" s="706">
        <f>H26</f>
        <v>100</v>
      </c>
      <c r="V26" s="705" t="s">
        <v>14</v>
      </c>
      <c r="W26" s="706">
        <f>J26</f>
        <v>100</v>
      </c>
      <c r="X26" s="1355"/>
      <c r="Y26" s="372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1"/>
      <c r="Q27" s="1343">
        <f t="shared" si="11"/>
        <v>111</v>
      </c>
      <c r="R27" s="701" t="s">
        <v>14</v>
      </c>
      <c r="S27" s="702">
        <f>F27</f>
        <v>100</v>
      </c>
      <c r="T27" s="701" t="s">
        <v>14</v>
      </c>
      <c r="U27" s="702">
        <f>H27</f>
        <v>100</v>
      </c>
      <c r="V27" s="701" t="s">
        <v>14</v>
      </c>
      <c r="W27" s="702">
        <f>J27</f>
        <v>100</v>
      </c>
      <c r="X27" s="703"/>
      <c r="Y27" s="372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1"/>
      <c r="Q28" s="1352">
        <f t="shared" si="11"/>
        <v>111</v>
      </c>
      <c r="R28" s="705" t="s">
        <v>14</v>
      </c>
      <c r="S28" s="706">
        <f t="shared" ref="S28:S40" si="12">F28</f>
        <v>100</v>
      </c>
      <c r="T28" s="705" t="s">
        <v>14</v>
      </c>
      <c r="U28" s="706">
        <f t="shared" ref="U28:U40" si="13">H28</f>
        <v>100</v>
      </c>
      <c r="V28" s="705" t="s">
        <v>14</v>
      </c>
      <c r="W28" s="706">
        <f t="shared" ref="W28:W40" si="14">J28</f>
        <v>100</v>
      </c>
      <c r="X28" s="1355"/>
      <c r="Y28" s="372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72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5"/>
      <c r="Q30" s="707" t="str">
        <f t="shared" si="11"/>
        <v>项目建筑规模</v>
      </c>
      <c r="R30" s="708" t="s">
        <v>14</v>
      </c>
      <c r="S30" s="709" t="e">
        <f t="shared" si="12"/>
        <v>#N/A</v>
      </c>
      <c r="T30" s="708" t="s">
        <v>14</v>
      </c>
      <c r="U30" s="709" t="e">
        <f t="shared" si="13"/>
        <v>#N/A</v>
      </c>
      <c r="V30" s="708" t="s">
        <v>14</v>
      </c>
      <c r="W30" s="709" t="e">
        <f t="shared" si="14"/>
        <v>#N/A</v>
      </c>
      <c r="X30" s="710"/>
      <c r="Y30" s="372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5"/>
      <c r="Q31" s="1352" t="str">
        <f t="shared" si="11"/>
        <v>建筑结构</v>
      </c>
      <c r="R31" s="705" t="s">
        <v>14</v>
      </c>
      <c r="S31" s="706">
        <f t="shared" si="12"/>
        <v>100</v>
      </c>
      <c r="T31" s="705" t="s">
        <v>14</v>
      </c>
      <c r="U31" s="706">
        <f t="shared" si="13"/>
        <v>100</v>
      </c>
      <c r="V31" s="705" t="s">
        <v>14</v>
      </c>
      <c r="W31" s="706">
        <f t="shared" si="14"/>
        <v>100</v>
      </c>
      <c r="X31" s="1355"/>
      <c r="Y31" s="372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5"/>
      <c r="Q32" s="1352" t="str">
        <f t="shared" si="11"/>
        <v>公共部分装修</v>
      </c>
      <c r="R32" s="705" t="s">
        <v>14</v>
      </c>
      <c r="S32" s="706">
        <f t="shared" si="12"/>
        <v>100</v>
      </c>
      <c r="T32" s="705" t="s">
        <v>14</v>
      </c>
      <c r="U32" s="706">
        <f t="shared" si="13"/>
        <v>100</v>
      </c>
      <c r="V32" s="705" t="s">
        <v>14</v>
      </c>
      <c r="W32" s="706">
        <f t="shared" si="14"/>
        <v>100</v>
      </c>
      <c r="X32" s="1355"/>
      <c r="Y32" s="372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5"/>
      <c r="Q33" s="1352" t="str">
        <f t="shared" si="11"/>
        <v>成新度</v>
      </c>
      <c r="R33" s="705" t="s">
        <v>14</v>
      </c>
      <c r="S33" s="706" t="e">
        <f t="shared" si="12"/>
        <v>#N/A</v>
      </c>
      <c r="T33" s="705" t="s">
        <v>14</v>
      </c>
      <c r="U33" s="706" t="e">
        <f t="shared" si="13"/>
        <v>#N/A</v>
      </c>
      <c r="V33" s="705" t="s">
        <v>14</v>
      </c>
      <c r="W33" s="706" t="e">
        <f t="shared" si="14"/>
        <v>#N/A</v>
      </c>
      <c r="X33" s="1355"/>
      <c r="Y33" s="372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5"/>
      <c r="Q34" s="1343" t="str">
        <f t="shared" si="11"/>
        <v>物业管理</v>
      </c>
      <c r="R34" s="701" t="s">
        <v>14</v>
      </c>
      <c r="S34" s="702">
        <f t="shared" si="12"/>
        <v>100</v>
      </c>
      <c r="T34" s="701" t="s">
        <v>14</v>
      </c>
      <c r="U34" s="702">
        <f t="shared" si="13"/>
        <v>100</v>
      </c>
      <c r="V34" s="701" t="s">
        <v>14</v>
      </c>
      <c r="W34" s="702">
        <f t="shared" si="14"/>
        <v>100</v>
      </c>
      <c r="X34" s="703"/>
      <c r="Y34" s="372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5" t="s">
        <v>1696</v>
      </c>
      <c r="Q35" s="1352" t="str">
        <f t="shared" si="11"/>
        <v>市政基础设施</v>
      </c>
      <c r="R35" s="705" t="s">
        <v>14</v>
      </c>
      <c r="S35" s="706">
        <f t="shared" si="12"/>
        <v>100</v>
      </c>
      <c r="T35" s="705" t="s">
        <v>14</v>
      </c>
      <c r="U35" s="706">
        <f t="shared" si="13"/>
        <v>100</v>
      </c>
      <c r="V35" s="705" t="s">
        <v>14</v>
      </c>
      <c r="W35" s="706">
        <f t="shared" si="14"/>
        <v>100</v>
      </c>
      <c r="X35" s="1355"/>
      <c r="Y35" s="372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5"/>
      <c r="Q36" s="1352" t="str">
        <f t="shared" si="11"/>
        <v>内部装修</v>
      </c>
      <c r="R36" s="705" t="s">
        <v>14</v>
      </c>
      <c r="S36" s="706">
        <f t="shared" si="12"/>
        <v>100</v>
      </c>
      <c r="T36" s="705" t="s">
        <v>14</v>
      </c>
      <c r="U36" s="706">
        <f t="shared" si="13"/>
        <v>100</v>
      </c>
      <c r="V36" s="705" t="s">
        <v>14</v>
      </c>
      <c r="W36" s="706">
        <f t="shared" si="14"/>
        <v>100</v>
      </c>
      <c r="X36" s="1355"/>
      <c r="Y36" s="372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5"/>
      <c r="Q37" s="1352" t="str">
        <f t="shared" si="11"/>
        <v>内部装修状况</v>
      </c>
      <c r="R37" s="705" t="s">
        <v>14</v>
      </c>
      <c r="S37" s="706">
        <f t="shared" si="12"/>
        <v>100</v>
      </c>
      <c r="T37" s="705" t="s">
        <v>14</v>
      </c>
      <c r="U37" s="706">
        <f t="shared" si="13"/>
        <v>100</v>
      </c>
      <c r="V37" s="705" t="s">
        <v>14</v>
      </c>
      <c r="W37" s="706">
        <f t="shared" si="14"/>
        <v>100</v>
      </c>
      <c r="X37" s="1355"/>
      <c r="Y37" s="372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5"/>
      <c r="Q38" s="707">
        <f t="shared" si="11"/>
        <v>111</v>
      </c>
      <c r="R38" s="708" t="s">
        <v>14</v>
      </c>
      <c r="S38" s="709">
        <f t="shared" si="12"/>
        <v>100</v>
      </c>
      <c r="T38" s="708" t="s">
        <v>14</v>
      </c>
      <c r="U38" s="709">
        <f t="shared" si="13"/>
        <v>100</v>
      </c>
      <c r="V38" s="708" t="s">
        <v>14</v>
      </c>
      <c r="W38" s="709">
        <f t="shared" si="14"/>
        <v>100</v>
      </c>
      <c r="X38" s="710"/>
      <c r="Y38" s="372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5"/>
      <c r="Q39" s="1352">
        <f t="shared" si="11"/>
        <v>111</v>
      </c>
      <c r="R39" s="705" t="s">
        <v>14</v>
      </c>
      <c r="S39" s="706">
        <f t="shared" si="12"/>
        <v>100</v>
      </c>
      <c r="T39" s="705" t="s">
        <v>14</v>
      </c>
      <c r="U39" s="706">
        <f t="shared" si="13"/>
        <v>100</v>
      </c>
      <c r="V39" s="705" t="s">
        <v>14</v>
      </c>
      <c r="W39" s="706">
        <f t="shared" si="14"/>
        <v>100</v>
      </c>
      <c r="X39" s="1355"/>
      <c r="Y39" s="372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6"/>
      <c r="Q40" s="1352">
        <f t="shared" si="11"/>
        <v>111</v>
      </c>
      <c r="R40" s="705" t="s">
        <v>14</v>
      </c>
      <c r="S40" s="706">
        <f t="shared" si="12"/>
        <v>100</v>
      </c>
      <c r="T40" s="705" t="s">
        <v>14</v>
      </c>
      <c r="U40" s="706">
        <f t="shared" si="13"/>
        <v>100</v>
      </c>
      <c r="V40" s="705" t="s">
        <v>14</v>
      </c>
      <c r="W40" s="706">
        <f t="shared" si="14"/>
        <v>100</v>
      </c>
      <c r="X40" s="1355"/>
      <c r="Y40" s="372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8" t="str">
        <f>A41</f>
        <v>成交单价（元/平方米）</v>
      </c>
      <c r="Q41" s="3718"/>
      <c r="R41" s="3719">
        <f>E41</f>
        <v>0</v>
      </c>
      <c r="S41" s="3719"/>
      <c r="T41" s="3719">
        <f>G41</f>
        <v>0</v>
      </c>
      <c r="U41" s="3719"/>
      <c r="V41" s="3719">
        <f>I41</f>
        <v>0</v>
      </c>
      <c r="W41" s="371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8" t="str">
        <f>A42</f>
        <v>比较价值（元/平方米）</v>
      </c>
      <c r="Q42" s="3718"/>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5" t="str">
        <f>A43</f>
        <v>估价对象XX用房的比较价值（楼面单价，元/平方米）</v>
      </c>
      <c r="Q43" s="3716"/>
      <c r="R43" s="3717" t="e">
        <f>IF(F1="售价",ROUND(IF(D42="简单平均",AVERAGE(R42:V42),R42*F42+T42*H42+V42*J42),0),ROUND(IF(D42="简单平均",AVERAGE(R42:V42),R42*F42+T42*H42+V42*J42),1))</f>
        <v>#DIV/0!</v>
      </c>
      <c r="S43" s="3717"/>
      <c r="T43" s="3717"/>
      <c r="U43" s="3717"/>
      <c r="V43" s="3717"/>
      <c r="W43" s="371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2021-7</v>
      </c>
      <c r="D52" s="1185">
        <f>EDATE(C52,-1)</f>
        <v>44348</v>
      </c>
      <c r="E52" s="1185">
        <f t="shared" ref="E52:O52" si="16">EDATE(D52,-1)</f>
        <v>44317</v>
      </c>
      <c r="F52" s="1185">
        <f t="shared" si="16"/>
        <v>44287</v>
      </c>
      <c r="G52" s="1185">
        <f t="shared" si="16"/>
        <v>44256</v>
      </c>
      <c r="H52" s="1185">
        <f t="shared" si="16"/>
        <v>44228</v>
      </c>
      <c r="I52" s="1185">
        <f t="shared" si="16"/>
        <v>44197</v>
      </c>
      <c r="J52" s="1185">
        <f t="shared" si="16"/>
        <v>44166</v>
      </c>
      <c r="K52" s="1185">
        <f t="shared" si="16"/>
        <v>44136</v>
      </c>
      <c r="L52" s="1185">
        <f t="shared" si="16"/>
        <v>44105</v>
      </c>
      <c r="M52" s="1185">
        <f t="shared" si="16"/>
        <v>44075</v>
      </c>
      <c r="N52" s="1185">
        <f t="shared" si="16"/>
        <v>44044</v>
      </c>
      <c r="O52" s="1185">
        <f t="shared" si="16"/>
        <v>44013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估价对象为房地产，为所有。根据《国有土地使用证》[]，估价对象（分摊）出让国有建设用地使用权面积为37047.6平方米，建筑面积为128400平方米。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估价对象为房地产,属开发建设的，该项目尚在开发建设中。根据《国有土地使用证》[]，估价对象（分摊）出让国有建设用地使用权面积为37047.6平方米，规划建筑面积为128400平方米。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2021年7月1日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2021年7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688" t="s">
        <v>1771</v>
      </c>
      <c r="S4" s="3689"/>
      <c r="T4" s="3688" t="s">
        <v>1772</v>
      </c>
      <c r="U4" s="3689"/>
      <c r="V4" s="3713" t="s">
        <v>1773</v>
      </c>
      <c r="W4" s="3713"/>
      <c r="X4" s="1355"/>
      <c r="Y4" s="3688" t="s">
        <v>1775</v>
      </c>
      <c r="Z4" s="3689"/>
      <c r="AA4" s="3683" t="s">
        <v>1771</v>
      </c>
      <c r="AB4" s="3684" t="s">
        <v>1772</v>
      </c>
      <c r="AC4" s="3683" t="s">
        <v>1773</v>
      </c>
    </row>
    <row r="5" spans="1:29" ht="15">
      <c r="A5" s="358"/>
      <c r="B5" s="359"/>
      <c r="C5" s="3694" t="s">
        <v>1673</v>
      </c>
      <c r="D5" s="3695"/>
      <c r="E5" s="3692" t="s">
        <v>1674</v>
      </c>
      <c r="F5" s="3693"/>
      <c r="G5" s="3694" t="s">
        <v>1675</v>
      </c>
      <c r="H5" s="3695"/>
      <c r="I5" s="3694" t="s">
        <v>1676</v>
      </c>
      <c r="J5" s="3695"/>
      <c r="K5" s="559"/>
      <c r="L5" s="2715"/>
      <c r="M5" s="2716"/>
      <c r="N5" s="2716"/>
      <c r="O5" s="2716"/>
      <c r="P5" s="3707"/>
      <c r="Q5" s="3708"/>
      <c r="R5" s="3690"/>
      <c r="S5" s="3691"/>
      <c r="T5" s="3690"/>
      <c r="U5" s="3691"/>
      <c r="V5" s="3713"/>
      <c r="W5" s="3713"/>
      <c r="X5" s="1355"/>
      <c r="Y5" s="3690"/>
      <c r="Z5" s="3691"/>
      <c r="AA5" s="3684"/>
      <c r="AB5" s="3684"/>
      <c r="AC5" s="3684"/>
    </row>
    <row r="6" spans="1:29" ht="15.75" thickBot="1">
      <c r="A6" s="360"/>
      <c r="B6" s="361"/>
      <c r="C6" s="3696" t="s">
        <v>1677</v>
      </c>
      <c r="D6" s="3697"/>
      <c r="E6" s="3698" t="s">
        <v>1677</v>
      </c>
      <c r="F6" s="3699"/>
      <c r="G6" s="3696" t="s">
        <v>1677</v>
      </c>
      <c r="H6" s="3697"/>
      <c r="I6" s="3696" t="s">
        <v>1677</v>
      </c>
      <c r="J6" s="3697"/>
      <c r="K6" s="559" t="s">
        <v>1678</v>
      </c>
      <c r="L6" s="2715"/>
      <c r="M6" s="2716"/>
      <c r="N6" s="2716"/>
      <c r="O6" s="2716"/>
      <c r="P6" s="3709"/>
      <c r="Q6" s="3710"/>
      <c r="R6" s="3690"/>
      <c r="S6" s="3691"/>
      <c r="T6" s="3711"/>
      <c r="U6" s="3712"/>
      <c r="V6" s="3713"/>
      <c r="W6" s="3713"/>
      <c r="X6" s="1355"/>
      <c r="Y6" s="3711"/>
      <c r="Z6" s="3712"/>
      <c r="AA6" s="3685"/>
      <c r="AB6" s="3685"/>
      <c r="AC6" s="3685"/>
    </row>
    <row r="7" spans="1:29" s="108" customFormat="1" ht="15.75" thickBot="1">
      <c r="A7" s="362" t="s">
        <v>1679</v>
      </c>
      <c r="B7" s="363"/>
      <c r="C7" s="364">
        <f>'数据-取费表'!B2</f>
        <v>44378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6" t="s">
        <v>1680</v>
      </c>
      <c r="Q7" s="3714"/>
      <c r="R7" s="701" t="s">
        <v>14</v>
      </c>
      <c r="S7" s="702">
        <f t="shared" ref="S7:S14" si="0">F7</f>
        <v>0</v>
      </c>
      <c r="T7" s="701" t="s">
        <v>14</v>
      </c>
      <c r="U7" s="702">
        <f t="shared" ref="U7:U14" si="1">H7</f>
        <v>0</v>
      </c>
      <c r="V7" s="701" t="s">
        <v>14</v>
      </c>
      <c r="W7" s="702">
        <f t="shared" ref="W7:W14"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6" t="s">
        <v>1683</v>
      </c>
      <c r="Q8" s="3687"/>
      <c r="R8" s="701" t="s">
        <v>14</v>
      </c>
      <c r="S8" s="702">
        <f t="shared" si="0"/>
        <v>100</v>
      </c>
      <c r="T8" s="701" t="s">
        <v>14</v>
      </c>
      <c r="U8" s="702">
        <f t="shared" si="1"/>
        <v>100</v>
      </c>
      <c r="V8" s="701" t="s">
        <v>14</v>
      </c>
      <c r="W8" s="702">
        <f t="shared" si="2"/>
        <v>100</v>
      </c>
      <c r="X8" s="703"/>
      <c r="Y8" s="3686" t="s">
        <v>1683</v>
      </c>
      <c r="Z8" s="368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8" t="s">
        <v>1686</v>
      </c>
      <c r="Q9" s="1343" t="str">
        <f t="shared" ref="Q9:Q14" si="6">B9</f>
        <v>用途</v>
      </c>
      <c r="R9" s="701" t="s">
        <v>14</v>
      </c>
      <c r="S9" s="702">
        <f t="shared" si="0"/>
        <v>100</v>
      </c>
      <c r="T9" s="701" t="s">
        <v>14</v>
      </c>
      <c r="U9" s="702">
        <f t="shared" si="1"/>
        <v>100</v>
      </c>
      <c r="V9" s="701" t="s">
        <v>14</v>
      </c>
      <c r="W9" s="702">
        <f t="shared" si="2"/>
        <v>100</v>
      </c>
      <c r="X9" s="703"/>
      <c r="Y9" s="363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8"/>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0" t="s">
        <v>1691</v>
      </c>
      <c r="Q14" s="1352" t="str">
        <f t="shared" si="6"/>
        <v>交通便捷度</v>
      </c>
      <c r="R14" s="705" t="s">
        <v>14</v>
      </c>
      <c r="S14" s="706">
        <f t="shared" si="0"/>
        <v>100</v>
      </c>
      <c r="T14" s="705" t="s">
        <v>14</v>
      </c>
      <c r="U14" s="706">
        <f t="shared" si="1"/>
        <v>100</v>
      </c>
      <c r="V14" s="705" t="s">
        <v>14</v>
      </c>
      <c r="W14" s="706">
        <f t="shared" si="2"/>
        <v>100</v>
      </c>
      <c r="X14" s="1355"/>
      <c r="Y14" s="372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1"/>
      <c r="Q15" s="1352"/>
      <c r="R15" s="705"/>
      <c r="S15" s="706"/>
      <c r="T15" s="705"/>
      <c r="U15" s="706"/>
      <c r="V15" s="705"/>
      <c r="W15" s="706"/>
      <c r="X15" s="1355"/>
      <c r="Y15" s="372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1"/>
      <c r="Q16" s="1352" t="str">
        <f>B16</f>
        <v>公共配套设施</v>
      </c>
      <c r="R16" s="705" t="s">
        <v>14</v>
      </c>
      <c r="S16" s="706">
        <f>F16</f>
        <v>100</v>
      </c>
      <c r="T16" s="705" t="s">
        <v>14</v>
      </c>
      <c r="U16" s="706">
        <f>H16</f>
        <v>100</v>
      </c>
      <c r="V16" s="705" t="s">
        <v>14</v>
      </c>
      <c r="W16" s="706">
        <f>J16</f>
        <v>100</v>
      </c>
      <c r="X16" s="1355"/>
      <c r="Y16" s="372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1"/>
      <c r="Q17" s="1352"/>
      <c r="R17" s="705"/>
      <c r="S17" s="706"/>
      <c r="T17" s="705"/>
      <c r="U17" s="706"/>
      <c r="V17" s="705"/>
      <c r="W17" s="706"/>
      <c r="X17" s="1355"/>
      <c r="Y17" s="372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1"/>
      <c r="Q18" s="1352" t="str">
        <f>B18</f>
        <v>基础设施水平</v>
      </c>
      <c r="R18" s="705" t="s">
        <v>14</v>
      </c>
      <c r="S18" s="706">
        <f>F18</f>
        <v>100</v>
      </c>
      <c r="T18" s="705" t="s">
        <v>14</v>
      </c>
      <c r="U18" s="706">
        <f>H18</f>
        <v>100</v>
      </c>
      <c r="V18" s="705" t="s">
        <v>14</v>
      </c>
      <c r="W18" s="706">
        <f>J18</f>
        <v>100</v>
      </c>
      <c r="X18" s="1355"/>
      <c r="Y18" s="372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1"/>
      <c r="Q19" s="1352"/>
      <c r="R19" s="705"/>
      <c r="S19" s="706"/>
      <c r="T19" s="705"/>
      <c r="U19" s="706"/>
      <c r="V19" s="705"/>
      <c r="W19" s="706"/>
      <c r="X19" s="1355"/>
      <c r="Y19" s="372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1"/>
      <c r="Q20" s="1352" t="str">
        <f>B20</f>
        <v>自然及人文环境</v>
      </c>
      <c r="R20" s="705" t="s">
        <v>14</v>
      </c>
      <c r="S20" s="706">
        <f>F20</f>
        <v>100</v>
      </c>
      <c r="T20" s="705" t="s">
        <v>14</v>
      </c>
      <c r="U20" s="706">
        <f>H20</f>
        <v>100</v>
      </c>
      <c r="V20" s="705" t="s">
        <v>14</v>
      </c>
      <c r="W20" s="706">
        <f>J20</f>
        <v>100</v>
      </c>
      <c r="X20" s="1355"/>
      <c r="Y20" s="372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1"/>
      <c r="Q21" s="1352"/>
      <c r="R21" s="705"/>
      <c r="S21" s="706"/>
      <c r="T21" s="705"/>
      <c r="U21" s="706"/>
      <c r="V21" s="705"/>
      <c r="W21" s="706"/>
      <c r="X21" s="1355"/>
      <c r="Y21" s="372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1"/>
      <c r="Q22" s="1352" t="str">
        <f>B22</f>
        <v>楼层</v>
      </c>
      <c r="R22" s="705" t="s">
        <v>14</v>
      </c>
      <c r="S22" s="706">
        <f>F22</f>
        <v>100</v>
      </c>
      <c r="T22" s="705" t="s">
        <v>14</v>
      </c>
      <c r="U22" s="706">
        <f>H22</f>
        <v>100</v>
      </c>
      <c r="V22" s="705" t="s">
        <v>14</v>
      </c>
      <c r="W22" s="706">
        <f>J22</f>
        <v>100</v>
      </c>
      <c r="X22" s="1355"/>
      <c r="Y22" s="372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1"/>
      <c r="Q23" s="1352">
        <f>B23</f>
        <v>111</v>
      </c>
      <c r="R23" s="705" t="s">
        <v>14</v>
      </c>
      <c r="S23" s="706">
        <f>F23</f>
        <v>100</v>
      </c>
      <c r="T23" s="705" t="s">
        <v>14</v>
      </c>
      <c r="U23" s="706">
        <f>H23</f>
        <v>100</v>
      </c>
      <c r="V23" s="705" t="s">
        <v>14</v>
      </c>
      <c r="W23" s="706">
        <f>J23</f>
        <v>100</v>
      </c>
      <c r="X23" s="1355"/>
      <c r="Y23" s="372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1"/>
      <c r="Q24" s="1352">
        <f t="shared" ref="Q24:Q36" si="11">B24</f>
        <v>111</v>
      </c>
      <c r="R24" s="705" t="s">
        <v>14</v>
      </c>
      <c r="S24" s="706">
        <f>F24</f>
        <v>100</v>
      </c>
      <c r="T24" s="705" t="s">
        <v>14</v>
      </c>
      <c r="U24" s="706">
        <f>H24</f>
        <v>100</v>
      </c>
      <c r="V24" s="705" t="s">
        <v>14</v>
      </c>
      <c r="W24" s="706">
        <f>J24</f>
        <v>100</v>
      </c>
      <c r="X24" s="1355"/>
      <c r="Y24" s="372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1"/>
      <c r="Q25" s="1343">
        <f t="shared" si="11"/>
        <v>111</v>
      </c>
      <c r="R25" s="701" t="s">
        <v>14</v>
      </c>
      <c r="S25" s="702">
        <f>F25</f>
        <v>100</v>
      </c>
      <c r="T25" s="701" t="s">
        <v>14</v>
      </c>
      <c r="U25" s="702">
        <f>H25</f>
        <v>100</v>
      </c>
      <c r="V25" s="701" t="s">
        <v>14</v>
      </c>
      <c r="W25" s="702">
        <f>J25</f>
        <v>100</v>
      </c>
      <c r="X25" s="703"/>
      <c r="Y25" s="372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5"/>
      <c r="Q27" s="707" t="str">
        <f t="shared" si="11"/>
        <v>项目停车位配比</v>
      </c>
      <c r="R27" s="708" t="s">
        <v>14</v>
      </c>
      <c r="S27" s="709">
        <f t="shared" si="12"/>
        <v>100</v>
      </c>
      <c r="T27" s="708" t="s">
        <v>14</v>
      </c>
      <c r="U27" s="709">
        <f t="shared" si="13"/>
        <v>100</v>
      </c>
      <c r="V27" s="708" t="s">
        <v>14</v>
      </c>
      <c r="W27" s="709">
        <f t="shared" si="14"/>
        <v>100</v>
      </c>
      <c r="X27" s="710"/>
      <c r="Y27" s="372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5"/>
      <c r="Q28" s="1352" t="str">
        <f t="shared" si="11"/>
        <v>公共部分装修</v>
      </c>
      <c r="R28" s="705" t="s">
        <v>14</v>
      </c>
      <c r="S28" s="706">
        <f t="shared" si="12"/>
        <v>100</v>
      </c>
      <c r="T28" s="705" t="s">
        <v>14</v>
      </c>
      <c r="U28" s="706">
        <f t="shared" si="13"/>
        <v>100</v>
      </c>
      <c r="V28" s="705" t="s">
        <v>14</v>
      </c>
      <c r="W28" s="706">
        <f t="shared" si="14"/>
        <v>100</v>
      </c>
      <c r="X28" s="1355"/>
      <c r="Y28" s="372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5"/>
      <c r="Q29" s="1352" t="str">
        <f t="shared" si="11"/>
        <v>成新率</v>
      </c>
      <c r="R29" s="705" t="s">
        <v>14</v>
      </c>
      <c r="S29" s="706" t="e">
        <f t="shared" si="12"/>
        <v>#N/A</v>
      </c>
      <c r="T29" s="705" t="s">
        <v>14</v>
      </c>
      <c r="U29" s="706" t="e">
        <f t="shared" si="13"/>
        <v>#N/A</v>
      </c>
      <c r="V29" s="705" t="s">
        <v>14</v>
      </c>
      <c r="W29" s="706" t="e">
        <f t="shared" si="14"/>
        <v>#N/A</v>
      </c>
      <c r="X29" s="1355"/>
      <c r="Y29" s="372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5"/>
      <c r="Q30" s="1352" t="str">
        <f t="shared" si="11"/>
        <v>物业等级</v>
      </c>
      <c r="R30" s="705" t="s">
        <v>14</v>
      </c>
      <c r="S30" s="706">
        <f t="shared" si="12"/>
        <v>100</v>
      </c>
      <c r="T30" s="705" t="s">
        <v>14</v>
      </c>
      <c r="U30" s="706">
        <f t="shared" si="13"/>
        <v>100</v>
      </c>
      <c r="V30" s="705" t="s">
        <v>14</v>
      </c>
      <c r="W30" s="706">
        <f t="shared" si="14"/>
        <v>100</v>
      </c>
      <c r="X30" s="1355"/>
      <c r="Y30" s="372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5"/>
      <c r="Q31" s="1343" t="str">
        <f t="shared" si="11"/>
        <v>停车位面积</v>
      </c>
      <c r="R31" s="701" t="s">
        <v>14</v>
      </c>
      <c r="S31" s="702" t="e">
        <f t="shared" si="12"/>
        <v>#N/A</v>
      </c>
      <c r="T31" s="701" t="s">
        <v>14</v>
      </c>
      <c r="U31" s="702" t="e">
        <f t="shared" si="13"/>
        <v>#N/A</v>
      </c>
      <c r="V31" s="701" t="s">
        <v>14</v>
      </c>
      <c r="W31" s="702" t="e">
        <f t="shared" si="14"/>
        <v>#N/A</v>
      </c>
      <c r="X31" s="703"/>
      <c r="Y31" s="372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5" t="s">
        <v>1696</v>
      </c>
      <c r="Q32" s="1352" t="str">
        <f t="shared" si="11"/>
        <v>车位类型</v>
      </c>
      <c r="R32" s="705" t="s">
        <v>14</v>
      </c>
      <c r="S32" s="706">
        <f t="shared" si="12"/>
        <v>100</v>
      </c>
      <c r="T32" s="705" t="s">
        <v>14</v>
      </c>
      <c r="U32" s="706">
        <f t="shared" si="13"/>
        <v>100</v>
      </c>
      <c r="V32" s="705" t="s">
        <v>14</v>
      </c>
      <c r="W32" s="706">
        <f t="shared" si="14"/>
        <v>100</v>
      </c>
      <c r="X32" s="1355"/>
      <c r="Y32" s="372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5"/>
      <c r="Q33" s="1352" t="str">
        <f t="shared" si="11"/>
        <v>是否直接入户</v>
      </c>
      <c r="R33" s="705" t="s">
        <v>14</v>
      </c>
      <c r="S33" s="706">
        <f t="shared" si="12"/>
        <v>100</v>
      </c>
      <c r="T33" s="705" t="s">
        <v>14</v>
      </c>
      <c r="U33" s="706">
        <f t="shared" si="13"/>
        <v>100</v>
      </c>
      <c r="V33" s="705" t="s">
        <v>14</v>
      </c>
      <c r="W33" s="706">
        <f t="shared" si="14"/>
        <v>100</v>
      </c>
      <c r="X33" s="1355"/>
      <c r="Y33" s="372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5"/>
      <c r="Q34" s="1352">
        <f t="shared" si="11"/>
        <v>111</v>
      </c>
      <c r="R34" s="705" t="s">
        <v>14</v>
      </c>
      <c r="S34" s="706">
        <f t="shared" si="12"/>
        <v>100</v>
      </c>
      <c r="T34" s="705" t="s">
        <v>14</v>
      </c>
      <c r="U34" s="706">
        <f t="shared" si="13"/>
        <v>100</v>
      </c>
      <c r="V34" s="705" t="s">
        <v>14</v>
      </c>
      <c r="W34" s="706">
        <f t="shared" si="14"/>
        <v>100</v>
      </c>
      <c r="X34" s="1355"/>
      <c r="Y34" s="372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5"/>
      <c r="Q35" s="707">
        <f t="shared" si="11"/>
        <v>111</v>
      </c>
      <c r="R35" s="708" t="s">
        <v>14</v>
      </c>
      <c r="S35" s="709">
        <f t="shared" si="12"/>
        <v>100</v>
      </c>
      <c r="T35" s="708" t="s">
        <v>14</v>
      </c>
      <c r="U35" s="709">
        <f t="shared" si="13"/>
        <v>100</v>
      </c>
      <c r="V35" s="708" t="s">
        <v>14</v>
      </c>
      <c r="W35" s="709">
        <f t="shared" si="14"/>
        <v>100</v>
      </c>
      <c r="X35" s="710"/>
      <c r="Y35" s="372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5"/>
      <c r="Q36" s="1352">
        <f t="shared" si="11"/>
        <v>111</v>
      </c>
      <c r="R36" s="705" t="s">
        <v>14</v>
      </c>
      <c r="S36" s="706">
        <f t="shared" si="12"/>
        <v>100</v>
      </c>
      <c r="T36" s="705" t="s">
        <v>14</v>
      </c>
      <c r="U36" s="706">
        <f t="shared" si="13"/>
        <v>100</v>
      </c>
      <c r="V36" s="705" t="s">
        <v>14</v>
      </c>
      <c r="W36" s="706">
        <f t="shared" si="14"/>
        <v>100</v>
      </c>
      <c r="X36" s="1355"/>
      <c r="Y36" s="3725"/>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18" t="str">
        <f>A37</f>
        <v>成交单价</v>
      </c>
      <c r="Q37" s="3718"/>
      <c r="R37" s="3719">
        <f>E37</f>
        <v>0</v>
      </c>
      <c r="S37" s="3719"/>
      <c r="T37" s="3719">
        <f>G37</f>
        <v>0</v>
      </c>
      <c r="U37" s="3719"/>
      <c r="V37" s="3719">
        <f>I37</f>
        <v>0</v>
      </c>
      <c r="W37" s="371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8" t="str">
        <f>A38</f>
        <v>比较价值（元/平方米）</v>
      </c>
      <c r="Q38" s="3718"/>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5" t="str">
        <f>A39</f>
        <v>估价对象XX用房的比较价值（楼面单价，元/平方米）</v>
      </c>
      <c r="Q39" s="3716"/>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2021-7</v>
      </c>
      <c r="D48" s="1185">
        <f>EDATE(C48,-1)</f>
        <v>44348</v>
      </c>
      <c r="E48" s="1185">
        <f t="shared" ref="E48:O48" si="16">EDATE(D48,-1)</f>
        <v>44317</v>
      </c>
      <c r="F48" s="1185">
        <f t="shared" si="16"/>
        <v>44287</v>
      </c>
      <c r="G48" s="1185">
        <f t="shared" si="16"/>
        <v>44256</v>
      </c>
      <c r="H48" s="1185">
        <f t="shared" si="16"/>
        <v>44228</v>
      </c>
      <c r="I48" s="1185">
        <f t="shared" si="16"/>
        <v>44197</v>
      </c>
      <c r="J48" s="1185">
        <f t="shared" si="16"/>
        <v>44166</v>
      </c>
      <c r="K48" s="1185">
        <f t="shared" si="16"/>
        <v>44136</v>
      </c>
      <c r="L48" s="1185">
        <f t="shared" si="16"/>
        <v>44105</v>
      </c>
      <c r="M48" s="1185">
        <f t="shared" si="16"/>
        <v>44075</v>
      </c>
      <c r="N48" s="1185">
        <f t="shared" si="16"/>
        <v>44044</v>
      </c>
      <c r="O48" s="1185">
        <f t="shared" si="16"/>
        <v>44013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688" t="s">
        <v>1771</v>
      </c>
      <c r="S4" s="3689"/>
      <c r="T4" s="3688" t="s">
        <v>1772</v>
      </c>
      <c r="U4" s="3689"/>
      <c r="V4" s="3713" t="s">
        <v>1773</v>
      </c>
      <c r="W4" s="3713"/>
      <c r="X4" s="1355"/>
      <c r="Y4" s="3688" t="s">
        <v>1775</v>
      </c>
      <c r="Z4" s="3689"/>
      <c r="AA4" s="3683" t="s">
        <v>1771</v>
      </c>
      <c r="AB4" s="3684" t="s">
        <v>1772</v>
      </c>
      <c r="AC4" s="3683" t="s">
        <v>1773</v>
      </c>
    </row>
    <row r="5" spans="1:29" ht="15">
      <c r="A5" s="358"/>
      <c r="B5" s="359"/>
      <c r="C5" s="3694" t="s">
        <v>1673</v>
      </c>
      <c r="D5" s="3695"/>
      <c r="E5" s="3692" t="s">
        <v>1674</v>
      </c>
      <c r="F5" s="3693"/>
      <c r="G5" s="3694" t="s">
        <v>1675</v>
      </c>
      <c r="H5" s="3695"/>
      <c r="I5" s="3694" t="s">
        <v>1676</v>
      </c>
      <c r="J5" s="3695"/>
      <c r="K5" s="559"/>
      <c r="L5" s="2715"/>
      <c r="M5" s="2716"/>
      <c r="N5" s="2716"/>
      <c r="O5" s="2716"/>
      <c r="P5" s="3707"/>
      <c r="Q5" s="3708"/>
      <c r="R5" s="3690"/>
      <c r="S5" s="3691"/>
      <c r="T5" s="3690"/>
      <c r="U5" s="3691"/>
      <c r="V5" s="3713"/>
      <c r="W5" s="3713"/>
      <c r="X5" s="1355"/>
      <c r="Y5" s="3690"/>
      <c r="Z5" s="3691"/>
      <c r="AA5" s="3684"/>
      <c r="AB5" s="3684"/>
      <c r="AC5" s="3684"/>
    </row>
    <row r="6" spans="1:29" ht="15.75" thickBot="1">
      <c r="A6" s="360"/>
      <c r="B6" s="361"/>
      <c r="C6" s="3696" t="s">
        <v>1677</v>
      </c>
      <c r="D6" s="3697"/>
      <c r="E6" s="3698" t="s">
        <v>1677</v>
      </c>
      <c r="F6" s="3699"/>
      <c r="G6" s="3696" t="s">
        <v>1677</v>
      </c>
      <c r="H6" s="3697"/>
      <c r="I6" s="3696" t="s">
        <v>1677</v>
      </c>
      <c r="J6" s="3697"/>
      <c r="K6" s="559" t="s">
        <v>1678</v>
      </c>
      <c r="L6" s="2715"/>
      <c r="M6" s="2716"/>
      <c r="N6" s="2716"/>
      <c r="O6" s="2716"/>
      <c r="P6" s="3709"/>
      <c r="Q6" s="3710"/>
      <c r="R6" s="3690"/>
      <c r="S6" s="3691"/>
      <c r="T6" s="3711"/>
      <c r="U6" s="3712"/>
      <c r="V6" s="3713"/>
      <c r="W6" s="3713"/>
      <c r="X6" s="1355"/>
      <c r="Y6" s="3711"/>
      <c r="Z6" s="3712"/>
      <c r="AA6" s="3685"/>
      <c r="AB6" s="3685"/>
      <c r="AC6" s="3685"/>
    </row>
    <row r="7" spans="1:29" s="108" customFormat="1" ht="15.75" thickBot="1">
      <c r="A7" s="362" t="s">
        <v>1679</v>
      </c>
      <c r="B7" s="363"/>
      <c r="C7" s="364">
        <f>'数据-取费表'!B2</f>
        <v>44378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6" t="s">
        <v>1680</v>
      </c>
      <c r="Q7" s="3714"/>
      <c r="R7" s="701" t="s">
        <v>14</v>
      </c>
      <c r="S7" s="702">
        <f t="shared" ref="S7:S14" si="0">F7</f>
        <v>0</v>
      </c>
      <c r="T7" s="701" t="s">
        <v>14</v>
      </c>
      <c r="U7" s="702">
        <f t="shared" ref="U7:U14" si="1">H7</f>
        <v>0</v>
      </c>
      <c r="V7" s="701" t="s">
        <v>14</v>
      </c>
      <c r="W7" s="702">
        <f t="shared" ref="W7:W14"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6" t="s">
        <v>1683</v>
      </c>
      <c r="Q8" s="3687"/>
      <c r="R8" s="701" t="s">
        <v>14</v>
      </c>
      <c r="S8" s="702">
        <f t="shared" si="0"/>
        <v>100</v>
      </c>
      <c r="T8" s="701" t="s">
        <v>14</v>
      </c>
      <c r="U8" s="702">
        <f t="shared" si="1"/>
        <v>100</v>
      </c>
      <c r="V8" s="701" t="s">
        <v>14</v>
      </c>
      <c r="W8" s="702">
        <f t="shared" si="2"/>
        <v>100</v>
      </c>
      <c r="X8" s="703"/>
      <c r="Y8" s="3686" t="s">
        <v>1683</v>
      </c>
      <c r="Z8" s="368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8" t="s">
        <v>1686</v>
      </c>
      <c r="Q9" s="1343" t="str">
        <f t="shared" ref="Q9:Q14" si="6">B9</f>
        <v>用途</v>
      </c>
      <c r="R9" s="701" t="s">
        <v>14</v>
      </c>
      <c r="S9" s="702">
        <f t="shared" si="0"/>
        <v>100</v>
      </c>
      <c r="T9" s="701" t="s">
        <v>14</v>
      </c>
      <c r="U9" s="702">
        <f t="shared" si="1"/>
        <v>100</v>
      </c>
      <c r="V9" s="701" t="s">
        <v>14</v>
      </c>
      <c r="W9" s="702">
        <f t="shared" si="2"/>
        <v>100</v>
      </c>
      <c r="X9" s="703"/>
      <c r="Y9" s="363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8"/>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8"/>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0" t="s">
        <v>1691</v>
      </c>
      <c r="Q14" s="1352" t="str">
        <f t="shared" si="6"/>
        <v>交通便捷度</v>
      </c>
      <c r="R14" s="705" t="s">
        <v>14</v>
      </c>
      <c r="S14" s="706">
        <f t="shared" si="0"/>
        <v>100</v>
      </c>
      <c r="T14" s="705" t="s">
        <v>14</v>
      </c>
      <c r="U14" s="706">
        <f t="shared" si="1"/>
        <v>100</v>
      </c>
      <c r="V14" s="705" t="s">
        <v>14</v>
      </c>
      <c r="W14" s="706">
        <f t="shared" si="2"/>
        <v>100</v>
      </c>
      <c r="X14" s="1355"/>
      <c r="Y14" s="372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1"/>
      <c r="Q15" s="1352"/>
      <c r="R15" s="705"/>
      <c r="S15" s="706"/>
      <c r="T15" s="705"/>
      <c r="U15" s="706"/>
      <c r="V15" s="705"/>
      <c r="W15" s="706"/>
      <c r="X15" s="1355"/>
      <c r="Y15" s="372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1"/>
      <c r="Q16" s="1352" t="str">
        <f>B16</f>
        <v>公共配套设施</v>
      </c>
      <c r="R16" s="705" t="s">
        <v>14</v>
      </c>
      <c r="S16" s="706">
        <f>F16</f>
        <v>100</v>
      </c>
      <c r="T16" s="705" t="s">
        <v>14</v>
      </c>
      <c r="U16" s="706">
        <f>H16</f>
        <v>100</v>
      </c>
      <c r="V16" s="705" t="s">
        <v>14</v>
      </c>
      <c r="W16" s="706">
        <f>J16</f>
        <v>100</v>
      </c>
      <c r="X16" s="1355"/>
      <c r="Y16" s="372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1"/>
      <c r="Q17" s="1352"/>
      <c r="R17" s="705"/>
      <c r="S17" s="706"/>
      <c r="T17" s="705"/>
      <c r="U17" s="706"/>
      <c r="V17" s="705"/>
      <c r="W17" s="706"/>
      <c r="X17" s="1355"/>
      <c r="Y17" s="372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1"/>
      <c r="Q18" s="1352" t="str">
        <f>B18</f>
        <v>基础设施水平</v>
      </c>
      <c r="R18" s="705" t="s">
        <v>14</v>
      </c>
      <c r="S18" s="706">
        <f>F18</f>
        <v>100</v>
      </c>
      <c r="T18" s="705" t="s">
        <v>14</v>
      </c>
      <c r="U18" s="706">
        <f>H18</f>
        <v>100</v>
      </c>
      <c r="V18" s="705" t="s">
        <v>14</v>
      </c>
      <c r="W18" s="706">
        <f>J18</f>
        <v>100</v>
      </c>
      <c r="X18" s="1355"/>
      <c r="Y18" s="372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1"/>
      <c r="Q19" s="1352"/>
      <c r="R19" s="705"/>
      <c r="S19" s="706"/>
      <c r="T19" s="705"/>
      <c r="U19" s="706"/>
      <c r="V19" s="705"/>
      <c r="W19" s="706"/>
      <c r="X19" s="1355"/>
      <c r="Y19" s="372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1"/>
      <c r="Q20" s="1352" t="str">
        <f>B20</f>
        <v>自然及人文环境</v>
      </c>
      <c r="R20" s="705" t="s">
        <v>14</v>
      </c>
      <c r="S20" s="706">
        <f>F20</f>
        <v>100</v>
      </c>
      <c r="T20" s="705" t="s">
        <v>14</v>
      </c>
      <c r="U20" s="706">
        <f>H20</f>
        <v>100</v>
      </c>
      <c r="V20" s="705" t="s">
        <v>14</v>
      </c>
      <c r="W20" s="706">
        <f>J20</f>
        <v>100</v>
      </c>
      <c r="X20" s="1355"/>
      <c r="Y20" s="372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1"/>
      <c r="Q21" s="1352"/>
      <c r="R21" s="705"/>
      <c r="S21" s="706"/>
      <c r="T21" s="705"/>
      <c r="U21" s="706"/>
      <c r="V21" s="705"/>
      <c r="W21" s="706"/>
      <c r="X21" s="1355"/>
      <c r="Y21" s="372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1"/>
      <c r="Q22" s="1352" t="str">
        <f>B22</f>
        <v>楼层</v>
      </c>
      <c r="R22" s="705" t="s">
        <v>14</v>
      </c>
      <c r="S22" s="706">
        <f>F22</f>
        <v>100</v>
      </c>
      <c r="T22" s="705" t="s">
        <v>14</v>
      </c>
      <c r="U22" s="706">
        <f>H22</f>
        <v>100</v>
      </c>
      <c r="V22" s="705" t="s">
        <v>14</v>
      </c>
      <c r="W22" s="706">
        <f>J22</f>
        <v>100</v>
      </c>
      <c r="X22" s="1355"/>
      <c r="Y22" s="372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1"/>
      <c r="Q23" s="1352">
        <f>B23</f>
        <v>111</v>
      </c>
      <c r="R23" s="705" t="s">
        <v>14</v>
      </c>
      <c r="S23" s="706">
        <f>F23</f>
        <v>100</v>
      </c>
      <c r="T23" s="705" t="s">
        <v>14</v>
      </c>
      <c r="U23" s="706">
        <f>H23</f>
        <v>100</v>
      </c>
      <c r="V23" s="705" t="s">
        <v>14</v>
      </c>
      <c r="W23" s="706">
        <f>J23</f>
        <v>100</v>
      </c>
      <c r="X23" s="1355"/>
      <c r="Y23" s="372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1"/>
      <c r="Q24" s="1352">
        <f t="shared" ref="Q24:Q34" si="11">B24</f>
        <v>111</v>
      </c>
      <c r="R24" s="705" t="s">
        <v>14</v>
      </c>
      <c r="S24" s="706">
        <f>F24</f>
        <v>100</v>
      </c>
      <c r="T24" s="705" t="s">
        <v>14</v>
      </c>
      <c r="U24" s="706">
        <f>H24</f>
        <v>100</v>
      </c>
      <c r="V24" s="705" t="s">
        <v>14</v>
      </c>
      <c r="W24" s="706">
        <f>J24</f>
        <v>100</v>
      </c>
      <c r="X24" s="1355"/>
      <c r="Y24" s="372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1"/>
      <c r="Q25" s="1343">
        <f t="shared" si="11"/>
        <v>111</v>
      </c>
      <c r="R25" s="701" t="s">
        <v>14</v>
      </c>
      <c r="S25" s="702">
        <f>F25</f>
        <v>100</v>
      </c>
      <c r="T25" s="701" t="s">
        <v>14</v>
      </c>
      <c r="U25" s="702">
        <f>H25</f>
        <v>100</v>
      </c>
      <c r="V25" s="701" t="s">
        <v>14</v>
      </c>
      <c r="W25" s="702">
        <f>J25</f>
        <v>100</v>
      </c>
      <c r="X25" s="703"/>
      <c r="Y25" s="372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5"/>
      <c r="Q27" s="707" t="str">
        <f t="shared" si="11"/>
        <v>成新率</v>
      </c>
      <c r="R27" s="708" t="s">
        <v>14</v>
      </c>
      <c r="S27" s="709" t="e">
        <f t="shared" si="12"/>
        <v>#N/A</v>
      </c>
      <c r="T27" s="708" t="s">
        <v>14</v>
      </c>
      <c r="U27" s="709" t="e">
        <f t="shared" si="13"/>
        <v>#N/A</v>
      </c>
      <c r="V27" s="708" t="s">
        <v>14</v>
      </c>
      <c r="W27" s="709" t="e">
        <f t="shared" si="14"/>
        <v>#N/A</v>
      </c>
      <c r="X27" s="710"/>
      <c r="Y27" s="372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5"/>
      <c r="Q28" s="1352" t="str">
        <f t="shared" si="11"/>
        <v>物业等级</v>
      </c>
      <c r="R28" s="705" t="s">
        <v>14</v>
      </c>
      <c r="S28" s="706">
        <f t="shared" si="12"/>
        <v>100</v>
      </c>
      <c r="T28" s="705" t="s">
        <v>14</v>
      </c>
      <c r="U28" s="706">
        <f t="shared" si="13"/>
        <v>100</v>
      </c>
      <c r="V28" s="705" t="s">
        <v>14</v>
      </c>
      <c r="W28" s="706">
        <f t="shared" si="14"/>
        <v>100</v>
      </c>
      <c r="X28" s="1355"/>
      <c r="Y28" s="372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5"/>
      <c r="Q29" s="1352" t="str">
        <f t="shared" si="11"/>
        <v>有无电梯</v>
      </c>
      <c r="R29" s="705" t="s">
        <v>14</v>
      </c>
      <c r="S29" s="706">
        <f t="shared" si="12"/>
        <v>100</v>
      </c>
      <c r="T29" s="705" t="s">
        <v>14</v>
      </c>
      <c r="U29" s="706">
        <f t="shared" si="13"/>
        <v>100</v>
      </c>
      <c r="V29" s="705" t="s">
        <v>14</v>
      </c>
      <c r="W29" s="706">
        <f t="shared" si="14"/>
        <v>100</v>
      </c>
      <c r="X29" s="1355"/>
      <c r="Y29" s="372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5"/>
      <c r="Q30" s="1352" t="str">
        <f t="shared" si="11"/>
        <v>建筑面积</v>
      </c>
      <c r="R30" s="705" t="s">
        <v>14</v>
      </c>
      <c r="S30" s="706" t="e">
        <f t="shared" si="12"/>
        <v>#N/A</v>
      </c>
      <c r="T30" s="705" t="s">
        <v>14</v>
      </c>
      <c r="U30" s="706" t="e">
        <f t="shared" si="13"/>
        <v>#N/A</v>
      </c>
      <c r="V30" s="705" t="s">
        <v>14</v>
      </c>
      <c r="W30" s="706" t="e">
        <f t="shared" si="14"/>
        <v>#N/A</v>
      </c>
      <c r="X30" s="1355"/>
      <c r="Y30" s="372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5"/>
      <c r="Q31" s="1343" t="str">
        <f t="shared" si="11"/>
        <v>是否封闭</v>
      </c>
      <c r="R31" s="701" t="s">
        <v>14</v>
      </c>
      <c r="S31" s="702">
        <f t="shared" si="12"/>
        <v>100</v>
      </c>
      <c r="T31" s="701" t="s">
        <v>14</v>
      </c>
      <c r="U31" s="702">
        <f t="shared" si="13"/>
        <v>100</v>
      </c>
      <c r="V31" s="701" t="s">
        <v>14</v>
      </c>
      <c r="W31" s="702">
        <f t="shared" si="14"/>
        <v>100</v>
      </c>
      <c r="X31" s="703"/>
      <c r="Y31" s="372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5" t="s">
        <v>1696</v>
      </c>
      <c r="Q32" s="1352">
        <f t="shared" si="11"/>
        <v>111</v>
      </c>
      <c r="R32" s="705" t="s">
        <v>14</v>
      </c>
      <c r="S32" s="706">
        <f t="shared" si="12"/>
        <v>100</v>
      </c>
      <c r="T32" s="705" t="s">
        <v>14</v>
      </c>
      <c r="U32" s="706">
        <f t="shared" si="13"/>
        <v>100</v>
      </c>
      <c r="V32" s="705" t="s">
        <v>14</v>
      </c>
      <c r="W32" s="706">
        <f t="shared" si="14"/>
        <v>100</v>
      </c>
      <c r="X32" s="1355"/>
      <c r="Y32" s="372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5"/>
      <c r="Q33" s="1352">
        <f t="shared" si="11"/>
        <v>111</v>
      </c>
      <c r="R33" s="705" t="s">
        <v>14</v>
      </c>
      <c r="S33" s="706">
        <f t="shared" si="12"/>
        <v>100</v>
      </c>
      <c r="T33" s="705" t="s">
        <v>14</v>
      </c>
      <c r="U33" s="706">
        <f t="shared" si="13"/>
        <v>100</v>
      </c>
      <c r="V33" s="705" t="s">
        <v>14</v>
      </c>
      <c r="W33" s="706">
        <f t="shared" si="14"/>
        <v>100</v>
      </c>
      <c r="X33" s="1355"/>
      <c r="Y33" s="372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5"/>
      <c r="Q34" s="1352">
        <f t="shared" si="11"/>
        <v>111</v>
      </c>
      <c r="R34" s="705" t="s">
        <v>14</v>
      </c>
      <c r="S34" s="706">
        <f t="shared" si="12"/>
        <v>100</v>
      </c>
      <c r="T34" s="705" t="s">
        <v>14</v>
      </c>
      <c r="U34" s="706">
        <f t="shared" si="13"/>
        <v>100</v>
      </c>
      <c r="V34" s="705" t="s">
        <v>14</v>
      </c>
      <c r="W34" s="706">
        <f t="shared" si="14"/>
        <v>100</v>
      </c>
      <c r="X34" s="1355"/>
      <c r="Y34" s="372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8" t="str">
        <f>A35</f>
        <v>成交单价（元/平方米）</v>
      </c>
      <c r="Q35" s="3718"/>
      <c r="R35" s="3719">
        <f>E35</f>
        <v>0</v>
      </c>
      <c r="S35" s="3719"/>
      <c r="T35" s="3719">
        <f>G35</f>
        <v>0</v>
      </c>
      <c r="U35" s="3719"/>
      <c r="V35" s="3719">
        <f>I35</f>
        <v>0</v>
      </c>
      <c r="W35" s="371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8" t="str">
        <f>A36</f>
        <v>比较价值（元/平方米）</v>
      </c>
      <c r="Q36" s="3718"/>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5" t="str">
        <f>A37</f>
        <v>估价对象XX用房的比较价值（楼面单价，元/平方米）</v>
      </c>
      <c r="Q37" s="3716"/>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2021-7</v>
      </c>
      <c r="D46" s="1185">
        <f>EDATE(C46,-1)</f>
        <v>44348</v>
      </c>
      <c r="E46" s="1185">
        <f t="shared" ref="E46:O46" si="16">EDATE(D46,-1)</f>
        <v>44317</v>
      </c>
      <c r="F46" s="1185">
        <f t="shared" si="16"/>
        <v>44287</v>
      </c>
      <c r="G46" s="1185">
        <f t="shared" si="16"/>
        <v>44256</v>
      </c>
      <c r="H46" s="1185">
        <f t="shared" si="16"/>
        <v>44228</v>
      </c>
      <c r="I46" s="1185">
        <f t="shared" si="16"/>
        <v>44197</v>
      </c>
      <c r="J46" s="1185">
        <f t="shared" si="16"/>
        <v>44166</v>
      </c>
      <c r="K46" s="1185">
        <f t="shared" si="16"/>
        <v>44136</v>
      </c>
      <c r="L46" s="1185">
        <f t="shared" si="16"/>
        <v>44105</v>
      </c>
      <c r="M46" s="1185">
        <f t="shared" si="16"/>
        <v>44075</v>
      </c>
      <c r="N46" s="1185">
        <f t="shared" si="16"/>
        <v>44044</v>
      </c>
      <c r="O46" s="1185">
        <f t="shared" si="16"/>
        <v>44013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688" t="s">
        <v>1771</v>
      </c>
      <c r="S4" s="3689"/>
      <c r="T4" s="3688" t="s">
        <v>1772</v>
      </c>
      <c r="U4" s="3689"/>
      <c r="V4" s="3713" t="s">
        <v>1773</v>
      </c>
      <c r="W4" s="3713"/>
      <c r="X4" s="1355"/>
      <c r="Y4" s="3688" t="s">
        <v>1775</v>
      </c>
      <c r="Z4" s="3689"/>
      <c r="AA4" s="3683" t="s">
        <v>1771</v>
      </c>
      <c r="AB4" s="3684" t="s">
        <v>1772</v>
      </c>
      <c r="AC4" s="3683" t="s">
        <v>1773</v>
      </c>
    </row>
    <row r="5" spans="1:30" ht="15">
      <c r="A5" s="358"/>
      <c r="B5" s="359"/>
      <c r="C5" s="3694" t="s">
        <v>1673</v>
      </c>
      <c r="D5" s="3695"/>
      <c r="E5" s="3692" t="s">
        <v>1674</v>
      </c>
      <c r="F5" s="3693"/>
      <c r="G5" s="3694" t="s">
        <v>1675</v>
      </c>
      <c r="H5" s="3695"/>
      <c r="I5" s="3694" t="s">
        <v>1676</v>
      </c>
      <c r="J5" s="3695"/>
      <c r="K5" s="559"/>
      <c r="L5" s="2715"/>
      <c r="M5" s="2716"/>
      <c r="N5" s="2716"/>
      <c r="O5" s="2716"/>
      <c r="P5" s="3707"/>
      <c r="Q5" s="3708"/>
      <c r="R5" s="3690"/>
      <c r="S5" s="3691"/>
      <c r="T5" s="3690"/>
      <c r="U5" s="3691"/>
      <c r="V5" s="3713"/>
      <c r="W5" s="3713"/>
      <c r="X5" s="1355"/>
      <c r="Y5" s="3690"/>
      <c r="Z5" s="3691"/>
      <c r="AA5" s="3684"/>
      <c r="AB5" s="3684"/>
      <c r="AC5" s="3684"/>
    </row>
    <row r="6" spans="1:30" ht="15.75" thickBot="1">
      <c r="A6" s="360"/>
      <c r="B6" s="361"/>
      <c r="C6" s="3696" t="s">
        <v>1677</v>
      </c>
      <c r="D6" s="3697"/>
      <c r="E6" s="3698" t="s">
        <v>1677</v>
      </c>
      <c r="F6" s="3699"/>
      <c r="G6" s="3696" t="s">
        <v>1677</v>
      </c>
      <c r="H6" s="3697"/>
      <c r="I6" s="3696" t="s">
        <v>1677</v>
      </c>
      <c r="J6" s="3697"/>
      <c r="K6" s="559" t="s">
        <v>1678</v>
      </c>
      <c r="L6" s="2715"/>
      <c r="M6" s="2716"/>
      <c r="N6" s="2716"/>
      <c r="O6" s="2716"/>
      <c r="P6" s="3709"/>
      <c r="Q6" s="3710"/>
      <c r="R6" s="3690"/>
      <c r="S6" s="3691"/>
      <c r="T6" s="3711"/>
      <c r="U6" s="3712"/>
      <c r="V6" s="3713"/>
      <c r="W6" s="3713"/>
      <c r="X6" s="1355"/>
      <c r="Y6" s="3711"/>
      <c r="Z6" s="3712"/>
      <c r="AA6" s="3685"/>
      <c r="AB6" s="3685"/>
      <c r="AC6" s="3685"/>
    </row>
    <row r="7" spans="1:30" s="108" customFormat="1" ht="15.75" thickBot="1">
      <c r="A7" s="362" t="s">
        <v>1679</v>
      </c>
      <c r="B7" s="363"/>
      <c r="C7" s="364">
        <f>'数据-取费表'!B2</f>
        <v>44378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6"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6" t="s">
        <v>1683</v>
      </c>
      <c r="Q8" s="3687"/>
      <c r="R8" s="701" t="s">
        <v>14</v>
      </c>
      <c r="S8" s="702">
        <f t="shared" si="0"/>
        <v>0</v>
      </c>
      <c r="T8" s="701" t="s">
        <v>14</v>
      </c>
      <c r="U8" s="702">
        <f t="shared" si="1"/>
        <v>0</v>
      </c>
      <c r="V8" s="701" t="s">
        <v>14</v>
      </c>
      <c r="W8" s="702">
        <f t="shared" si="2"/>
        <v>0</v>
      </c>
      <c r="X8" s="703"/>
      <c r="Y8" s="3686" t="s">
        <v>1683</v>
      </c>
      <c r="Z8" s="368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8"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18"/>
      <c r="Q10" s="1343" t="str">
        <f t="shared" si="6"/>
        <v>土地使用年限（年）</v>
      </c>
      <c r="R10" s="701" t="s">
        <v>14</v>
      </c>
      <c r="S10" s="702" t="e">
        <f t="shared" si="0"/>
        <v>#DIV/0!</v>
      </c>
      <c r="T10" s="701" t="s">
        <v>14</v>
      </c>
      <c r="U10" s="702" t="e">
        <f t="shared" si="1"/>
        <v>#DIV/0!</v>
      </c>
      <c r="V10" s="701" t="s">
        <v>14</v>
      </c>
      <c r="W10" s="702" t="e">
        <f t="shared" si="2"/>
        <v>#DIV/0!</v>
      </c>
      <c r="X10" s="703"/>
      <c r="Y10" s="363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8"/>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8"/>
      <c r="Q12" s="1343" t="str">
        <f t="shared" si="6"/>
        <v>配建</v>
      </c>
      <c r="R12" s="701" t="s">
        <v>14</v>
      </c>
      <c r="S12" s="702">
        <f t="shared" si="0"/>
        <v>100</v>
      </c>
      <c r="T12" s="701" t="s">
        <v>14</v>
      </c>
      <c r="U12" s="702">
        <f t="shared" si="1"/>
        <v>100</v>
      </c>
      <c r="V12" s="701" t="s">
        <v>14</v>
      </c>
      <c r="W12" s="702">
        <f t="shared" si="2"/>
        <v>100</v>
      </c>
      <c r="X12" s="703"/>
      <c r="Y12" s="363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8"/>
      <c r="Q13" s="1343">
        <f t="shared" si="6"/>
        <v>111</v>
      </c>
      <c r="R13" s="701" t="s">
        <v>14</v>
      </c>
      <c r="S13" s="702">
        <f t="shared" si="0"/>
        <v>100</v>
      </c>
      <c r="T13" s="701" t="s">
        <v>14</v>
      </c>
      <c r="U13" s="702">
        <f t="shared" si="1"/>
        <v>100</v>
      </c>
      <c r="V13" s="701" t="s">
        <v>14</v>
      </c>
      <c r="W13" s="702">
        <f t="shared" si="2"/>
        <v>100</v>
      </c>
      <c r="X13" s="703"/>
      <c r="Y13" s="363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8"/>
      <c r="Q14" s="1343">
        <f t="shared" si="6"/>
        <v>111</v>
      </c>
      <c r="R14" s="701" t="s">
        <v>14</v>
      </c>
      <c r="S14" s="702">
        <f t="shared" si="0"/>
        <v>100</v>
      </c>
      <c r="T14" s="701" t="s">
        <v>14</v>
      </c>
      <c r="U14" s="702">
        <f t="shared" si="1"/>
        <v>100</v>
      </c>
      <c r="V14" s="701" t="s">
        <v>14</v>
      </c>
      <c r="W14" s="702">
        <f t="shared" si="2"/>
        <v>100</v>
      </c>
      <c r="X14" s="703"/>
      <c r="Y14" s="363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0" t="s">
        <v>1691</v>
      </c>
      <c r="Q15" s="1352" t="str">
        <f t="shared" si="6"/>
        <v>居住社区成熟度</v>
      </c>
      <c r="R15" s="705" t="s">
        <v>14</v>
      </c>
      <c r="S15" s="706">
        <f t="shared" si="0"/>
        <v>100</v>
      </c>
      <c r="T15" s="705" t="s">
        <v>14</v>
      </c>
      <c r="U15" s="706">
        <f t="shared" si="1"/>
        <v>100</v>
      </c>
      <c r="V15" s="705" t="s">
        <v>14</v>
      </c>
      <c r="W15" s="706">
        <f t="shared" si="2"/>
        <v>100</v>
      </c>
      <c r="X15" s="1355"/>
      <c r="Y15" s="372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1"/>
      <c r="Q16" s="1352"/>
      <c r="R16" s="705"/>
      <c r="S16" s="706"/>
      <c r="T16" s="705"/>
      <c r="U16" s="706"/>
      <c r="V16" s="705"/>
      <c r="W16" s="706"/>
      <c r="X16" s="1355"/>
      <c r="Y16" s="372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1"/>
      <c r="Q17" s="1352" t="str">
        <f>B17</f>
        <v>商业繁华度</v>
      </c>
      <c r="R17" s="705" t="s">
        <v>14</v>
      </c>
      <c r="S17" s="706">
        <f>F17</f>
        <v>100</v>
      </c>
      <c r="T17" s="705" t="s">
        <v>14</v>
      </c>
      <c r="U17" s="706">
        <f>H17</f>
        <v>100</v>
      </c>
      <c r="V17" s="705" t="s">
        <v>14</v>
      </c>
      <c r="W17" s="706">
        <f>J17</f>
        <v>100</v>
      </c>
      <c r="X17" s="1355"/>
      <c r="Y17" s="372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1"/>
      <c r="Q18" s="1352"/>
      <c r="R18" s="705"/>
      <c r="S18" s="706"/>
      <c r="T18" s="705"/>
      <c r="U18" s="706"/>
      <c r="V18" s="705"/>
      <c r="W18" s="706"/>
      <c r="X18" s="1355"/>
      <c r="Y18" s="372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1"/>
      <c r="Q19" s="1352" t="str">
        <f>B19</f>
        <v>办公集聚程度</v>
      </c>
      <c r="R19" s="705" t="s">
        <v>14</v>
      </c>
      <c r="S19" s="706">
        <f>F19</f>
        <v>100</v>
      </c>
      <c r="T19" s="705" t="s">
        <v>14</v>
      </c>
      <c r="U19" s="706">
        <f>H19</f>
        <v>100</v>
      </c>
      <c r="V19" s="705" t="s">
        <v>14</v>
      </c>
      <c r="W19" s="706">
        <f>J19</f>
        <v>100</v>
      </c>
      <c r="X19" s="1355"/>
      <c r="Y19" s="372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1"/>
      <c r="Q20" s="1352"/>
      <c r="R20" s="705"/>
      <c r="S20" s="706"/>
      <c r="T20" s="705"/>
      <c r="U20" s="706"/>
      <c r="V20" s="705"/>
      <c r="W20" s="706"/>
      <c r="X20" s="1355"/>
      <c r="Y20" s="372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1"/>
      <c r="Q21" s="1352" t="str">
        <f>B21</f>
        <v>交通便捷度</v>
      </c>
      <c r="R21" s="705" t="s">
        <v>14</v>
      </c>
      <c r="S21" s="706">
        <f>F21</f>
        <v>100</v>
      </c>
      <c r="T21" s="705" t="s">
        <v>14</v>
      </c>
      <c r="U21" s="706">
        <f>H21</f>
        <v>100</v>
      </c>
      <c r="V21" s="705" t="s">
        <v>14</v>
      </c>
      <c r="W21" s="706">
        <f>J21</f>
        <v>100</v>
      </c>
      <c r="X21" s="1355"/>
      <c r="Y21" s="372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1"/>
      <c r="Q22" s="1352"/>
      <c r="R22" s="705"/>
      <c r="S22" s="706"/>
      <c r="T22" s="705"/>
      <c r="U22" s="706"/>
      <c r="V22" s="705"/>
      <c r="W22" s="706"/>
      <c r="X22" s="1355"/>
      <c r="Y22" s="372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1"/>
      <c r="Q23" s="1352" t="str">
        <f t="shared" ref="Q23:Q37" si="8">B23</f>
        <v>区域土地利用方向</v>
      </c>
      <c r="R23" s="705" t="s">
        <v>14</v>
      </c>
      <c r="S23" s="706">
        <f>F23</f>
        <v>100</v>
      </c>
      <c r="T23" s="705" t="s">
        <v>14</v>
      </c>
      <c r="U23" s="706">
        <f>H23</f>
        <v>100</v>
      </c>
      <c r="V23" s="705" t="s">
        <v>14</v>
      </c>
      <c r="W23" s="706">
        <f>J23</f>
        <v>100</v>
      </c>
      <c r="X23" s="1355"/>
      <c r="Y23" s="372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1"/>
      <c r="Q24" s="1352"/>
      <c r="R24" s="705"/>
      <c r="S24" s="706"/>
      <c r="T24" s="705"/>
      <c r="U24" s="706"/>
      <c r="V24" s="705"/>
      <c r="W24" s="706"/>
      <c r="X24" s="1355"/>
      <c r="Y24" s="372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1"/>
      <c r="Q25" s="1352" t="str">
        <f t="shared" si="8"/>
        <v>自然及人文环境状况</v>
      </c>
      <c r="R25" s="705" t="s">
        <v>14</v>
      </c>
      <c r="S25" s="706">
        <f>F25</f>
        <v>100</v>
      </c>
      <c r="T25" s="705" t="s">
        <v>14</v>
      </c>
      <c r="U25" s="706">
        <f>H25</f>
        <v>100</v>
      </c>
      <c r="V25" s="705" t="s">
        <v>14</v>
      </c>
      <c r="W25" s="706">
        <f>J25</f>
        <v>100</v>
      </c>
      <c r="X25" s="1355"/>
      <c r="Y25" s="372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1"/>
      <c r="Q26" s="1352"/>
      <c r="R26" s="705"/>
      <c r="S26" s="706"/>
      <c r="T26" s="705"/>
      <c r="U26" s="706"/>
      <c r="V26" s="705"/>
      <c r="W26" s="706"/>
      <c r="X26" s="1355"/>
      <c r="Y26" s="372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1"/>
      <c r="Q27" s="1343" t="str">
        <f t="shared" si="8"/>
        <v>公共配套设施</v>
      </c>
      <c r="R27" s="701" t="s">
        <v>14</v>
      </c>
      <c r="S27" s="702">
        <f>F27</f>
        <v>100</v>
      </c>
      <c r="T27" s="701" t="s">
        <v>14</v>
      </c>
      <c r="U27" s="702">
        <f>H27</f>
        <v>100</v>
      </c>
      <c r="V27" s="701" t="s">
        <v>14</v>
      </c>
      <c r="W27" s="702">
        <f>J27</f>
        <v>100</v>
      </c>
      <c r="X27" s="703"/>
      <c r="Y27" s="372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1"/>
      <c r="Q28" s="1343"/>
      <c r="R28" s="701"/>
      <c r="S28" s="702"/>
      <c r="T28" s="701"/>
      <c r="U28" s="702"/>
      <c r="V28" s="701"/>
      <c r="W28" s="702"/>
      <c r="X28" s="703"/>
      <c r="Y28" s="372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1"/>
      <c r="Q29" s="1343" t="str">
        <f t="shared" ref="Q29" si="9">B29</f>
        <v>基础设施水平</v>
      </c>
      <c r="R29" s="701" t="s">
        <v>14</v>
      </c>
      <c r="S29" s="702">
        <f>F29</f>
        <v>100</v>
      </c>
      <c r="T29" s="701" t="s">
        <v>14</v>
      </c>
      <c r="U29" s="702">
        <f>H29</f>
        <v>100</v>
      </c>
      <c r="V29" s="701" t="s">
        <v>14</v>
      </c>
      <c r="W29" s="702">
        <f>J29</f>
        <v>100</v>
      </c>
      <c r="X29" s="703"/>
      <c r="Y29" s="372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1"/>
      <c r="Q30" s="1343"/>
      <c r="R30" s="701"/>
      <c r="S30" s="702"/>
      <c r="T30" s="701"/>
      <c r="U30" s="702"/>
      <c r="V30" s="701"/>
      <c r="W30" s="702"/>
      <c r="X30" s="703"/>
      <c r="Y30" s="372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1"/>
      <c r="Q32" s="1352" t="str">
        <f t="shared" si="8"/>
        <v>毗邻道路的类型与等级</v>
      </c>
      <c r="R32" s="705" t="s">
        <v>14</v>
      </c>
      <c r="S32" s="706">
        <f t="shared" si="10"/>
        <v>100</v>
      </c>
      <c r="T32" s="705" t="s">
        <v>14</v>
      </c>
      <c r="U32" s="706">
        <f t="shared" si="11"/>
        <v>100</v>
      </c>
      <c r="V32" s="705" t="s">
        <v>14</v>
      </c>
      <c r="W32" s="706">
        <f t="shared" si="12"/>
        <v>100</v>
      </c>
      <c r="X32" s="1355"/>
      <c r="Y32" s="372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1"/>
      <c r="Q33" s="1352"/>
      <c r="R33" s="705"/>
      <c r="S33" s="706"/>
      <c r="T33" s="705"/>
      <c r="U33" s="706"/>
      <c r="V33" s="705"/>
      <c r="W33" s="706"/>
      <c r="X33" s="1355"/>
      <c r="Y33" s="372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1"/>
      <c r="Q34" s="1352" t="str">
        <f t="shared" si="8"/>
        <v>土地级别</v>
      </c>
      <c r="R34" s="705" t="s">
        <v>14</v>
      </c>
      <c r="S34" s="706">
        <f t="shared" si="10"/>
        <v>100</v>
      </c>
      <c r="T34" s="705" t="s">
        <v>14</v>
      </c>
      <c r="U34" s="706">
        <f t="shared" si="11"/>
        <v>100</v>
      </c>
      <c r="V34" s="705" t="s">
        <v>14</v>
      </c>
      <c r="W34" s="706">
        <f t="shared" si="12"/>
        <v>100</v>
      </c>
      <c r="X34" s="1355"/>
      <c r="Y34" s="372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1"/>
      <c r="Q35" s="1352">
        <f t="shared" si="8"/>
        <v>111</v>
      </c>
      <c r="R35" s="705" t="s">
        <v>14</v>
      </c>
      <c r="S35" s="706">
        <f t="shared" si="10"/>
        <v>100</v>
      </c>
      <c r="T35" s="705" t="s">
        <v>14</v>
      </c>
      <c r="U35" s="706">
        <f t="shared" si="11"/>
        <v>100</v>
      </c>
      <c r="V35" s="705" t="s">
        <v>14</v>
      </c>
      <c r="W35" s="706">
        <f t="shared" si="12"/>
        <v>100</v>
      </c>
      <c r="X35" s="1355"/>
      <c r="Y35" s="372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4" t="s">
        <v>1696</v>
      </c>
      <c r="Q36" s="1352">
        <f t="shared" si="8"/>
        <v>111</v>
      </c>
      <c r="R36" s="705" t="s">
        <v>14</v>
      </c>
      <c r="S36" s="706">
        <f t="shared" si="10"/>
        <v>100</v>
      </c>
      <c r="T36" s="705" t="s">
        <v>14</v>
      </c>
      <c r="U36" s="706">
        <f t="shared" si="11"/>
        <v>100</v>
      </c>
      <c r="V36" s="705" t="s">
        <v>14</v>
      </c>
      <c r="W36" s="706">
        <f t="shared" si="12"/>
        <v>100</v>
      </c>
      <c r="X36" s="1355"/>
      <c r="Y36" s="372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5"/>
      <c r="Q37" s="1352">
        <f t="shared" si="8"/>
        <v>111</v>
      </c>
      <c r="R37" s="708" t="s">
        <v>14</v>
      </c>
      <c r="S37" s="709">
        <f t="shared" si="10"/>
        <v>100</v>
      </c>
      <c r="T37" s="708" t="s">
        <v>14</v>
      </c>
      <c r="U37" s="709">
        <f t="shared" si="11"/>
        <v>100</v>
      </c>
      <c r="V37" s="708" t="s">
        <v>14</v>
      </c>
      <c r="W37" s="709">
        <f t="shared" si="12"/>
        <v>100</v>
      </c>
      <c r="X37" s="710"/>
      <c r="Y37" s="372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5"/>
      <c r="Q38" s="1352" t="str">
        <f>B38</f>
        <v>宗地面积</v>
      </c>
      <c r="R38" s="705" t="s">
        <v>14</v>
      </c>
      <c r="S38" s="706" t="e">
        <f t="shared" si="10"/>
        <v>#N/A</v>
      </c>
      <c r="T38" s="705" t="s">
        <v>14</v>
      </c>
      <c r="U38" s="706" t="e">
        <f t="shared" si="11"/>
        <v>#N/A</v>
      </c>
      <c r="V38" s="705" t="s">
        <v>14</v>
      </c>
      <c r="W38" s="706" t="e">
        <f t="shared" si="12"/>
        <v>#N/A</v>
      </c>
      <c r="X38" s="1355"/>
      <c r="Y38" s="372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5"/>
      <c r="Q39" s="1352" t="str">
        <f t="shared" ref="Q39:Q45" si="14">B39</f>
        <v>宗地形状</v>
      </c>
      <c r="R39" s="705" t="s">
        <v>14</v>
      </c>
      <c r="S39" s="706">
        <f t="shared" si="10"/>
        <v>100</v>
      </c>
      <c r="T39" s="705" t="s">
        <v>14</v>
      </c>
      <c r="U39" s="706">
        <f t="shared" si="11"/>
        <v>100</v>
      </c>
      <c r="V39" s="705" t="s">
        <v>14</v>
      </c>
      <c r="W39" s="706">
        <f t="shared" si="12"/>
        <v>100</v>
      </c>
      <c r="X39" s="1355"/>
      <c r="Y39" s="372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5"/>
      <c r="Q40" s="1352" t="str">
        <f t="shared" si="14"/>
        <v>临街宽度及深度</v>
      </c>
      <c r="R40" s="705" t="s">
        <v>14</v>
      </c>
      <c r="S40" s="706">
        <f t="shared" si="10"/>
        <v>100</v>
      </c>
      <c r="T40" s="705" t="s">
        <v>14</v>
      </c>
      <c r="U40" s="706">
        <f t="shared" si="11"/>
        <v>100</v>
      </c>
      <c r="V40" s="705" t="s">
        <v>14</v>
      </c>
      <c r="W40" s="706">
        <f t="shared" si="12"/>
        <v>100</v>
      </c>
      <c r="X40" s="1355"/>
      <c r="Y40" s="372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5"/>
      <c r="Q41" s="1352" t="str">
        <f t="shared" si="14"/>
        <v>宗地开发程度</v>
      </c>
      <c r="R41" s="701" t="s">
        <v>14</v>
      </c>
      <c r="S41" s="702">
        <f t="shared" si="10"/>
        <v>100</v>
      </c>
      <c r="T41" s="701" t="s">
        <v>14</v>
      </c>
      <c r="U41" s="702">
        <f t="shared" si="11"/>
        <v>100</v>
      </c>
      <c r="V41" s="701" t="s">
        <v>14</v>
      </c>
      <c r="W41" s="702">
        <f t="shared" si="12"/>
        <v>100</v>
      </c>
      <c r="X41" s="703"/>
      <c r="Y41" s="372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5" t="s">
        <v>1696</v>
      </c>
      <c r="Q42" s="1352" t="str">
        <f t="shared" si="14"/>
        <v>工程地质条件</v>
      </c>
      <c r="R42" s="705" t="s">
        <v>14</v>
      </c>
      <c r="S42" s="706">
        <f t="shared" si="10"/>
        <v>100</v>
      </c>
      <c r="T42" s="705" t="s">
        <v>14</v>
      </c>
      <c r="U42" s="706">
        <f t="shared" si="11"/>
        <v>100</v>
      </c>
      <c r="V42" s="705" t="s">
        <v>14</v>
      </c>
      <c r="W42" s="706">
        <f t="shared" si="12"/>
        <v>100</v>
      </c>
      <c r="X42" s="1355"/>
      <c r="Y42" s="372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5"/>
      <c r="Q43" s="1352">
        <f t="shared" si="14"/>
        <v>111</v>
      </c>
      <c r="R43" s="705" t="s">
        <v>14</v>
      </c>
      <c r="S43" s="706">
        <f t="shared" si="10"/>
        <v>100</v>
      </c>
      <c r="T43" s="705" t="s">
        <v>14</v>
      </c>
      <c r="U43" s="706">
        <f t="shared" si="11"/>
        <v>100</v>
      </c>
      <c r="V43" s="705" t="s">
        <v>14</v>
      </c>
      <c r="W43" s="706">
        <f t="shared" si="12"/>
        <v>100</v>
      </c>
      <c r="X43" s="1355"/>
      <c r="Y43" s="372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5"/>
      <c r="Q44" s="1352">
        <f t="shared" si="14"/>
        <v>111</v>
      </c>
      <c r="R44" s="705" t="s">
        <v>14</v>
      </c>
      <c r="S44" s="706">
        <f t="shared" si="10"/>
        <v>100</v>
      </c>
      <c r="T44" s="705" t="s">
        <v>14</v>
      </c>
      <c r="U44" s="706">
        <f t="shared" si="11"/>
        <v>100</v>
      </c>
      <c r="V44" s="705" t="s">
        <v>14</v>
      </c>
      <c r="W44" s="706">
        <f t="shared" si="12"/>
        <v>100</v>
      </c>
      <c r="X44" s="1355"/>
      <c r="Y44" s="372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5"/>
      <c r="Q45" s="1352">
        <f t="shared" si="14"/>
        <v>111</v>
      </c>
      <c r="R45" s="708" t="s">
        <v>14</v>
      </c>
      <c r="S45" s="709">
        <f t="shared" si="10"/>
        <v>100</v>
      </c>
      <c r="T45" s="708" t="s">
        <v>14</v>
      </c>
      <c r="U45" s="709">
        <f t="shared" si="11"/>
        <v>100</v>
      </c>
      <c r="V45" s="708" t="s">
        <v>14</v>
      </c>
      <c r="W45" s="709">
        <f t="shared" si="12"/>
        <v>100</v>
      </c>
      <c r="X45" s="710"/>
      <c r="Y45" s="372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8" t="str">
        <f>A46</f>
        <v>成交单价</v>
      </c>
      <c r="Q46" s="3718"/>
      <c r="R46" s="3713">
        <f>E46</f>
        <v>0</v>
      </c>
      <c r="S46" s="3713"/>
      <c r="T46" s="3713">
        <f>G46</f>
        <v>0</v>
      </c>
      <c r="U46" s="3713"/>
      <c r="V46" s="3713">
        <f>I46</f>
        <v>0</v>
      </c>
      <c r="W46" s="371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8" t="str">
        <f>A47</f>
        <v>比较价值（元/平方米）</v>
      </c>
      <c r="Q47" s="3718"/>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5" t="str">
        <f>A48</f>
        <v>估价对象XX用房的比较价值（楼面单价，元/平方米）</v>
      </c>
      <c r="Q48" s="3716"/>
      <c r="R48" s="3747" t="e">
        <f>ROUND(IF(D47="简单平均",AVERAGE(R47:W47),R47*F47+T47*H47+V47*J47),0)</f>
        <v>#DIV/0!</v>
      </c>
      <c r="S48" s="3747"/>
      <c r="T48" s="3747"/>
      <c r="U48" s="3747"/>
      <c r="V48" s="3747"/>
      <c r="W48" s="374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1" t="s">
        <v>1887</v>
      </c>
      <c r="H55" s="374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128400</v>
      </c>
      <c r="F56" s="886" t="e">
        <f t="shared" ref="F56:F64" si="15">ROUND(B56*E56/10000,0)</f>
        <v>#DIV/0!</v>
      </c>
      <c r="G56" s="3700"/>
      <c r="H56" s="371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四级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四级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四级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128400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2021-7-1</v>
      </c>
      <c r="D67" s="692">
        <f>EDATE(C67,-3)</f>
        <v>44287</v>
      </c>
      <c r="E67" s="692">
        <f>EDATE(D67,-3)</f>
        <v>44197</v>
      </c>
      <c r="F67" s="692">
        <f t="shared" ref="F67:O67" si="18">EDATE(E67,-3)</f>
        <v>44105</v>
      </c>
      <c r="G67" s="692">
        <f t="shared" si="18"/>
        <v>44013</v>
      </c>
      <c r="H67" s="692">
        <f t="shared" si="18"/>
        <v>43922</v>
      </c>
      <c r="I67" s="692">
        <f t="shared" si="18"/>
        <v>43831</v>
      </c>
      <c r="J67" s="692">
        <f t="shared" si="18"/>
        <v>43739</v>
      </c>
      <c r="K67" s="692">
        <f t="shared" si="18"/>
        <v>43647</v>
      </c>
      <c r="L67" s="692">
        <f t="shared" si="18"/>
        <v>43556</v>
      </c>
      <c r="M67" s="692">
        <f t="shared" si="18"/>
        <v>43466</v>
      </c>
      <c r="N67" s="692">
        <f t="shared" si="18"/>
        <v>43374</v>
      </c>
      <c r="O67" s="692">
        <f t="shared" si="18"/>
        <v>43282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2021-3</v>
      </c>
      <c r="D69" s="1182" t="str">
        <f>YEAR(D67)&amp;"-"&amp;ROUNDUP(MONTH(D67)/3,0)</f>
        <v>2021-2</v>
      </c>
      <c r="E69" s="1182" t="str">
        <f t="shared" ref="E69:O69" si="19">YEAR(E67)&amp;"-"&amp;ROUNDUP(MONTH(E67)/3,0)</f>
        <v>2021-1</v>
      </c>
      <c r="F69" s="1182" t="str">
        <f t="shared" si="19"/>
        <v>2020-4</v>
      </c>
      <c r="G69" s="1182" t="str">
        <f t="shared" si="19"/>
        <v>2020-3</v>
      </c>
      <c r="H69" s="1182" t="str">
        <f t="shared" si="19"/>
        <v>2020-2</v>
      </c>
      <c r="I69" s="1182" t="str">
        <f t="shared" si="19"/>
        <v>2020-1</v>
      </c>
      <c r="J69" s="1182" t="str">
        <f t="shared" si="19"/>
        <v>2019-4</v>
      </c>
      <c r="K69" s="1182" t="str">
        <f t="shared" si="19"/>
        <v>2019-3</v>
      </c>
      <c r="L69" s="1182" t="str">
        <f t="shared" si="19"/>
        <v>2019-2</v>
      </c>
      <c r="M69" s="1182" t="str">
        <f t="shared" si="19"/>
        <v>2019-1</v>
      </c>
      <c r="N69" s="1182" t="str">
        <f t="shared" si="19"/>
        <v>2018-4</v>
      </c>
      <c r="O69" s="1182" t="str">
        <f t="shared" si="19"/>
        <v>2018-3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北京市平均增长率1.89%</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688" t="s">
        <v>1771</v>
      </c>
      <c r="S4" s="3689"/>
      <c r="T4" s="3688" t="s">
        <v>1772</v>
      </c>
      <c r="U4" s="3689"/>
      <c r="V4" s="3713" t="s">
        <v>1773</v>
      </c>
      <c r="W4" s="3713"/>
      <c r="X4" s="1355"/>
      <c r="Y4" s="3688" t="s">
        <v>1775</v>
      </c>
      <c r="Z4" s="3689"/>
      <c r="AA4" s="3683" t="s">
        <v>1771</v>
      </c>
      <c r="AB4" s="3684" t="s">
        <v>1772</v>
      </c>
      <c r="AC4" s="3683" t="s">
        <v>1773</v>
      </c>
    </row>
    <row r="5" spans="1:29" ht="15">
      <c r="A5" s="358"/>
      <c r="B5" s="359"/>
      <c r="C5" s="3694" t="s">
        <v>1673</v>
      </c>
      <c r="D5" s="3695"/>
      <c r="E5" s="3692" t="s">
        <v>1674</v>
      </c>
      <c r="F5" s="3693"/>
      <c r="G5" s="3694" t="s">
        <v>1675</v>
      </c>
      <c r="H5" s="3695"/>
      <c r="I5" s="3694" t="s">
        <v>1676</v>
      </c>
      <c r="J5" s="3695"/>
      <c r="K5" s="559"/>
      <c r="L5" s="2715"/>
      <c r="M5" s="2716"/>
      <c r="N5" s="2716"/>
      <c r="O5" s="2716"/>
      <c r="P5" s="3707"/>
      <c r="Q5" s="3708"/>
      <c r="R5" s="3690"/>
      <c r="S5" s="3691"/>
      <c r="T5" s="3690"/>
      <c r="U5" s="3691"/>
      <c r="V5" s="3713"/>
      <c r="W5" s="3713"/>
      <c r="X5" s="1355"/>
      <c r="Y5" s="3690"/>
      <c r="Z5" s="3691"/>
      <c r="AA5" s="3684"/>
      <c r="AB5" s="3684"/>
      <c r="AC5" s="3684"/>
    </row>
    <row r="6" spans="1:29" ht="15.75" thickBot="1">
      <c r="A6" s="360"/>
      <c r="B6" s="361"/>
      <c r="C6" s="3749" t="s">
        <v>1919</v>
      </c>
      <c r="D6" s="3750"/>
      <c r="E6" s="3751" t="s">
        <v>1919</v>
      </c>
      <c r="F6" s="3752"/>
      <c r="G6" s="3749" t="s">
        <v>1919</v>
      </c>
      <c r="H6" s="3750"/>
      <c r="I6" s="3749" t="s">
        <v>1919</v>
      </c>
      <c r="J6" s="3750"/>
      <c r="K6" s="559" t="s">
        <v>1678</v>
      </c>
      <c r="L6" s="2715"/>
      <c r="M6" s="2716"/>
      <c r="N6" s="2716"/>
      <c r="O6" s="2716"/>
      <c r="P6" s="3709"/>
      <c r="Q6" s="3710"/>
      <c r="R6" s="3690"/>
      <c r="S6" s="3691"/>
      <c r="T6" s="3711"/>
      <c r="U6" s="3712"/>
      <c r="V6" s="3713"/>
      <c r="W6" s="3713"/>
      <c r="X6" s="1355"/>
      <c r="Y6" s="3711"/>
      <c r="Z6" s="3712"/>
      <c r="AA6" s="3685"/>
      <c r="AB6" s="3685"/>
      <c r="AC6" s="3685"/>
    </row>
    <row r="7" spans="1:29" s="108" customFormat="1" ht="15.75" thickBot="1">
      <c r="A7" s="362" t="s">
        <v>1679</v>
      </c>
      <c r="B7" s="363"/>
      <c r="C7" s="364">
        <f>'数据-取费表'!B2</f>
        <v>44378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6"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6" t="s">
        <v>1683</v>
      </c>
      <c r="Q8" s="3687"/>
      <c r="R8" s="701" t="s">
        <v>14</v>
      </c>
      <c r="S8" s="702">
        <f t="shared" si="0"/>
        <v>0</v>
      </c>
      <c r="T8" s="701" t="s">
        <v>14</v>
      </c>
      <c r="U8" s="702">
        <f t="shared" si="1"/>
        <v>0</v>
      </c>
      <c r="V8" s="701" t="s">
        <v>14</v>
      </c>
      <c r="W8" s="702">
        <f t="shared" si="2"/>
        <v>0</v>
      </c>
      <c r="X8" s="703"/>
      <c r="Y8" s="3686" t="s">
        <v>1683</v>
      </c>
      <c r="Z8" s="368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8"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18"/>
      <c r="Q10" s="1343" t="str">
        <f t="shared" si="6"/>
        <v>土地使用年限（年）</v>
      </c>
      <c r="R10" s="701" t="s">
        <v>14</v>
      </c>
      <c r="S10" s="702" t="e">
        <f t="shared" si="0"/>
        <v>#DIV/0!</v>
      </c>
      <c r="T10" s="701" t="s">
        <v>14</v>
      </c>
      <c r="U10" s="702" t="e">
        <f t="shared" si="1"/>
        <v>#DIV/0!</v>
      </c>
      <c r="V10" s="701" t="s">
        <v>14</v>
      </c>
      <c r="W10" s="702" t="e">
        <f t="shared" si="2"/>
        <v>#DIV/0!</v>
      </c>
      <c r="X10" s="703"/>
      <c r="Y10" s="363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8"/>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8"/>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0" t="s">
        <v>1691</v>
      </c>
      <c r="Q15" s="1352" t="str">
        <f t="shared" si="6"/>
        <v>产业集聚程度</v>
      </c>
      <c r="R15" s="705" t="s">
        <v>14</v>
      </c>
      <c r="S15" s="706">
        <f t="shared" si="0"/>
        <v>100</v>
      </c>
      <c r="T15" s="705" t="s">
        <v>14</v>
      </c>
      <c r="U15" s="706">
        <f t="shared" si="1"/>
        <v>100</v>
      </c>
      <c r="V15" s="705" t="s">
        <v>14</v>
      </c>
      <c r="W15" s="706">
        <f t="shared" si="2"/>
        <v>100</v>
      </c>
      <c r="X15" s="1355"/>
      <c r="Y15" s="372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1"/>
      <c r="Q16" s="1352"/>
      <c r="R16" s="705"/>
      <c r="S16" s="706"/>
      <c r="T16" s="705"/>
      <c r="U16" s="706"/>
      <c r="V16" s="705"/>
      <c r="W16" s="706"/>
      <c r="X16" s="1355"/>
      <c r="Y16" s="372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1"/>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1"/>
      <c r="Q18" s="1352"/>
      <c r="R18" s="705"/>
      <c r="S18" s="706"/>
      <c r="T18" s="705"/>
      <c r="U18" s="706"/>
      <c r="V18" s="705"/>
      <c r="W18" s="706"/>
      <c r="X18" s="1355"/>
      <c r="Y18" s="372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1"/>
      <c r="Q19" s="1352" t="str">
        <f t="shared" ref="Q19:Q33" si="8">B19</f>
        <v>区域土地利用方向</v>
      </c>
      <c r="R19" s="705" t="s">
        <v>14</v>
      </c>
      <c r="S19" s="706">
        <f>F19</f>
        <v>100</v>
      </c>
      <c r="T19" s="705" t="s">
        <v>14</v>
      </c>
      <c r="U19" s="706">
        <f>H19</f>
        <v>100</v>
      </c>
      <c r="V19" s="705" t="s">
        <v>14</v>
      </c>
      <c r="W19" s="706">
        <f>J19</f>
        <v>100</v>
      </c>
      <c r="X19" s="1355"/>
      <c r="Y19" s="372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1"/>
      <c r="Q20" s="1352"/>
      <c r="R20" s="705"/>
      <c r="S20" s="706"/>
      <c r="T20" s="705"/>
      <c r="U20" s="706"/>
      <c r="V20" s="705"/>
      <c r="W20" s="706"/>
      <c r="X20" s="1355"/>
      <c r="Y20" s="372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1"/>
      <c r="Q21" s="1352" t="str">
        <f t="shared" si="8"/>
        <v>环境状况</v>
      </c>
      <c r="R21" s="705" t="s">
        <v>14</v>
      </c>
      <c r="S21" s="706">
        <f>F21</f>
        <v>100</v>
      </c>
      <c r="T21" s="705" t="s">
        <v>14</v>
      </c>
      <c r="U21" s="706">
        <f>H21</f>
        <v>100</v>
      </c>
      <c r="V21" s="705" t="s">
        <v>14</v>
      </c>
      <c r="W21" s="706">
        <f>J21</f>
        <v>100</v>
      </c>
      <c r="X21" s="1355"/>
      <c r="Y21" s="372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1"/>
      <c r="Q22" s="1352"/>
      <c r="R22" s="705"/>
      <c r="S22" s="706"/>
      <c r="T22" s="705"/>
      <c r="U22" s="706"/>
      <c r="V22" s="705"/>
      <c r="W22" s="706"/>
      <c r="X22" s="1355"/>
      <c r="Y22" s="372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1"/>
      <c r="Q23" s="1343" t="str">
        <f t="shared" si="8"/>
        <v>公共配套设施</v>
      </c>
      <c r="R23" s="701" t="s">
        <v>14</v>
      </c>
      <c r="S23" s="702">
        <f>F23</f>
        <v>100</v>
      </c>
      <c r="T23" s="701" t="s">
        <v>14</v>
      </c>
      <c r="U23" s="702">
        <f>H23</f>
        <v>100</v>
      </c>
      <c r="V23" s="701" t="s">
        <v>14</v>
      </c>
      <c r="W23" s="702">
        <f>J23</f>
        <v>100</v>
      </c>
      <c r="X23" s="703"/>
      <c r="Y23" s="372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1"/>
      <c r="Q24" s="1343"/>
      <c r="R24" s="701"/>
      <c r="S24" s="702"/>
      <c r="T24" s="701"/>
      <c r="U24" s="702"/>
      <c r="V24" s="701"/>
      <c r="W24" s="702"/>
      <c r="X24" s="703"/>
      <c r="Y24" s="372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1"/>
      <c r="Q25" s="1343" t="str">
        <f t="shared" ref="Q25" si="9">B25</f>
        <v>基础设施水平</v>
      </c>
      <c r="R25" s="701" t="s">
        <v>14</v>
      </c>
      <c r="S25" s="702">
        <f>F25</f>
        <v>100</v>
      </c>
      <c r="T25" s="701" t="s">
        <v>14</v>
      </c>
      <c r="U25" s="702">
        <f>H25</f>
        <v>100</v>
      </c>
      <c r="V25" s="701" t="s">
        <v>14</v>
      </c>
      <c r="W25" s="702">
        <f>J25</f>
        <v>100</v>
      </c>
      <c r="X25" s="703"/>
      <c r="Y25" s="372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1"/>
      <c r="Q26" s="1343"/>
      <c r="R26" s="701"/>
      <c r="S26" s="702"/>
      <c r="T26" s="701"/>
      <c r="U26" s="702"/>
      <c r="V26" s="701"/>
      <c r="W26" s="702"/>
      <c r="X26" s="703"/>
      <c r="Y26" s="372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1"/>
      <c r="Q28" s="1352" t="str">
        <f t="shared" si="8"/>
        <v>毗邻道路的类型与等级</v>
      </c>
      <c r="R28" s="705" t="s">
        <v>14</v>
      </c>
      <c r="S28" s="706">
        <f t="shared" si="10"/>
        <v>100</v>
      </c>
      <c r="T28" s="705" t="s">
        <v>14</v>
      </c>
      <c r="U28" s="706">
        <f t="shared" si="11"/>
        <v>100</v>
      </c>
      <c r="V28" s="705" t="s">
        <v>14</v>
      </c>
      <c r="W28" s="706">
        <f t="shared" si="12"/>
        <v>100</v>
      </c>
      <c r="X28" s="1355"/>
      <c r="Y28" s="372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1"/>
      <c r="Q29" s="1352"/>
      <c r="R29" s="705"/>
      <c r="S29" s="706"/>
      <c r="T29" s="705"/>
      <c r="U29" s="706"/>
      <c r="V29" s="705"/>
      <c r="W29" s="706"/>
      <c r="X29" s="1355"/>
      <c r="Y29" s="372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1"/>
      <c r="Q30" s="1352" t="str">
        <f t="shared" si="8"/>
        <v>土地级别</v>
      </c>
      <c r="R30" s="705" t="s">
        <v>14</v>
      </c>
      <c r="S30" s="706">
        <f t="shared" si="10"/>
        <v>100</v>
      </c>
      <c r="T30" s="705" t="s">
        <v>14</v>
      </c>
      <c r="U30" s="706">
        <f t="shared" si="11"/>
        <v>100</v>
      </c>
      <c r="V30" s="705" t="s">
        <v>14</v>
      </c>
      <c r="W30" s="706">
        <f t="shared" si="12"/>
        <v>100</v>
      </c>
      <c r="X30" s="1355"/>
      <c r="Y30" s="372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1"/>
      <c r="Q31" s="1352">
        <f t="shared" si="8"/>
        <v>111</v>
      </c>
      <c r="R31" s="705" t="s">
        <v>14</v>
      </c>
      <c r="S31" s="706">
        <f t="shared" si="10"/>
        <v>100</v>
      </c>
      <c r="T31" s="705" t="s">
        <v>14</v>
      </c>
      <c r="U31" s="706">
        <f t="shared" si="11"/>
        <v>100</v>
      </c>
      <c r="V31" s="705" t="s">
        <v>14</v>
      </c>
      <c r="W31" s="706">
        <f t="shared" si="12"/>
        <v>100</v>
      </c>
      <c r="X31" s="1355"/>
      <c r="Y31" s="372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4" t="s">
        <v>1696</v>
      </c>
      <c r="Q32" s="1352">
        <f t="shared" si="8"/>
        <v>111</v>
      </c>
      <c r="R32" s="705" t="s">
        <v>14</v>
      </c>
      <c r="S32" s="706">
        <f t="shared" si="10"/>
        <v>100</v>
      </c>
      <c r="T32" s="705" t="s">
        <v>14</v>
      </c>
      <c r="U32" s="706">
        <f t="shared" si="11"/>
        <v>100</v>
      </c>
      <c r="V32" s="705" t="s">
        <v>14</v>
      </c>
      <c r="W32" s="706">
        <f t="shared" si="12"/>
        <v>100</v>
      </c>
      <c r="X32" s="1355"/>
      <c r="Y32" s="372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5"/>
      <c r="Q33" s="1352">
        <f t="shared" si="8"/>
        <v>111</v>
      </c>
      <c r="R33" s="708" t="s">
        <v>14</v>
      </c>
      <c r="S33" s="709">
        <f t="shared" si="10"/>
        <v>100</v>
      </c>
      <c r="T33" s="708" t="s">
        <v>14</v>
      </c>
      <c r="U33" s="709">
        <f t="shared" si="11"/>
        <v>100</v>
      </c>
      <c r="V33" s="708" t="s">
        <v>14</v>
      </c>
      <c r="W33" s="709">
        <f t="shared" si="12"/>
        <v>100</v>
      </c>
      <c r="X33" s="710"/>
      <c r="Y33" s="372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5"/>
      <c r="Q34" s="1352" t="str">
        <f>B34</f>
        <v>宗地面积</v>
      </c>
      <c r="R34" s="705" t="s">
        <v>14</v>
      </c>
      <c r="S34" s="706" t="e">
        <f t="shared" si="10"/>
        <v>#N/A</v>
      </c>
      <c r="T34" s="705" t="s">
        <v>14</v>
      </c>
      <c r="U34" s="706" t="e">
        <f t="shared" si="11"/>
        <v>#N/A</v>
      </c>
      <c r="V34" s="705" t="s">
        <v>14</v>
      </c>
      <c r="W34" s="706" t="e">
        <f t="shared" si="12"/>
        <v>#N/A</v>
      </c>
      <c r="X34" s="1355"/>
      <c r="Y34" s="372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5"/>
      <c r="Q35" s="1352" t="str">
        <f t="shared" ref="Q35:Q40" si="14">B35</f>
        <v>宗地形状</v>
      </c>
      <c r="R35" s="705" t="s">
        <v>14</v>
      </c>
      <c r="S35" s="706">
        <f t="shared" si="10"/>
        <v>100</v>
      </c>
      <c r="T35" s="705" t="s">
        <v>14</v>
      </c>
      <c r="U35" s="706">
        <f t="shared" si="11"/>
        <v>100</v>
      </c>
      <c r="V35" s="705" t="s">
        <v>14</v>
      </c>
      <c r="W35" s="706">
        <f t="shared" si="12"/>
        <v>100</v>
      </c>
      <c r="X35" s="1355"/>
      <c r="Y35" s="372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5"/>
      <c r="Q36" s="1352" t="str">
        <f t="shared" si="14"/>
        <v>宗地开发程度</v>
      </c>
      <c r="R36" s="701" t="s">
        <v>14</v>
      </c>
      <c r="S36" s="702">
        <f t="shared" si="10"/>
        <v>100</v>
      </c>
      <c r="T36" s="701" t="s">
        <v>14</v>
      </c>
      <c r="U36" s="702">
        <f t="shared" si="11"/>
        <v>100</v>
      </c>
      <c r="V36" s="701" t="s">
        <v>14</v>
      </c>
      <c r="W36" s="702">
        <f t="shared" si="12"/>
        <v>100</v>
      </c>
      <c r="X36" s="703"/>
      <c r="Y36" s="372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5" t="s">
        <v>1696</v>
      </c>
      <c r="Q37" s="1352" t="str">
        <f t="shared" si="14"/>
        <v>工程地质条件</v>
      </c>
      <c r="R37" s="705" t="s">
        <v>14</v>
      </c>
      <c r="S37" s="706">
        <f t="shared" si="10"/>
        <v>100</v>
      </c>
      <c r="T37" s="705" t="s">
        <v>14</v>
      </c>
      <c r="U37" s="706">
        <f t="shared" si="11"/>
        <v>100</v>
      </c>
      <c r="V37" s="705" t="s">
        <v>14</v>
      </c>
      <c r="W37" s="706">
        <f t="shared" si="12"/>
        <v>100</v>
      </c>
      <c r="X37" s="1355"/>
      <c r="Y37" s="372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5"/>
      <c r="Q38" s="1352">
        <f t="shared" si="14"/>
        <v>111</v>
      </c>
      <c r="R38" s="705" t="s">
        <v>14</v>
      </c>
      <c r="S38" s="706">
        <f t="shared" si="10"/>
        <v>100</v>
      </c>
      <c r="T38" s="705" t="s">
        <v>14</v>
      </c>
      <c r="U38" s="706">
        <f t="shared" si="11"/>
        <v>100</v>
      </c>
      <c r="V38" s="705" t="s">
        <v>14</v>
      </c>
      <c r="W38" s="706">
        <f t="shared" si="12"/>
        <v>100</v>
      </c>
      <c r="X38" s="1355"/>
      <c r="Y38" s="372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5"/>
      <c r="Q39" s="1352">
        <f t="shared" si="14"/>
        <v>111</v>
      </c>
      <c r="R39" s="705" t="s">
        <v>14</v>
      </c>
      <c r="S39" s="706">
        <f t="shared" si="10"/>
        <v>100</v>
      </c>
      <c r="T39" s="705" t="s">
        <v>14</v>
      </c>
      <c r="U39" s="706">
        <f t="shared" si="11"/>
        <v>100</v>
      </c>
      <c r="V39" s="705" t="s">
        <v>14</v>
      </c>
      <c r="W39" s="706">
        <f t="shared" si="12"/>
        <v>100</v>
      </c>
      <c r="X39" s="1355"/>
      <c r="Y39" s="372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5"/>
      <c r="Q40" s="1352">
        <f t="shared" si="14"/>
        <v>111</v>
      </c>
      <c r="R40" s="708" t="s">
        <v>14</v>
      </c>
      <c r="S40" s="709">
        <f t="shared" si="10"/>
        <v>100</v>
      </c>
      <c r="T40" s="708" t="s">
        <v>14</v>
      </c>
      <c r="U40" s="709">
        <f t="shared" si="11"/>
        <v>100</v>
      </c>
      <c r="V40" s="708" t="s">
        <v>14</v>
      </c>
      <c r="W40" s="709">
        <f t="shared" si="12"/>
        <v>100</v>
      </c>
      <c r="X40" s="710"/>
      <c r="Y40" s="372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8" t="str">
        <f>A41</f>
        <v>成交单价</v>
      </c>
      <c r="Q41" s="3718"/>
      <c r="R41" s="3713">
        <f>E41</f>
        <v>0</v>
      </c>
      <c r="S41" s="3713"/>
      <c r="T41" s="3713">
        <f>G41</f>
        <v>0</v>
      </c>
      <c r="U41" s="3713"/>
      <c r="V41" s="3713">
        <f>I41</f>
        <v>0</v>
      </c>
      <c r="W41" s="371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8" t="str">
        <f>A42</f>
        <v>比较价值（元/平方米）</v>
      </c>
      <c r="Q42" s="3718"/>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5" t="str">
        <f>A43</f>
        <v>估价对象XX用房的比较价值（楼面单价，元/平方米）</v>
      </c>
      <c r="Q43" s="3716"/>
      <c r="R43" s="3747" t="e">
        <f>ROUND(IF(D42="简单平均",AVERAGE(R42:W42),R42*F42+T42*H42+V42*J42),0)</f>
        <v>#DIV/0!</v>
      </c>
      <c r="S43" s="3747"/>
      <c r="T43" s="3747"/>
      <c r="U43" s="3747"/>
      <c r="V43" s="3747"/>
      <c r="W43" s="374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1" t="s">
        <v>1887</v>
      </c>
      <c r="H50" s="374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128400</v>
      </c>
      <c r="F51" s="639" t="e">
        <f t="shared" ref="F51:F60" si="15">ROUND(B51*E51/10000,0)</f>
        <v>#DIV/0!</v>
      </c>
      <c r="G51" s="3700"/>
      <c r="H51" s="371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四级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四级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37047.599999999999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2021-7-1</v>
      </c>
      <c r="D63" s="692">
        <f>EDATE(C63,-3)</f>
        <v>44287</v>
      </c>
      <c r="E63" s="692">
        <f>EDATE(D63,-3)</f>
        <v>44197</v>
      </c>
      <c r="F63" s="692">
        <f t="shared" ref="F63:O63" si="18">EDATE(E63,-3)</f>
        <v>44105</v>
      </c>
      <c r="G63" s="692">
        <f t="shared" si="18"/>
        <v>44013</v>
      </c>
      <c r="H63" s="692">
        <f t="shared" si="18"/>
        <v>43922</v>
      </c>
      <c r="I63" s="692">
        <f t="shared" si="18"/>
        <v>43831</v>
      </c>
      <c r="J63" s="692">
        <f t="shared" si="18"/>
        <v>43739</v>
      </c>
      <c r="K63" s="692">
        <f t="shared" si="18"/>
        <v>43647</v>
      </c>
      <c r="L63" s="692">
        <f t="shared" si="18"/>
        <v>43556</v>
      </c>
      <c r="M63" s="692">
        <f t="shared" si="18"/>
        <v>43466</v>
      </c>
      <c r="N63" s="692">
        <f t="shared" si="18"/>
        <v>43374</v>
      </c>
      <c r="O63" s="692">
        <f t="shared" si="18"/>
        <v>43282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2021-3</v>
      </c>
      <c r="D65" s="1182" t="str">
        <f t="shared" ref="D65:O65" si="19">YEAR(D63)&amp;"-"&amp;ROUNDUP(MONTH(D63)/3,0)</f>
        <v>2021-2</v>
      </c>
      <c r="E65" s="1182" t="str">
        <f t="shared" si="19"/>
        <v>2021-1</v>
      </c>
      <c r="F65" s="1182" t="str">
        <f t="shared" si="19"/>
        <v>2020-4</v>
      </c>
      <c r="G65" s="1182" t="str">
        <f t="shared" si="19"/>
        <v>2020-3</v>
      </c>
      <c r="H65" s="1182" t="str">
        <f t="shared" si="19"/>
        <v>2020-2</v>
      </c>
      <c r="I65" s="1182" t="str">
        <f t="shared" si="19"/>
        <v>2020-1</v>
      </c>
      <c r="J65" s="1182" t="str">
        <f t="shared" si="19"/>
        <v>2019-4</v>
      </c>
      <c r="K65" s="1182" t="str">
        <f t="shared" si="19"/>
        <v>2019-3</v>
      </c>
      <c r="L65" s="1182" t="str">
        <f t="shared" si="19"/>
        <v>2019-2</v>
      </c>
      <c r="M65" s="1182" t="str">
        <f t="shared" si="19"/>
        <v>2019-1</v>
      </c>
      <c r="N65" s="1182" t="str">
        <f t="shared" si="19"/>
        <v>2018-4</v>
      </c>
      <c r="O65" s="1182" t="str">
        <f t="shared" si="19"/>
        <v>2018-3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北京市平均增长率1.26%</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6" t="s">
        <v>2084</v>
      </c>
      <c r="D1" s="3757"/>
      <c r="E1" s="3757"/>
      <c r="F1" s="3757"/>
      <c r="G1" s="3757"/>
      <c r="H1" s="3757"/>
      <c r="I1" s="3757"/>
      <c r="J1" s="3757"/>
      <c r="K1" s="3757"/>
      <c r="L1" s="3757"/>
      <c r="M1" s="3757"/>
      <c r="N1" s="3757"/>
      <c r="O1" s="3757"/>
      <c r="P1" s="3757"/>
      <c r="Q1" s="3757"/>
      <c r="R1" s="3757"/>
      <c r="S1" s="375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242445</v>
      </c>
      <c r="C2" s="2145" t="s">
        <v>2074</v>
      </c>
      <c r="D2" s="2145" t="s">
        <v>2075</v>
      </c>
      <c r="E2" s="2612">
        <f ca="1">SUMIF(E6:E13,"&lt;&gt;#ref!",E6:E13)</f>
        <v>128400</v>
      </c>
      <c r="F2" s="2793"/>
      <c r="G2" s="2793"/>
      <c r="H2" s="2793"/>
      <c r="I2" s="2793"/>
      <c r="J2" s="2793"/>
      <c r="K2" s="2793"/>
      <c r="L2" s="2793"/>
      <c r="M2" s="2793"/>
      <c r="N2" s="2793"/>
      <c r="O2" s="2793"/>
      <c r="P2" s="2793"/>
    </row>
    <row r="3" spans="1:16" ht="15.75">
      <c r="A3" s="2145" t="s">
        <v>2076</v>
      </c>
      <c r="B3" s="2602">
        <f ca="1">ROUND(B2*10000/E2,0)</f>
        <v>18882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242445</v>
      </c>
      <c r="C6" s="2145" t="s">
        <v>2074</v>
      </c>
      <c r="D6" s="2793"/>
      <c r="E6" s="2612">
        <f ca="1">SUMIF(INDIRECT("'"&amp;A6&amp;"'"&amp;"!C:C"),"建筑面积",INDIRECT("'"&amp;A6&amp;"'"&amp;"!D:D"))</f>
        <v>128400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topLeftCell="A40" zoomScaleNormal="80" zoomScaleSheetLayoutView="100" workbookViewId="0">
      <selection activeCell="E62" sqref="E6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128400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242445</v>
      </c>
      <c r="C2" s="1999" t="s">
        <v>1935</v>
      </c>
      <c r="D2" s="2000" t="s">
        <v>1936</v>
      </c>
      <c r="E2" s="3422" t="s">
        <v>21</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Ⅳ-08</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30220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18882</v>
      </c>
      <c r="C3" s="1999" t="s">
        <v>1941</v>
      </c>
      <c r="D3" s="2000" t="s">
        <v>1942</v>
      </c>
      <c r="E3" s="3420" t="s">
        <v>3385</v>
      </c>
      <c r="F3" s="2004" t="s">
        <v>3395</v>
      </c>
      <c r="G3" s="752">
        <f>IF(F3="宗地容积率",'数据-汇总表'!I4,IF(F3="估价对象容积率",'数据-汇总表'!I6,'数据-汇总表'!I7))</f>
        <v>3.47</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23819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6"/>
      <c r="B4" s="3767"/>
      <c r="C4" s="3767"/>
      <c r="D4" s="3768"/>
      <c r="E4" s="3768"/>
      <c r="F4" s="3768"/>
      <c r="G4" s="3768"/>
      <c r="H4" s="3768"/>
      <c r="I4" s="3768"/>
      <c r="J4" s="3769"/>
      <c r="K4" s="1119"/>
      <c r="L4" s="2003" t="s">
        <v>1946</v>
      </c>
      <c r="M4" s="864">
        <f>SUMPRODUCT((区片价!B55:B86=I2)*(区片价!C3:G3=E2)*(区片价!C55:G86))</f>
        <v>19400</v>
      </c>
      <c r="N4" s="866">
        <f>SUMPRODUCT((因素修正幅度!B55:B86=I2)*(因素修正幅度!C3:G3=E2)*(因素修正幅度!C55:G86))</f>
        <v>9.7000000000000003E-2</v>
      </c>
      <c r="O4" s="1119"/>
      <c r="P4" s="1119"/>
      <c r="Q4" s="1119"/>
      <c r="R4" s="1212">
        <v>3</v>
      </c>
      <c r="S4" s="3361">
        <f>ROUND(SUMPRODUCT((B106:B110=R4)*(C105:N105=G2)*(C106:N110)),4)</f>
        <v>1.0004999999999999</v>
      </c>
      <c r="T4" s="3361">
        <f t="shared" si="0"/>
        <v>20131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19400</v>
      </c>
      <c r="D5" s="1339">
        <f>ROUND(C6*C17+C20,0)</f>
        <v>19400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17755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19400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17063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3.47</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3" t="s">
        <v>1960</v>
      </c>
      <c r="X8" s="376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5"/>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0" t="s">
        <v>3259</v>
      </c>
      <c r="B20" s="167" t="s">
        <v>1994</v>
      </c>
      <c r="C20" s="3325">
        <f>ROUND(IF(F21="与级别开发程度一致",0,(G21-E21)/C21),0)</f>
        <v>0</v>
      </c>
      <c r="D20" s="3341" t="s">
        <v>1998</v>
      </c>
      <c r="E20" s="3342"/>
      <c r="F20" s="3776" t="s">
        <v>1995</v>
      </c>
      <c r="G20" s="377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1.0065</v>
      </c>
      <c r="D23" s="2054" t="s">
        <v>2002</v>
      </c>
      <c r="E23" s="761">
        <v>44197</v>
      </c>
      <c r="F23" s="2054" t="s">
        <v>2003</v>
      </c>
      <c r="G23" s="762">
        <f>'数据-取费表'!B2</f>
        <v>44378</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0.99170000000000003</v>
      </c>
      <c r="D24" s="2060" t="s">
        <v>2007</v>
      </c>
      <c r="E24" s="1335">
        <f>存贷款利率!E24/100</f>
        <v>4.3499999999999997E-2</v>
      </c>
      <c r="F24" s="2060" t="s">
        <v>1999</v>
      </c>
      <c r="G24" s="768">
        <f>SUMIF(M30:Q30,E2,M33:Q33)</f>
        <v>5.5E-2</v>
      </c>
      <c r="H24" s="2060" t="s">
        <v>2008</v>
      </c>
      <c r="I24" s="769">
        <f>SUMIF('数据-取费表'!C6:C15,E2,'数据-取费表'!F6:F15)/COUNTIF('数据-取费表'!C6:C15,E2)</f>
        <v>48</v>
      </c>
      <c r="J24" s="770">
        <f>IF(E2="住宅",70,IF(E2="商业",40,50))</f>
        <v>50</v>
      </c>
      <c r="K24" s="1125"/>
      <c r="L24" s="2061" t="s">
        <v>2009</v>
      </c>
      <c r="M24" s="1329">
        <f>ROUND(SUMPRODUCT((地价!A4:A16=YEAR(G23)&amp;"-"&amp;ROUNDUP(MONTH(G23)/3,0))*(地价!B2:G2=E2)*(地价!B4:G16)),0)</f>
        <v>352</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0.93840000000000001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1.09E-2</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0.93840000000000001</v>
      </c>
      <c r="E26" s="752">
        <f>ROUNDDOWN(G3,1)</f>
        <v>3.4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0.9415</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0.93700000000000006</v>
      </c>
      <c r="I26" s="3345" t="s">
        <v>3263</v>
      </c>
      <c r="J26" s="772" t="str">
        <f>IF(G3&gt;=10,D115,"——")</f>
        <v>——</v>
      </c>
      <c r="K26" s="1125"/>
      <c r="L26" s="2788"/>
      <c r="M26" s="2788"/>
      <c r="N26" s="2069" t="s">
        <v>2016</v>
      </c>
      <c r="O26" s="1173"/>
      <c r="P26" s="1174">
        <f>SUMPRODUCT((地价!A3:A40=YEAR(G23)&amp;"-"&amp;ROUNDUP(MONTH(G23)/3,0))*(地价!AD2:AH2=N26)*(地价!AD3:AH40))</f>
        <v>1.09E-2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1.89E-2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1.0390999999999999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1.26E-2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1.72E-2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242445</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18882</v>
      </c>
      <c r="D33" s="2098">
        <f>'数据-基础表'!B3</f>
        <v>128400</v>
      </c>
      <c r="E33" s="773">
        <f>ROUND(C33*D33/10000,0)</f>
        <v>242445</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4721</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4"/>
      <c r="B37" s="2113" t="s">
        <v>2036</v>
      </c>
      <c r="C37" s="175">
        <f>ROUND(D5*C22*C23*C24*C28*F37,0)</f>
        <v>12073</v>
      </c>
      <c r="D37" s="2098"/>
      <c r="E37" s="171">
        <f>ROUND(C37*D37/10000,0)</f>
        <v>0</v>
      </c>
      <c r="F37" s="171">
        <f>SUMIF(修正!A57:A68,G2,修正!B57:B68)</f>
        <v>0.6</v>
      </c>
      <c r="G37" s="171">
        <f>ROUND(IF(E2="工业",C37*$M$42,C37*$M$41),0)</f>
        <v>3018</v>
      </c>
      <c r="H37" s="171">
        <f>D37</f>
        <v>0</v>
      </c>
      <c r="I37" s="171">
        <f>ROUND(G37*H37/10000,0)</f>
        <v>0</v>
      </c>
      <c r="J37" s="3012"/>
      <c r="K37" s="3359" t="s">
        <v>3271</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5"/>
      <c r="B38" s="2041" t="s">
        <v>2037</v>
      </c>
      <c r="C38" s="175">
        <f>ROUND(D5*C22*C23*C24*C28*F38,0)</f>
        <v>6036</v>
      </c>
      <c r="D38" s="2098"/>
      <c r="E38" s="171">
        <f t="shared" ref="E38:E42" si="4">ROUND(C38*D38/10000,0)</f>
        <v>0</v>
      </c>
      <c r="F38" s="171">
        <f>SUMIF(修正!A57:A68,G2,修正!C57:C68)</f>
        <v>0.3</v>
      </c>
      <c r="G38" s="171">
        <f>ROUND(IF(E2="工业",C38*$M$42,C38*$M$41),0)</f>
        <v>1509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5"/>
      <c r="B39" s="2041" t="s">
        <v>3264</v>
      </c>
      <c r="C39" s="175">
        <f>ROUND(D5*C22*C23*C24*C28*F39,0)</f>
        <v>5030</v>
      </c>
      <c r="D39" s="2098"/>
      <c r="E39" s="171">
        <f t="shared" si="4"/>
        <v>0</v>
      </c>
      <c r="F39" s="171">
        <f>SUMIF(修正!A57:A68,G2,修正!D57:D68)</f>
        <v>0.25</v>
      </c>
      <c r="G39" s="171">
        <f>ROUND(IF(E2="工业",C39*$M$42,C39*$M$41),0)</f>
        <v>1258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5030</v>
      </c>
      <c r="D40" s="2098"/>
      <c r="E40" s="171">
        <f t="shared" si="4"/>
        <v>0</v>
      </c>
      <c r="F40" s="175">
        <f>SUMIF(修正!A57:A68,G2,修正!E57:E68)</f>
        <v>0.25</v>
      </c>
      <c r="G40" s="171">
        <f>ROUND(IF(E2="工业",C40*$M$42,C40*$M$41),0)</f>
        <v>1258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1.0390999999999999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3386</v>
      </c>
      <c r="D61" s="1065">
        <f t="shared" ref="D61:D69" si="12">SUMIF($J$60:$N$60,C61,J61:N61)</f>
        <v>1.21E-2</v>
      </c>
      <c r="E61" s="744">
        <f>ROUND(SUM(D61:D69),4)</f>
        <v>3.9100000000000003E-2</v>
      </c>
      <c r="F61" s="1814">
        <f>IF(E2="办公",SUMIF(L1:L12,G2,N1:N12),"——")</f>
        <v>9.7000000000000003E-2</v>
      </c>
      <c r="G61" s="1063">
        <f>H61</f>
        <v>1.21E-2</v>
      </c>
      <c r="H61" s="1066">
        <f t="shared" ref="H61:H69" si="13">IFERROR(ROUNDDOWN($F$61*I61/2,4),"——")</f>
        <v>1.21E-2</v>
      </c>
      <c r="I61" s="3367">
        <v>0.25</v>
      </c>
      <c r="J61" s="1064">
        <f t="shared" ref="J61:J69" si="14">K61+$G61</f>
        <v>2.4199999999999999E-2</v>
      </c>
      <c r="K61" s="1064">
        <f t="shared" ref="K61:K69" si="15">$L61+$G61</f>
        <v>1.21E-2</v>
      </c>
      <c r="L61" s="1064">
        <v>0</v>
      </c>
      <c r="M61" s="1064">
        <f t="shared" ref="M61:N69" si="16">L61-$G61</f>
        <v>-1.21E-2</v>
      </c>
      <c r="N61" s="1064">
        <f t="shared" si="16"/>
        <v>-2.4199999999999999E-2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3386</v>
      </c>
      <c r="D62" s="1065">
        <f t="shared" si="12"/>
        <v>1.26E-2</v>
      </c>
      <c r="E62" s="745"/>
      <c r="F62" s="1814"/>
      <c r="G62" s="1063">
        <f t="shared" ref="G62:G69" si="17">H62</f>
        <v>1.26E-2</v>
      </c>
      <c r="H62" s="1066">
        <f t="shared" si="13"/>
        <v>1.26E-2</v>
      </c>
      <c r="I62" s="3367">
        <v>0.26</v>
      </c>
      <c r="J62" s="1064">
        <f t="shared" si="14"/>
        <v>2.52E-2</v>
      </c>
      <c r="K62" s="1064">
        <f t="shared" si="15"/>
        <v>1.26E-2</v>
      </c>
      <c r="L62" s="1064">
        <v>0</v>
      </c>
      <c r="M62" s="1064">
        <f t="shared" si="16"/>
        <v>-1.26E-2</v>
      </c>
      <c r="N62" s="1064">
        <f t="shared" si="16"/>
        <v>-2.52E-2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3387</v>
      </c>
      <c r="D63" s="1065">
        <f t="shared" si="12"/>
        <v>0</v>
      </c>
      <c r="E63" s="745"/>
      <c r="F63" s="1814"/>
      <c r="G63" s="1063">
        <f t="shared" si="17"/>
        <v>5.3E-3</v>
      </c>
      <c r="H63" s="1066">
        <f t="shared" si="13"/>
        <v>5.3E-3</v>
      </c>
      <c r="I63" s="3367">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30" t="s">
        <v>2054</v>
      </c>
      <c r="B64" s="2135" t="s">
        <v>2055</v>
      </c>
      <c r="C64" s="2044" t="s">
        <v>3387</v>
      </c>
      <c r="D64" s="1065">
        <f t="shared" si="12"/>
        <v>0</v>
      </c>
      <c r="E64" s="745"/>
      <c r="F64" s="1814"/>
      <c r="G64" s="1063">
        <f t="shared" si="17"/>
        <v>2.3999999999999998E-3</v>
      </c>
      <c r="H64" s="1066">
        <f t="shared" si="13"/>
        <v>2.3999999999999998E-3</v>
      </c>
      <c r="I64" s="3367">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3387</v>
      </c>
      <c r="D65" s="1065">
        <f t="shared" si="12"/>
        <v>0</v>
      </c>
      <c r="E65" s="745"/>
      <c r="F65" s="1814"/>
      <c r="G65" s="1063">
        <f t="shared" si="17"/>
        <v>2.3999999999999998E-3</v>
      </c>
      <c r="H65" s="1066">
        <f t="shared" si="13"/>
        <v>2.3999999999999998E-3</v>
      </c>
      <c r="I65" s="3367">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2044" t="s">
        <v>3386</v>
      </c>
      <c r="D66" s="1065">
        <f t="shared" si="12"/>
        <v>2.8999999999999998E-3</v>
      </c>
      <c r="E66" s="745"/>
      <c r="F66" s="1814"/>
      <c r="G66" s="1063">
        <f t="shared" si="17"/>
        <v>2.8999999999999998E-3</v>
      </c>
      <c r="H66" s="1066">
        <f t="shared" si="13"/>
        <v>2.8999999999999998E-3</v>
      </c>
      <c r="I66" s="3367">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3386</v>
      </c>
      <c r="D67" s="1065">
        <f t="shared" si="12"/>
        <v>2.8999999999999998E-3</v>
      </c>
      <c r="E67" s="745"/>
      <c r="F67" s="1814"/>
      <c r="G67" s="1063">
        <f t="shared" si="17"/>
        <v>2.8999999999999998E-3</v>
      </c>
      <c r="H67" s="1066">
        <f t="shared" si="13"/>
        <v>2.8999999999999998E-3</v>
      </c>
      <c r="I67" s="3367">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3388</v>
      </c>
      <c r="D68" s="1065">
        <f t="shared" si="12"/>
        <v>8.6E-3</v>
      </c>
      <c r="E68" s="745"/>
      <c r="F68" s="1814"/>
      <c r="G68" s="1063">
        <f t="shared" si="17"/>
        <v>4.3E-3</v>
      </c>
      <c r="H68" s="1066">
        <f t="shared" si="13"/>
        <v>4.3E-3</v>
      </c>
      <c r="I68" s="3367">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3387</v>
      </c>
      <c r="D69" s="1065">
        <f t="shared" si="12"/>
        <v>0</v>
      </c>
      <c r="E69" s="746"/>
      <c r="F69" s="1814"/>
      <c r="G69" s="1063">
        <f t="shared" si="17"/>
        <v>3.3E-3</v>
      </c>
      <c r="H69" s="1066">
        <f t="shared" si="13"/>
        <v>3.3E-3</v>
      </c>
      <c r="I69" s="3368">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hidden="1">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hidden="1">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hidden="1"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hidden="1">
      <c r="A81" s="2126" t="s">
        <v>2069</v>
      </c>
      <c r="B81" s="2127">
        <f>1+E83</f>
        <v>1</v>
      </c>
      <c r="C81" s="741"/>
      <c r="D81" s="741"/>
      <c r="E81" s="742"/>
      <c r="F81" s="2129"/>
      <c r="G81" s="3"/>
      <c r="H81" s="3"/>
      <c r="I81" s="3"/>
      <c r="J81" s="4"/>
      <c r="K81" s="4"/>
      <c r="L81" s="4"/>
      <c r="M81" s="4"/>
      <c r="N81" s="4"/>
      <c r="Z81" s="1998"/>
      <c r="AA81" s="2053"/>
      <c r="AG81" s="1121"/>
      <c r="AK81" s="2053"/>
    </row>
    <row r="82" spans="1:37" ht="24.75"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hidden="1">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hidden="1">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hidden="1">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hidden="1">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hidden="1">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hidden="1">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hidden="1">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hidden="1"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hidden="1">
      <c r="A91" s="3377" t="s">
        <v>2615</v>
      </c>
      <c r="B91" s="3378">
        <f>1+E93</f>
        <v>1</v>
      </c>
      <c r="C91" s="3371"/>
      <c r="D91" s="3372"/>
      <c r="E91" s="1814"/>
      <c r="F91" s="1814"/>
      <c r="G91" s="3373"/>
      <c r="H91" s="3374"/>
      <c r="I91" s="3375"/>
      <c r="J91" s="3376"/>
      <c r="K91" s="3376"/>
      <c r="L91" s="3376"/>
      <c r="M91" s="3376"/>
      <c r="N91" s="3376"/>
    </row>
    <row r="92" spans="1:37" ht="24.75" hidden="1">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hidden="1">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hidden="1">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hidden="1">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hidden="1">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hidden="1">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hidden="1">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hidden="1">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hidden="1">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hidden="1"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2" t="s">
        <v>3299</v>
      </c>
      <c r="B103" s="3772"/>
      <c r="C103" s="3772"/>
      <c r="D103" s="3772"/>
      <c r="E103" s="3772"/>
      <c r="F103" s="3772"/>
      <c r="G103" s="3772"/>
      <c r="H103" s="3772"/>
      <c r="I103" s="3772"/>
      <c r="J103" s="3772"/>
      <c r="K103" s="3390"/>
      <c r="L103" s="3390"/>
      <c r="M103" s="3390"/>
      <c r="N103" s="3390"/>
    </row>
    <row r="104" spans="1:14">
      <c r="A104" s="3773" t="s">
        <v>3300</v>
      </c>
      <c r="B104" s="3773" t="s">
        <v>3301</v>
      </c>
      <c r="C104" s="3391" t="s">
        <v>3302</v>
      </c>
      <c r="D104" s="3392"/>
      <c r="E104" s="3392"/>
      <c r="F104" s="3392"/>
      <c r="G104" s="3392"/>
      <c r="H104" s="3392"/>
      <c r="I104" s="3392"/>
      <c r="J104" s="3393"/>
      <c r="K104" s="3394"/>
      <c r="L104" s="3394"/>
      <c r="M104" s="3394"/>
      <c r="N104" s="3394"/>
    </row>
    <row r="105" spans="1:14">
      <c r="A105" s="3773"/>
      <c r="B105" s="3773"/>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59"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0"/>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1"/>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2" t="s">
        <v>3316</v>
      </c>
      <c r="B113" s="3762"/>
      <c r="C113" s="3762"/>
      <c r="D113" s="3762"/>
      <c r="E113" s="3762"/>
      <c r="F113" s="3762"/>
      <c r="G113" s="3762"/>
      <c r="H113" s="3762"/>
      <c r="I113" s="3762"/>
      <c r="J113" s="376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3.47</v>
      </c>
      <c r="C116" s="3400" t="s">
        <v>3318</v>
      </c>
      <c r="D116" s="3401">
        <f>SUMPRODUCT((A118:A122=F116)*(B117:M117=H116)*B118:M122)</f>
        <v>0.89219999999999999</v>
      </c>
      <c r="E116" s="2000" t="s">
        <v>3319</v>
      </c>
      <c r="F116" s="3402" t="str">
        <f>E2</f>
        <v>办公</v>
      </c>
      <c r="G116" s="2000" t="s">
        <v>3320</v>
      </c>
      <c r="H116" s="3402" t="str">
        <f>G2</f>
        <v>四级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0.95860000000000001</v>
      </c>
      <c r="C118" s="3388">
        <f>B118</f>
        <v>0.95860000000000001</v>
      </c>
      <c r="D118" s="3388">
        <f>ROUND(0.949-0.014*B116,4)</f>
        <v>0.90039999999999998</v>
      </c>
      <c r="E118" s="3388">
        <f>D118</f>
        <v>0.90039999999999998</v>
      </c>
      <c r="F118" s="3388">
        <f>E118</f>
        <v>0.90039999999999998</v>
      </c>
      <c r="G118" s="3388">
        <f>F118</f>
        <v>0.90039999999999998</v>
      </c>
      <c r="H118" s="3388">
        <f>G118</f>
        <v>0.90039999999999998</v>
      </c>
      <c r="I118" s="3388">
        <f>ROUND(0.8486-0.018*B116,4)</f>
        <v>0.78610000000000002</v>
      </c>
      <c r="J118" s="3388">
        <f t="shared" ref="J118:M122" si="36">I118</f>
        <v>0.78610000000000002</v>
      </c>
      <c r="K118" s="3388">
        <f t="shared" si="36"/>
        <v>0.78610000000000002</v>
      </c>
      <c r="L118" s="3388">
        <f t="shared" si="36"/>
        <v>0.78610000000000002</v>
      </c>
      <c r="M118" s="3411">
        <f t="shared" si="36"/>
        <v>0.78610000000000002</v>
      </c>
      <c r="N118" s="3398"/>
    </row>
    <row r="119" spans="1:14">
      <c r="A119" s="3410" t="s">
        <v>3334</v>
      </c>
      <c r="B119" s="3388">
        <f>ROUND(0.993-0.0112*B116,4)</f>
        <v>0.95409999999999995</v>
      </c>
      <c r="C119" s="3388">
        <f>B119</f>
        <v>0.95409999999999995</v>
      </c>
      <c r="D119" s="3388">
        <f>ROUND(0.9415-0.0142*B116,4)</f>
        <v>0.89219999999999999</v>
      </c>
      <c r="E119" s="3388">
        <f t="shared" ref="E119:H120" si="37">D119</f>
        <v>0.89219999999999999</v>
      </c>
      <c r="F119" s="3388">
        <f t="shared" si="37"/>
        <v>0.89219999999999999</v>
      </c>
      <c r="G119" s="3388">
        <f t="shared" si="37"/>
        <v>0.89219999999999999</v>
      </c>
      <c r="H119" s="3388">
        <f t="shared" si="37"/>
        <v>0.89219999999999999</v>
      </c>
      <c r="I119" s="3388">
        <f>ROUND(0.838-0.0182*B116,4)</f>
        <v>0.77480000000000004</v>
      </c>
      <c r="J119" s="3388">
        <f t="shared" si="36"/>
        <v>0.77480000000000004</v>
      </c>
      <c r="K119" s="3388">
        <f t="shared" si="36"/>
        <v>0.77480000000000004</v>
      </c>
      <c r="L119" s="3388">
        <f t="shared" si="36"/>
        <v>0.77480000000000004</v>
      </c>
      <c r="M119" s="3411">
        <f t="shared" si="36"/>
        <v>0.77480000000000004</v>
      </c>
      <c r="N119" s="3398"/>
    </row>
    <row r="120" spans="1:14">
      <c r="A120" s="3410" t="s">
        <v>3335</v>
      </c>
      <c r="B120" s="3388">
        <f>ROUND(0.9448-0.0115*B116,4)</f>
        <v>0.90490000000000004</v>
      </c>
      <c r="C120" s="3388">
        <f>B120</f>
        <v>0.90490000000000004</v>
      </c>
      <c r="D120" s="3388">
        <f>ROUND(0.937-0.0145*B116,4)</f>
        <v>0.88670000000000004</v>
      </c>
      <c r="E120" s="3388">
        <f t="shared" si="37"/>
        <v>0.88670000000000004</v>
      </c>
      <c r="F120" s="3388">
        <f t="shared" si="37"/>
        <v>0.88670000000000004</v>
      </c>
      <c r="G120" s="3388">
        <f t="shared" si="37"/>
        <v>0.88670000000000004</v>
      </c>
      <c r="H120" s="3388">
        <f t="shared" si="37"/>
        <v>0.88670000000000004</v>
      </c>
      <c r="I120" s="3388">
        <f>ROUND(0.7965-0.0185*B116,4)</f>
        <v>0.73229999999999995</v>
      </c>
      <c r="J120" s="3388">
        <f t="shared" si="36"/>
        <v>0.73229999999999995</v>
      </c>
      <c r="K120" s="3388">
        <f t="shared" si="36"/>
        <v>0.73229999999999995</v>
      </c>
      <c r="L120" s="3388">
        <f t="shared" si="36"/>
        <v>0.73229999999999995</v>
      </c>
      <c r="M120" s="3411">
        <f t="shared" si="36"/>
        <v>0.73229999999999995</v>
      </c>
      <c r="N120" s="3398"/>
    </row>
    <row r="121" spans="1:14" ht="13.5" thickBot="1">
      <c r="A121" s="3412" t="s">
        <v>3336</v>
      </c>
      <c r="B121" s="3413">
        <f>ROUND(0.7836-0.012*B116,4)</f>
        <v>0.74199999999999999</v>
      </c>
      <c r="C121" s="3413">
        <f>B121</f>
        <v>0.74199999999999999</v>
      </c>
      <c r="D121" s="3413">
        <f>ROUND(0.753-0.015*B116,4)</f>
        <v>0.70099999999999996</v>
      </c>
      <c r="E121" s="3413">
        <f>D121</f>
        <v>0.70099999999999996</v>
      </c>
      <c r="F121" s="3413">
        <f>E121</f>
        <v>0.70099999999999996</v>
      </c>
      <c r="G121" s="3413">
        <f>ROUND(0.6612-0.018*B116,4)</f>
        <v>0.59870000000000001</v>
      </c>
      <c r="H121" s="3413">
        <f>G121</f>
        <v>0.59870000000000001</v>
      </c>
      <c r="I121" s="3413">
        <f>ROUND(0.5905-0.019*B116,4)</f>
        <v>0.52459999999999996</v>
      </c>
      <c r="J121" s="3413">
        <f t="shared" si="36"/>
        <v>0.52459999999999996</v>
      </c>
      <c r="K121" s="3413">
        <f t="shared" si="36"/>
        <v>0.52459999999999996</v>
      </c>
      <c r="L121" s="3413">
        <f t="shared" si="36"/>
        <v>0.52459999999999996</v>
      </c>
      <c r="M121" s="3414">
        <f t="shared" si="36"/>
        <v>0.52459999999999996</v>
      </c>
      <c r="N121" s="3398"/>
    </row>
    <row r="122" spans="1:14">
      <c r="A122" s="3415" t="s">
        <v>2615</v>
      </c>
      <c r="B122" s="3388">
        <f>ROUND(0.9404-0.0106*B116,4)</f>
        <v>0.90359999999999996</v>
      </c>
      <c r="C122" s="3388">
        <f>B122</f>
        <v>0.90359999999999996</v>
      </c>
      <c r="D122" s="3388">
        <f>ROUND(0.8955-0.0135*B116,4)</f>
        <v>0.84870000000000001</v>
      </c>
      <c r="E122" s="3388">
        <f t="shared" ref="E122:H122" si="38">D122</f>
        <v>0.84870000000000001</v>
      </c>
      <c r="F122" s="3388">
        <f t="shared" si="38"/>
        <v>0.84870000000000001</v>
      </c>
      <c r="G122" s="3388">
        <f t="shared" si="38"/>
        <v>0.84870000000000001</v>
      </c>
      <c r="H122" s="3388">
        <f t="shared" si="38"/>
        <v>0.84870000000000001</v>
      </c>
      <c r="I122" s="3388">
        <f>ROUND(0.7632-0.0166*B116,4)</f>
        <v>0.7056</v>
      </c>
      <c r="J122" s="3388">
        <f t="shared" si="36"/>
        <v>0.7056</v>
      </c>
      <c r="K122" s="3388">
        <f t="shared" si="36"/>
        <v>0.7056</v>
      </c>
      <c r="L122" s="3388">
        <f t="shared" si="36"/>
        <v>0.7056</v>
      </c>
      <c r="M122" s="3411">
        <f t="shared" si="36"/>
        <v>0.7056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9"/>
  <sheetViews>
    <sheetView topLeftCell="A50" workbookViewId="0">
      <selection activeCell="K171" sqref="K171"/>
    </sheetView>
  </sheetViews>
  <sheetFormatPr defaultRowHeight="13.5"/>
  <cols>
    <col min="1" max="16384" width="9" style="3465"/>
  </cols>
  <sheetData>
    <row r="1" spans="1:6" s="3470" customFormat="1">
      <c r="A1" s="3469" t="s">
        <v>3402</v>
      </c>
      <c r="C1" s="3470" t="str">
        <f>项目基本情况!C38</f>
        <v>Ⅳ-08</v>
      </c>
      <c r="D1" s="3469" t="s">
        <v>2815</v>
      </c>
      <c r="F1" s="3469" t="s">
        <v>3406</v>
      </c>
    </row>
    <row r="2" spans="1:6">
      <c r="A2" s="3466"/>
    </row>
    <row r="3" spans="1:6" s="3468" customFormat="1">
      <c r="A3" s="3467" t="s">
        <v>3403</v>
      </c>
    </row>
    <row r="4" spans="1:6">
      <c r="A4" s="3466"/>
    </row>
    <row r="44" spans="1:1" s="3468" customFormat="1">
      <c r="A44" s="3467" t="s">
        <v>3404</v>
      </c>
    </row>
    <row r="86" spans="1:1" s="3468" customFormat="1">
      <c r="A86" s="3467" t="s">
        <v>3405</v>
      </c>
    </row>
    <row r="112" spans="1:1" s="3468" customFormat="1">
      <c r="A112" s="3467"/>
    </row>
    <row r="157" spans="1:2" s="3470" customFormat="1">
      <c r="A157" s="3469" t="s">
        <v>3407</v>
      </c>
      <c r="B157" s="3470">
        <f>'数据-汇总表'!I6</f>
        <v>3.47</v>
      </c>
    </row>
    <row r="159" spans="1:2" s="3468" customFormat="1">
      <c r="A159" s="3467" t="s">
        <v>3408</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5" t="s">
        <v>2610</v>
      </c>
      <c r="B20" s="3778" t="s">
        <v>2631</v>
      </c>
      <c r="C20" s="3103" t="s">
        <v>2442</v>
      </c>
      <c r="D20" s="3104"/>
      <c r="E20" s="3105">
        <v>1</v>
      </c>
      <c r="F20" s="3106" t="s">
        <v>2443</v>
      </c>
      <c r="G20" s="3106"/>
    </row>
    <row r="21" spans="1:13" ht="19.5" customHeight="1">
      <c r="A21" s="3786"/>
      <c r="B21" s="3779"/>
      <c r="C21" s="3107" t="s">
        <v>2444</v>
      </c>
      <c r="D21" s="3108"/>
      <c r="E21" s="3109">
        <v>1</v>
      </c>
      <c r="F21" s="3106" t="s">
        <v>2445</v>
      </c>
      <c r="G21" s="3106"/>
    </row>
    <row r="22" spans="1:13" ht="19.5" customHeight="1">
      <c r="A22" s="3786"/>
      <c r="B22" s="3779"/>
      <c r="C22" s="3107" t="s">
        <v>2446</v>
      </c>
      <c r="D22" s="3108"/>
      <c r="E22" s="3109">
        <v>0.9</v>
      </c>
      <c r="F22" s="3106" t="s">
        <v>2447</v>
      </c>
      <c r="G22" s="3106"/>
    </row>
    <row r="23" spans="1:13" ht="19.5" customHeight="1">
      <c r="A23" s="3786"/>
      <c r="B23" s="3779"/>
      <c r="C23" s="3107" t="s">
        <v>2448</v>
      </c>
      <c r="D23" s="3108"/>
      <c r="E23" s="3109">
        <v>0.9</v>
      </c>
      <c r="F23" s="3106" t="s">
        <v>2449</v>
      </c>
      <c r="G23" s="3106"/>
    </row>
    <row r="24" spans="1:13" ht="19.5" customHeight="1">
      <c r="A24" s="3786"/>
      <c r="B24" s="3779"/>
      <c r="C24" s="3107" t="s">
        <v>2450</v>
      </c>
      <c r="D24" s="3108"/>
      <c r="E24" s="3109">
        <v>0.8</v>
      </c>
      <c r="F24" s="3106" t="s">
        <v>2451</v>
      </c>
      <c r="G24" s="3106"/>
    </row>
    <row r="25" spans="1:13" ht="19.5" customHeight="1" thickBot="1">
      <c r="A25" s="3787"/>
      <c r="B25" s="3780"/>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1" t="s">
        <v>2634</v>
      </c>
      <c r="B27" s="3778" t="s">
        <v>2615</v>
      </c>
      <c r="C27" s="3103" t="s">
        <v>2455</v>
      </c>
      <c r="D27" s="3104"/>
      <c r="E27" s="3105">
        <v>1</v>
      </c>
      <c r="F27" s="3106" t="s">
        <v>2456</v>
      </c>
      <c r="G27" s="3106"/>
    </row>
    <row r="28" spans="1:13" ht="19.5" customHeight="1">
      <c r="A28" s="3782"/>
      <c r="B28" s="3779"/>
      <c r="C28" s="3107" t="s">
        <v>2457</v>
      </c>
      <c r="D28" s="3108"/>
      <c r="E28" s="3109">
        <v>1</v>
      </c>
      <c r="F28" s="3106" t="s">
        <v>2458</v>
      </c>
      <c r="G28" s="3106"/>
    </row>
    <row r="29" spans="1:13" ht="19.5" customHeight="1">
      <c r="A29" s="3782"/>
      <c r="B29" s="3779"/>
      <c r="C29" s="3107" t="s">
        <v>2459</v>
      </c>
      <c r="D29" s="3108"/>
      <c r="E29" s="3109">
        <v>0.8</v>
      </c>
      <c r="F29" s="3106" t="s">
        <v>2460</v>
      </c>
      <c r="G29" s="3106"/>
    </row>
    <row r="30" spans="1:13" ht="19.5" customHeight="1">
      <c r="A30" s="3782"/>
      <c r="B30" s="3779"/>
      <c r="C30" s="3107" t="s">
        <v>2461</v>
      </c>
      <c r="D30" s="3108"/>
      <c r="E30" s="3109">
        <v>0.8</v>
      </c>
      <c r="F30" s="3106" t="s">
        <v>2462</v>
      </c>
      <c r="G30" s="3106"/>
    </row>
    <row r="31" spans="1:13" ht="19.5" customHeight="1">
      <c r="A31" s="3782"/>
      <c r="B31" s="3779"/>
      <c r="C31" s="3107" t="s">
        <v>2463</v>
      </c>
      <c r="D31" s="3108"/>
      <c r="E31" s="3109">
        <v>0.8</v>
      </c>
      <c r="F31" s="3106" t="s">
        <v>2464</v>
      </c>
      <c r="G31" s="3106"/>
    </row>
    <row r="32" spans="1:13" ht="19.5" customHeight="1">
      <c r="A32" s="3782"/>
      <c r="B32" s="3779"/>
      <c r="C32" s="3107" t="s">
        <v>2465</v>
      </c>
      <c r="D32" s="3108"/>
      <c r="E32" s="3109">
        <v>0.7</v>
      </c>
      <c r="F32" s="3106" t="s">
        <v>2466</v>
      </c>
      <c r="G32" s="3106"/>
    </row>
    <row r="33" spans="1:7" ht="19.5" customHeight="1">
      <c r="A33" s="3782"/>
      <c r="B33" s="3779"/>
      <c r="C33" s="3107" t="s">
        <v>2467</v>
      </c>
      <c r="D33" s="3108"/>
      <c r="E33" s="3109">
        <v>0.8</v>
      </c>
      <c r="F33" s="3106" t="s">
        <v>2468</v>
      </c>
      <c r="G33" s="3106"/>
    </row>
    <row r="34" spans="1:7" ht="19.5" customHeight="1">
      <c r="A34" s="3782"/>
      <c r="B34" s="3779"/>
      <c r="C34" s="3107" t="s">
        <v>2469</v>
      </c>
      <c r="D34" s="3108"/>
      <c r="E34" s="3109">
        <v>0.6</v>
      </c>
      <c r="F34" s="3106" t="s">
        <v>2470</v>
      </c>
      <c r="G34" s="3106"/>
    </row>
    <row r="35" spans="1:7" ht="19.5" customHeight="1">
      <c r="A35" s="3782"/>
      <c r="B35" s="3779"/>
      <c r="C35" s="3107" t="s">
        <v>2471</v>
      </c>
      <c r="D35" s="3108"/>
      <c r="E35" s="3109">
        <v>0.2</v>
      </c>
      <c r="F35" s="3106" t="s">
        <v>2472</v>
      </c>
      <c r="G35" s="3106"/>
    </row>
    <row r="36" spans="1:7" ht="19.5" customHeight="1">
      <c r="A36" s="3782"/>
      <c r="B36" s="3779"/>
      <c r="C36" s="3107" t="s">
        <v>2473</v>
      </c>
      <c r="D36" s="3108"/>
      <c r="E36" s="3109">
        <v>0.2</v>
      </c>
      <c r="F36" s="3106" t="s">
        <v>2474</v>
      </c>
      <c r="G36" s="3106"/>
    </row>
    <row r="37" spans="1:7" ht="19.5" customHeight="1">
      <c r="A37" s="3782"/>
      <c r="B37" s="3784" t="s">
        <v>2635</v>
      </c>
      <c r="C37" s="3107" t="s">
        <v>2475</v>
      </c>
      <c r="D37" s="3108"/>
      <c r="E37" s="3109">
        <v>0.6</v>
      </c>
      <c r="F37" s="3106" t="s">
        <v>2476</v>
      </c>
      <c r="G37" s="3106"/>
    </row>
    <row r="38" spans="1:7" ht="19.5" customHeight="1">
      <c r="A38" s="3782"/>
      <c r="B38" s="3779"/>
      <c r="C38" s="3107" t="s">
        <v>2477</v>
      </c>
      <c r="D38" s="3108"/>
      <c r="E38" s="3109">
        <v>0.6</v>
      </c>
      <c r="F38" s="3106" t="s">
        <v>2478</v>
      </c>
      <c r="G38" s="3106"/>
    </row>
    <row r="39" spans="1:7" ht="19.5" customHeight="1" thickBot="1">
      <c r="A39" s="3783"/>
      <c r="B39" s="3780"/>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5" t="s">
        <v>2613</v>
      </c>
      <c r="B41" s="3778" t="s">
        <v>2637</v>
      </c>
      <c r="C41" s="3103" t="s">
        <v>2482</v>
      </c>
      <c r="D41" s="3104"/>
      <c r="E41" s="3105">
        <v>1</v>
      </c>
      <c r="F41" s="3106" t="s">
        <v>2483</v>
      </c>
      <c r="G41" s="3106"/>
    </row>
    <row r="42" spans="1:7" ht="19.5" customHeight="1">
      <c r="A42" s="3786"/>
      <c r="B42" s="3779"/>
      <c r="C42" s="3107" t="s">
        <v>2484</v>
      </c>
      <c r="D42" s="3108"/>
      <c r="E42" s="3109">
        <v>1</v>
      </c>
      <c r="F42" s="3106" t="s">
        <v>2485</v>
      </c>
      <c r="G42" s="3106"/>
    </row>
    <row r="43" spans="1:7" ht="19.5" customHeight="1">
      <c r="A43" s="3786"/>
      <c r="B43" s="3788"/>
      <c r="C43" s="3107" t="s">
        <v>2486</v>
      </c>
      <c r="D43" s="3108"/>
      <c r="E43" s="3109">
        <v>1.5</v>
      </c>
      <c r="F43" s="3106" t="s">
        <v>2487</v>
      </c>
      <c r="G43" s="3106"/>
    </row>
    <row r="44" spans="1:7" ht="19.5" customHeight="1">
      <c r="A44" s="3786"/>
      <c r="B44" s="3118" t="s">
        <v>2638</v>
      </c>
      <c r="C44" s="3107" t="s">
        <v>2639</v>
      </c>
      <c r="D44" s="3108"/>
      <c r="E44" s="3109">
        <v>2</v>
      </c>
      <c r="F44" s="3106" t="s">
        <v>2488</v>
      </c>
      <c r="G44" s="3106"/>
    </row>
    <row r="45" spans="1:7" ht="19.5" customHeight="1">
      <c r="A45" s="3786"/>
      <c r="B45" s="3784" t="s">
        <v>2640</v>
      </c>
      <c r="C45" s="3107" t="s">
        <v>2489</v>
      </c>
      <c r="D45" s="3108"/>
      <c r="E45" s="3109">
        <v>1</v>
      </c>
      <c r="F45" s="3106" t="s">
        <v>2490</v>
      </c>
      <c r="G45" s="3106"/>
    </row>
    <row r="46" spans="1:7" ht="19.5" customHeight="1">
      <c r="A46" s="3786"/>
      <c r="B46" s="3779"/>
      <c r="C46" s="3107" t="s">
        <v>2491</v>
      </c>
      <c r="D46" s="3108"/>
      <c r="E46" s="3109">
        <v>1</v>
      </c>
      <c r="F46" s="3106" t="s">
        <v>2492</v>
      </c>
      <c r="G46" s="3106"/>
    </row>
    <row r="47" spans="1:7" ht="19.5" customHeight="1">
      <c r="A47" s="3786"/>
      <c r="B47" s="3779"/>
      <c r="C47" s="3107" t="s">
        <v>2493</v>
      </c>
      <c r="D47" s="3108"/>
      <c r="E47" s="3109">
        <v>1</v>
      </c>
      <c r="F47" s="3106" t="s">
        <v>2494</v>
      </c>
      <c r="G47" s="3106"/>
    </row>
    <row r="48" spans="1:7" ht="19.5" customHeight="1">
      <c r="A48" s="3786"/>
      <c r="B48" s="3779"/>
      <c r="C48" s="3107" t="s">
        <v>2495</v>
      </c>
      <c r="D48" s="3108"/>
      <c r="E48" s="3109">
        <v>1</v>
      </c>
      <c r="F48" s="3106" t="s">
        <v>2496</v>
      </c>
      <c r="G48" s="3106"/>
    </row>
    <row r="49" spans="1:7" ht="19.5" customHeight="1">
      <c r="A49" s="3786"/>
      <c r="B49" s="3779"/>
      <c r="C49" s="3107" t="s">
        <v>2497</v>
      </c>
      <c r="D49" s="3108"/>
      <c r="E49" s="3109">
        <v>1</v>
      </c>
      <c r="F49" s="3106" t="s">
        <v>2498</v>
      </c>
      <c r="G49" s="3106"/>
    </row>
    <row r="50" spans="1:7" ht="19.5" customHeight="1">
      <c r="A50" s="3786"/>
      <c r="B50" s="3779"/>
      <c r="C50" s="3107" t="s">
        <v>2499</v>
      </c>
      <c r="D50" s="3108"/>
      <c r="E50" s="3109">
        <v>1</v>
      </c>
      <c r="F50" s="3106" t="s">
        <v>2500</v>
      </c>
      <c r="G50" s="3106"/>
    </row>
    <row r="51" spans="1:7" ht="19.5" customHeight="1" thickBot="1">
      <c r="A51" s="3787"/>
      <c r="B51" s="3780"/>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4" t="s">
        <v>2654</v>
      </c>
      <c r="C73" s="3092" t="s">
        <v>2655</v>
      </c>
      <c r="D73" s="3092" t="s">
        <v>2656</v>
      </c>
      <c r="E73" s="3118">
        <v>0.2</v>
      </c>
      <c r="F73" s="3118">
        <v>25</v>
      </c>
    </row>
    <row r="74" spans="1:7" ht="24">
      <c r="A74" s="3118">
        <v>2</v>
      </c>
      <c r="B74" s="3779"/>
      <c r="C74" s="3092" t="s">
        <v>2657</v>
      </c>
      <c r="D74" s="3092" t="s">
        <v>2658</v>
      </c>
      <c r="E74" s="3118">
        <v>0.2</v>
      </c>
      <c r="F74" s="3118">
        <v>25</v>
      </c>
    </row>
    <row r="75" spans="1:7" ht="24">
      <c r="A75" s="3118">
        <v>3</v>
      </c>
      <c r="B75" s="3779"/>
      <c r="C75" s="3092" t="s">
        <v>2659</v>
      </c>
      <c r="D75" s="3092" t="s">
        <v>2660</v>
      </c>
      <c r="E75" s="3118">
        <v>0.2</v>
      </c>
      <c r="F75" s="3118">
        <v>25</v>
      </c>
    </row>
    <row r="76" spans="1:7" ht="13.5">
      <c r="A76" s="3118">
        <v>4</v>
      </c>
      <c r="B76" s="3779"/>
      <c r="C76" s="3092" t="s">
        <v>2661</v>
      </c>
      <c r="D76" s="3092" t="s">
        <v>2662</v>
      </c>
      <c r="E76" s="3118">
        <v>0.15</v>
      </c>
      <c r="F76" s="3118">
        <v>20</v>
      </c>
    </row>
    <row r="77" spans="1:7" ht="24">
      <c r="A77" s="3118">
        <v>5</v>
      </c>
      <c r="B77" s="3779"/>
      <c r="C77" s="3092" t="s">
        <v>2663</v>
      </c>
      <c r="D77" s="3092" t="s">
        <v>2664</v>
      </c>
      <c r="E77" s="3118">
        <v>0.15</v>
      </c>
      <c r="F77" s="3118">
        <v>20</v>
      </c>
    </row>
    <row r="78" spans="1:7" ht="24">
      <c r="A78" s="3118">
        <v>6</v>
      </c>
      <c r="B78" s="3779"/>
      <c r="C78" s="3092" t="s">
        <v>2665</v>
      </c>
      <c r="D78" s="3092" t="s">
        <v>2666</v>
      </c>
      <c r="E78" s="3118">
        <v>0.15</v>
      </c>
      <c r="F78" s="3118">
        <v>20</v>
      </c>
    </row>
    <row r="79" spans="1:7" ht="24">
      <c r="A79" s="3118">
        <v>7</v>
      </c>
      <c r="B79" s="3779"/>
      <c r="C79" s="3092" t="s">
        <v>2667</v>
      </c>
      <c r="D79" s="3092" t="s">
        <v>2668</v>
      </c>
      <c r="E79" s="3118">
        <v>0.15</v>
      </c>
      <c r="F79" s="3118">
        <v>20</v>
      </c>
    </row>
    <row r="80" spans="1:7" ht="24">
      <c r="A80" s="3118">
        <v>8</v>
      </c>
      <c r="B80" s="3779"/>
      <c r="C80" s="3092" t="s">
        <v>2669</v>
      </c>
      <c r="D80" s="3092" t="s">
        <v>2670</v>
      </c>
      <c r="E80" s="3118">
        <v>0.1</v>
      </c>
      <c r="F80" s="3118">
        <v>15</v>
      </c>
    </row>
    <row r="81" spans="1:6" ht="24">
      <c r="A81" s="3118">
        <v>9</v>
      </c>
      <c r="B81" s="3779"/>
      <c r="C81" s="3092" t="s">
        <v>2671</v>
      </c>
      <c r="D81" s="3092" t="s">
        <v>2672</v>
      </c>
      <c r="E81" s="3118">
        <v>0.1</v>
      </c>
      <c r="F81" s="3118">
        <v>15</v>
      </c>
    </row>
    <row r="82" spans="1:6" ht="24">
      <c r="A82" s="3118">
        <v>10</v>
      </c>
      <c r="B82" s="3779"/>
      <c r="C82" s="3092" t="s">
        <v>2673</v>
      </c>
      <c r="D82" s="3092" t="s">
        <v>2674</v>
      </c>
      <c r="E82" s="3118">
        <v>0.1</v>
      </c>
      <c r="F82" s="3118">
        <v>15</v>
      </c>
    </row>
    <row r="83" spans="1:6" ht="24">
      <c r="A83" s="3118">
        <v>11</v>
      </c>
      <c r="B83" s="3779"/>
      <c r="C83" s="3092" t="s">
        <v>2675</v>
      </c>
      <c r="D83" s="3092" t="s">
        <v>2676</v>
      </c>
      <c r="E83" s="3118">
        <v>0.1</v>
      </c>
      <c r="F83" s="3118">
        <v>15</v>
      </c>
    </row>
    <row r="84" spans="1:6" ht="24">
      <c r="A84" s="3118">
        <v>12</v>
      </c>
      <c r="B84" s="3779"/>
      <c r="C84" s="3092" t="s">
        <v>2677</v>
      </c>
      <c r="D84" s="3092" t="s">
        <v>2678</v>
      </c>
      <c r="E84" s="3118">
        <v>0.1</v>
      </c>
      <c r="F84" s="3118">
        <v>15</v>
      </c>
    </row>
    <row r="85" spans="1:6" ht="13.5">
      <c r="A85" s="3118">
        <v>13</v>
      </c>
      <c r="B85" s="3779"/>
      <c r="C85" s="3092" t="s">
        <v>2679</v>
      </c>
      <c r="D85" s="3092" t="s">
        <v>2680</v>
      </c>
      <c r="E85" s="3118">
        <v>0.1</v>
      </c>
      <c r="F85" s="3118">
        <v>15</v>
      </c>
    </row>
    <row r="86" spans="1:6" ht="13.5">
      <c r="A86" s="3118">
        <v>14</v>
      </c>
      <c r="B86" s="3779"/>
      <c r="C86" s="3092" t="s">
        <v>2681</v>
      </c>
      <c r="D86" s="3092" t="s">
        <v>2682</v>
      </c>
      <c r="E86" s="3118">
        <v>0.1</v>
      </c>
      <c r="F86" s="3118">
        <v>15</v>
      </c>
    </row>
    <row r="87" spans="1:6" ht="13.5">
      <c r="A87" s="3118">
        <v>15</v>
      </c>
      <c r="B87" s="3779"/>
      <c r="C87" s="3092" t="s">
        <v>2683</v>
      </c>
      <c r="D87" s="3092" t="s">
        <v>2684</v>
      </c>
      <c r="E87" s="3118">
        <v>0.1</v>
      </c>
      <c r="F87" s="3118">
        <v>15</v>
      </c>
    </row>
    <row r="88" spans="1:6" ht="24">
      <c r="A88" s="3118">
        <v>16</v>
      </c>
      <c r="B88" s="3779"/>
      <c r="C88" s="3092" t="s">
        <v>2685</v>
      </c>
      <c r="D88" s="3092" t="s">
        <v>2686</v>
      </c>
      <c r="E88" s="3118">
        <v>0.1</v>
      </c>
      <c r="F88" s="3118">
        <v>15</v>
      </c>
    </row>
    <row r="89" spans="1:6" ht="24">
      <c r="A89" s="3118">
        <v>17</v>
      </c>
      <c r="B89" s="3788"/>
      <c r="C89" s="3092" t="s">
        <v>2687</v>
      </c>
      <c r="D89" s="3092" t="s">
        <v>2688</v>
      </c>
      <c r="E89" s="3118">
        <v>0.1</v>
      </c>
      <c r="F89" s="3118">
        <v>15</v>
      </c>
    </row>
    <row r="90" spans="1:6" ht="13.5">
      <c r="A90" s="3118">
        <v>18</v>
      </c>
      <c r="B90" s="3784" t="s">
        <v>2689</v>
      </c>
      <c r="C90" s="3092" t="s">
        <v>2690</v>
      </c>
      <c r="D90" s="3092" t="s">
        <v>2691</v>
      </c>
      <c r="E90" s="3118">
        <v>0.2</v>
      </c>
      <c r="F90" s="3118">
        <v>25</v>
      </c>
    </row>
    <row r="91" spans="1:6" ht="24">
      <c r="A91" s="3118">
        <v>19</v>
      </c>
      <c r="B91" s="3779"/>
      <c r="C91" s="3092" t="s">
        <v>2692</v>
      </c>
      <c r="D91" s="3092" t="s">
        <v>2693</v>
      </c>
      <c r="E91" s="3118">
        <v>0.2</v>
      </c>
      <c r="F91" s="3118">
        <v>25</v>
      </c>
    </row>
    <row r="92" spans="1:6" ht="13.5">
      <c r="A92" s="3118">
        <v>20</v>
      </c>
      <c r="B92" s="3779"/>
      <c r="C92" s="3092" t="s">
        <v>2694</v>
      </c>
      <c r="D92" s="3092" t="s">
        <v>2695</v>
      </c>
      <c r="E92" s="3118">
        <v>0.15</v>
      </c>
      <c r="F92" s="3118">
        <v>20</v>
      </c>
    </row>
    <row r="93" spans="1:6" ht="13.5">
      <c r="A93" s="3118">
        <v>21</v>
      </c>
      <c r="B93" s="3779"/>
      <c r="C93" s="3092" t="s">
        <v>2696</v>
      </c>
      <c r="D93" s="3092" t="s">
        <v>2697</v>
      </c>
      <c r="E93" s="3118">
        <v>0.15</v>
      </c>
      <c r="F93" s="3118">
        <v>20</v>
      </c>
    </row>
    <row r="94" spans="1:6" ht="13.5">
      <c r="A94" s="3118">
        <v>22</v>
      </c>
      <c r="B94" s="3779"/>
      <c r="C94" s="3092" t="s">
        <v>2698</v>
      </c>
      <c r="D94" s="3092" t="s">
        <v>2699</v>
      </c>
      <c r="E94" s="3118">
        <v>0.15</v>
      </c>
      <c r="F94" s="3118">
        <v>20</v>
      </c>
    </row>
    <row r="95" spans="1:6" ht="36">
      <c r="A95" s="3118">
        <v>23</v>
      </c>
      <c r="B95" s="3779"/>
      <c r="C95" s="3092" t="s">
        <v>2700</v>
      </c>
      <c r="D95" s="3092" t="s">
        <v>2701</v>
      </c>
      <c r="E95" s="3118">
        <v>0.15</v>
      </c>
      <c r="F95" s="3118">
        <v>20</v>
      </c>
    </row>
    <row r="96" spans="1:6" ht="13.5">
      <c r="A96" s="3118">
        <v>24</v>
      </c>
      <c r="B96" s="3779"/>
      <c r="C96" s="3092" t="s">
        <v>2702</v>
      </c>
      <c r="D96" s="3092" t="s">
        <v>2703</v>
      </c>
      <c r="E96" s="3118">
        <v>0.1</v>
      </c>
      <c r="F96" s="3118">
        <v>15</v>
      </c>
    </row>
    <row r="97" spans="1:6" ht="13.5">
      <c r="A97" s="3118">
        <v>25</v>
      </c>
      <c r="B97" s="3779"/>
      <c r="C97" s="3092" t="s">
        <v>2704</v>
      </c>
      <c r="D97" s="3092" t="s">
        <v>2705</v>
      </c>
      <c r="E97" s="3118">
        <v>0.1</v>
      </c>
      <c r="F97" s="3118">
        <v>15</v>
      </c>
    </row>
    <row r="98" spans="1:6" ht="24">
      <c r="A98" s="3118">
        <v>26</v>
      </c>
      <c r="B98" s="3779"/>
      <c r="C98" s="3092" t="s">
        <v>2706</v>
      </c>
      <c r="D98" s="3092" t="s">
        <v>2707</v>
      </c>
      <c r="E98" s="3118">
        <v>0.1</v>
      </c>
      <c r="F98" s="3118">
        <v>15</v>
      </c>
    </row>
    <row r="99" spans="1:6" ht="24">
      <c r="A99" s="3118">
        <v>27</v>
      </c>
      <c r="B99" s="3779"/>
      <c r="C99" s="3092" t="s">
        <v>2708</v>
      </c>
      <c r="D99" s="3092" t="s">
        <v>2709</v>
      </c>
      <c r="E99" s="3118">
        <v>0.1</v>
      </c>
      <c r="F99" s="3118">
        <v>15</v>
      </c>
    </row>
    <row r="100" spans="1:6" ht="13.5">
      <c r="A100" s="3118">
        <v>28</v>
      </c>
      <c r="B100" s="3779"/>
      <c r="C100" s="3092" t="s">
        <v>2710</v>
      </c>
      <c r="D100" s="3092" t="s">
        <v>2711</v>
      </c>
      <c r="E100" s="3118">
        <v>0.1</v>
      </c>
      <c r="F100" s="3118">
        <v>15</v>
      </c>
    </row>
    <row r="101" spans="1:6" ht="13.5">
      <c r="A101" s="3118">
        <v>29</v>
      </c>
      <c r="B101" s="3779"/>
      <c r="C101" s="3092" t="s">
        <v>2712</v>
      </c>
      <c r="D101" s="3092" t="s">
        <v>2713</v>
      </c>
      <c r="E101" s="3118">
        <v>0.1</v>
      </c>
      <c r="F101" s="3118">
        <v>15</v>
      </c>
    </row>
    <row r="102" spans="1:6" ht="13.5">
      <c r="A102" s="3118">
        <v>30</v>
      </c>
      <c r="B102" s="3779"/>
      <c r="C102" s="3092" t="s">
        <v>2714</v>
      </c>
      <c r="D102" s="3092" t="s">
        <v>2715</v>
      </c>
      <c r="E102" s="3118">
        <v>0.1</v>
      </c>
      <c r="F102" s="3118">
        <v>15</v>
      </c>
    </row>
    <row r="103" spans="1:6" ht="24">
      <c r="A103" s="3118">
        <v>31</v>
      </c>
      <c r="B103" s="3779"/>
      <c r="C103" s="3092" t="s">
        <v>2716</v>
      </c>
      <c r="D103" s="3092" t="s">
        <v>2717</v>
      </c>
      <c r="E103" s="3118">
        <v>0.1</v>
      </c>
      <c r="F103" s="3118">
        <v>15</v>
      </c>
    </row>
    <row r="104" spans="1:6" ht="24">
      <c r="A104" s="3118">
        <v>32</v>
      </c>
      <c r="B104" s="3779"/>
      <c r="C104" s="3092" t="s">
        <v>2718</v>
      </c>
      <c r="D104" s="3092" t="s">
        <v>2719</v>
      </c>
      <c r="E104" s="3118">
        <v>0.1</v>
      </c>
      <c r="F104" s="3118">
        <v>15</v>
      </c>
    </row>
    <row r="105" spans="1:6" ht="24">
      <c r="A105" s="3118">
        <v>33</v>
      </c>
      <c r="B105" s="3779"/>
      <c r="C105" s="3092" t="s">
        <v>2720</v>
      </c>
      <c r="D105" s="3092" t="s">
        <v>2721</v>
      </c>
      <c r="E105" s="3118">
        <v>0.1</v>
      </c>
      <c r="F105" s="3118">
        <v>15</v>
      </c>
    </row>
    <row r="106" spans="1:6" ht="24">
      <c r="A106" s="3118">
        <v>34</v>
      </c>
      <c r="B106" s="3788"/>
      <c r="C106" s="3092" t="s">
        <v>2722</v>
      </c>
      <c r="D106" s="3092" t="s">
        <v>2723</v>
      </c>
      <c r="E106" s="3118">
        <v>0.1</v>
      </c>
      <c r="F106" s="3118">
        <v>15</v>
      </c>
    </row>
    <row r="107" spans="1:6" ht="24">
      <c r="A107" s="3118">
        <v>35</v>
      </c>
      <c r="B107" s="3784" t="s">
        <v>2724</v>
      </c>
      <c r="C107" s="3118" t="s">
        <v>2725</v>
      </c>
      <c r="D107" s="3092" t="s">
        <v>2726</v>
      </c>
      <c r="E107" s="3118">
        <v>0.15</v>
      </c>
      <c r="F107" s="3118">
        <v>20</v>
      </c>
    </row>
    <row r="108" spans="1:6" ht="13.5">
      <c r="A108" s="3118">
        <v>36</v>
      </c>
      <c r="B108" s="3779"/>
      <c r="C108" s="3118" t="s">
        <v>2727</v>
      </c>
      <c r="D108" s="3092" t="s">
        <v>2728</v>
      </c>
      <c r="E108" s="3118">
        <v>0.15</v>
      </c>
      <c r="F108" s="3118">
        <v>20</v>
      </c>
    </row>
    <row r="109" spans="1:6" ht="13.5">
      <c r="A109" s="3118">
        <v>37</v>
      </c>
      <c r="B109" s="3779"/>
      <c r="C109" s="3118" t="s">
        <v>2729</v>
      </c>
      <c r="D109" s="3092" t="s">
        <v>2730</v>
      </c>
      <c r="E109" s="3118">
        <v>0.15</v>
      </c>
      <c r="F109" s="3118">
        <v>20</v>
      </c>
    </row>
    <row r="110" spans="1:6" ht="13.5">
      <c r="A110" s="3118">
        <v>38</v>
      </c>
      <c r="B110" s="3779"/>
      <c r="C110" s="3118" t="s">
        <v>2731</v>
      </c>
      <c r="D110" s="3092" t="s">
        <v>2732</v>
      </c>
      <c r="E110" s="3118">
        <v>0.1</v>
      </c>
      <c r="F110" s="3118">
        <v>15</v>
      </c>
    </row>
    <row r="111" spans="1:6" ht="24">
      <c r="A111" s="3118">
        <v>39</v>
      </c>
      <c r="B111" s="3779"/>
      <c r="C111" s="3118" t="s">
        <v>2733</v>
      </c>
      <c r="D111" s="3092" t="s">
        <v>2734</v>
      </c>
      <c r="E111" s="3118">
        <v>0.1</v>
      </c>
      <c r="F111" s="3118">
        <v>15</v>
      </c>
    </row>
    <row r="112" spans="1:6" ht="24">
      <c r="A112" s="3118">
        <v>40</v>
      </c>
      <c r="B112" s="3788"/>
      <c r="C112" s="3118" t="s">
        <v>2735</v>
      </c>
      <c r="D112" s="3092" t="s">
        <v>2736</v>
      </c>
      <c r="E112" s="3118">
        <v>0.1</v>
      </c>
      <c r="F112" s="3118">
        <v>15</v>
      </c>
    </row>
    <row r="113" spans="1:6" ht="13.5">
      <c r="A113" s="3118">
        <v>41</v>
      </c>
      <c r="B113" s="3789" t="s">
        <v>2737</v>
      </c>
      <c r="C113" s="3118" t="s">
        <v>2738</v>
      </c>
      <c r="D113" s="3092" t="s">
        <v>2739</v>
      </c>
      <c r="E113" s="3118">
        <v>0.1</v>
      </c>
      <c r="F113" s="3118">
        <v>15</v>
      </c>
    </row>
    <row r="114" spans="1:6" ht="13.5">
      <c r="A114" s="3118">
        <v>42</v>
      </c>
      <c r="B114" s="3789"/>
      <c r="C114" s="3118" t="s">
        <v>2740</v>
      </c>
      <c r="D114" s="3092" t="s">
        <v>2741</v>
      </c>
      <c r="E114" s="3118">
        <v>0.1</v>
      </c>
      <c r="F114" s="3118">
        <v>15</v>
      </c>
    </row>
    <row r="115" spans="1:6" ht="24">
      <c r="A115" s="3118">
        <v>43</v>
      </c>
      <c r="B115" s="3789"/>
      <c r="C115" s="3118" t="s">
        <v>2742</v>
      </c>
      <c r="D115" s="3092" t="s">
        <v>2743</v>
      </c>
      <c r="E115" s="3118">
        <v>0.1</v>
      </c>
      <c r="F115" s="3118">
        <v>15</v>
      </c>
    </row>
    <row r="116" spans="1:6" ht="13.5">
      <c r="A116" s="3118">
        <v>44</v>
      </c>
      <c r="B116" s="3784" t="s">
        <v>2744</v>
      </c>
      <c r="C116" s="3118" t="s">
        <v>2745</v>
      </c>
      <c r="D116" s="3092" t="s">
        <v>2746</v>
      </c>
      <c r="E116" s="3118">
        <v>0.1</v>
      </c>
      <c r="F116" s="3118">
        <v>15</v>
      </c>
    </row>
    <row r="117" spans="1:6" ht="24">
      <c r="A117" s="3118">
        <v>45</v>
      </c>
      <c r="B117" s="3788"/>
      <c r="C117" s="3092" t="s">
        <v>2747</v>
      </c>
      <c r="D117" s="3092" t="s">
        <v>2748</v>
      </c>
      <c r="E117" s="3118">
        <v>0.1</v>
      </c>
      <c r="F117" s="3118">
        <v>15</v>
      </c>
    </row>
    <row r="118" spans="1:6" ht="24">
      <c r="A118" s="3118">
        <v>46</v>
      </c>
      <c r="B118" s="3784" t="s">
        <v>2749</v>
      </c>
      <c r="C118" s="3118" t="s">
        <v>2750</v>
      </c>
      <c r="D118" s="3092" t="s">
        <v>2751</v>
      </c>
      <c r="E118" s="3118">
        <v>0.1</v>
      </c>
      <c r="F118" s="3118">
        <v>15</v>
      </c>
    </row>
    <row r="119" spans="1:6" ht="24">
      <c r="A119" s="3118">
        <v>47</v>
      </c>
      <c r="B119" s="3788"/>
      <c r="C119" s="3118" t="s">
        <v>2752</v>
      </c>
      <c r="D119" s="3092" t="s">
        <v>2753</v>
      </c>
      <c r="E119" s="3118">
        <v>0.1</v>
      </c>
      <c r="F119" s="3118">
        <v>15</v>
      </c>
    </row>
    <row r="120" spans="1:6" ht="13.5">
      <c r="A120" s="3118">
        <v>48</v>
      </c>
      <c r="B120" s="3784" t="s">
        <v>2754</v>
      </c>
      <c r="C120" s="3118" t="s">
        <v>2755</v>
      </c>
      <c r="D120" s="3092" t="s">
        <v>2756</v>
      </c>
      <c r="E120" s="3118">
        <v>0.1</v>
      </c>
      <c r="F120" s="3118">
        <v>15</v>
      </c>
    </row>
    <row r="121" spans="1:6" ht="13.5">
      <c r="A121" s="3118">
        <v>49</v>
      </c>
      <c r="B121" s="3788"/>
      <c r="C121" s="3118" t="s">
        <v>2757</v>
      </c>
      <c r="D121" s="3092" t="s">
        <v>2758</v>
      </c>
      <c r="E121" s="3118">
        <v>0.1</v>
      </c>
      <c r="F121" s="3118">
        <v>15</v>
      </c>
    </row>
    <row r="122" spans="1:6" ht="24">
      <c r="A122" s="3118">
        <v>50</v>
      </c>
      <c r="B122" s="3789" t="s">
        <v>2759</v>
      </c>
      <c r="C122" s="3118" t="s">
        <v>2760</v>
      </c>
      <c r="D122" s="3092" t="s">
        <v>2761</v>
      </c>
      <c r="E122" s="3118">
        <v>0.1</v>
      </c>
      <c r="F122" s="3118">
        <v>15</v>
      </c>
    </row>
    <row r="123" spans="1:6" ht="24">
      <c r="A123" s="3118">
        <v>51</v>
      </c>
      <c r="B123" s="3789"/>
      <c r="C123" s="3118" t="s">
        <v>2762</v>
      </c>
      <c r="D123" s="3092" t="s">
        <v>2763</v>
      </c>
      <c r="E123" s="3118">
        <v>0.1</v>
      </c>
      <c r="F123" s="3118">
        <v>15</v>
      </c>
    </row>
    <row r="124" spans="1:6" ht="24">
      <c r="A124" s="3118">
        <v>52</v>
      </c>
      <c r="B124" s="3789" t="s">
        <v>2764</v>
      </c>
      <c r="C124" s="3118" t="s">
        <v>2765</v>
      </c>
      <c r="D124" s="3092" t="s">
        <v>2766</v>
      </c>
      <c r="E124" s="3118">
        <v>0.1</v>
      </c>
      <c r="F124" s="3118">
        <v>15</v>
      </c>
    </row>
    <row r="125" spans="1:6" ht="24">
      <c r="A125" s="3118">
        <v>53</v>
      </c>
      <c r="B125" s="3789"/>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89" t="s">
        <v>2772</v>
      </c>
      <c r="C127" s="3118" t="s">
        <v>2773</v>
      </c>
      <c r="D127" s="3092" t="s">
        <v>2774</v>
      </c>
      <c r="E127" s="3118">
        <v>0.1</v>
      </c>
      <c r="F127" s="3118">
        <v>15</v>
      </c>
    </row>
    <row r="128" spans="1:6" ht="13.5">
      <c r="A128" s="3118">
        <v>56</v>
      </c>
      <c r="B128" s="3789"/>
      <c r="C128" s="3118" t="s">
        <v>2775</v>
      </c>
      <c r="D128" s="3092" t="s">
        <v>2776</v>
      </c>
      <c r="E128" s="3118">
        <v>0.1</v>
      </c>
      <c r="F128" s="3118">
        <v>15</v>
      </c>
    </row>
    <row r="129" spans="1:6" ht="24">
      <c r="A129" s="3118">
        <v>57</v>
      </c>
      <c r="B129" s="3789"/>
      <c r="C129" s="3118" t="s">
        <v>2777</v>
      </c>
      <c r="D129" s="3092" t="s">
        <v>2778</v>
      </c>
      <c r="E129" s="3118">
        <v>0.1</v>
      </c>
      <c r="F129" s="3118">
        <v>15</v>
      </c>
    </row>
    <row r="130" spans="1:6" ht="24">
      <c r="A130" s="3118">
        <v>58</v>
      </c>
      <c r="B130" s="3789" t="s">
        <v>2779</v>
      </c>
      <c r="C130" s="3118" t="s">
        <v>2780</v>
      </c>
      <c r="D130" s="3092" t="s">
        <v>2781</v>
      </c>
      <c r="E130" s="3118">
        <v>0.1</v>
      </c>
      <c r="F130" s="3118">
        <v>15</v>
      </c>
    </row>
    <row r="131" spans="1:6" ht="13.5">
      <c r="A131" s="3118">
        <v>59</v>
      </c>
      <c r="B131" s="3789"/>
      <c r="C131" s="3118" t="s">
        <v>2782</v>
      </c>
      <c r="D131" s="3092" t="s">
        <v>2783</v>
      </c>
      <c r="E131" s="3118">
        <v>0.1</v>
      </c>
      <c r="F131" s="3118">
        <v>15</v>
      </c>
    </row>
    <row r="132" spans="1:6" ht="13.5">
      <c r="A132" s="3118">
        <v>60</v>
      </c>
      <c r="B132" s="3784" t="s">
        <v>2784</v>
      </c>
      <c r="C132" s="3118" t="s">
        <v>2785</v>
      </c>
      <c r="D132" s="3092" t="s">
        <v>2786</v>
      </c>
      <c r="E132" s="3118">
        <v>0.1</v>
      </c>
      <c r="F132" s="3118">
        <v>15</v>
      </c>
    </row>
    <row r="133" spans="1:6" ht="13.5">
      <c r="A133" s="3118">
        <v>61</v>
      </c>
      <c r="B133" s="3788"/>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89" t="s">
        <v>2792</v>
      </c>
      <c r="C135" s="3118" t="s">
        <v>2793</v>
      </c>
      <c r="D135" s="3092" t="s">
        <v>2794</v>
      </c>
      <c r="E135" s="3118">
        <v>0.1</v>
      </c>
      <c r="F135" s="3118">
        <v>15</v>
      </c>
    </row>
    <row r="136" spans="1:6" ht="13.5">
      <c r="A136" s="3118">
        <v>64</v>
      </c>
      <c r="B136" s="3789"/>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0.9415</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0.89559999999999995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9.5" thickBot="1">
      <c r="A4" s="1493"/>
      <c r="B4" s="3475" t="s">
        <v>917</v>
      </c>
      <c r="C4" s="3475"/>
      <c r="D4" s="3475"/>
      <c r="E4" s="1493"/>
    </row>
    <row r="5" spans="1:5" ht="16.5" thickTop="1">
      <c r="A5" s="1491"/>
      <c r="B5" s="3473" t="s">
        <v>909</v>
      </c>
      <c r="C5" s="1494" t="s">
        <v>910</v>
      </c>
      <c r="D5" s="850" t="e">
        <f ca="1">结果表!H101</f>
        <v>#REF!</v>
      </c>
      <c r="E5" s="1491"/>
    </row>
    <row r="6" spans="1:5" ht="15.75">
      <c r="A6" s="1491"/>
      <c r="B6" s="3473"/>
      <c r="C6" s="1494" t="s">
        <v>911</v>
      </c>
      <c r="D6" s="850" t="e">
        <f ca="1">NUMBERSTRING(INT(D5*10000),2)&amp;"元整"</f>
        <v>#REF!</v>
      </c>
      <c r="E6" s="1491"/>
    </row>
    <row r="7" spans="1:5" ht="15.75">
      <c r="A7" s="1491"/>
      <c r="B7" s="3478"/>
      <c r="C7" s="1495" t="s">
        <v>912</v>
      </c>
      <c r="D7" s="851" t="e">
        <f ca="1">结果表!H102</f>
        <v>#REF!</v>
      </c>
      <c r="E7" s="1491"/>
    </row>
    <row r="8" spans="1:5" ht="15.75">
      <c r="A8" s="1491"/>
      <c r="B8" s="3479" t="str">
        <f>结果表!E103</f>
        <v>2.估价师知悉的法定优先受偿款</v>
      </c>
      <c r="C8" s="1496" t="s">
        <v>913</v>
      </c>
      <c r="D8" s="851">
        <f>结果表!H103</f>
        <v>0</v>
      </c>
      <c r="E8" s="1491"/>
    </row>
    <row r="9" spans="1:5" ht="15.75">
      <c r="A9" s="1491"/>
      <c r="B9" s="348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2" t="str">
        <f>结果表!E107</f>
        <v>3.房地产抵押价值</v>
      </c>
      <c r="C13" s="1499" t="s">
        <v>910</v>
      </c>
      <c r="D13" s="853" t="e">
        <f ca="1">结果表!H107</f>
        <v>#REF!</v>
      </c>
      <c r="E13" s="1491"/>
    </row>
    <row r="14" spans="1:5" ht="15.75">
      <c r="A14" s="1491"/>
      <c r="B14" s="3473"/>
      <c r="C14" s="1494" t="s">
        <v>911</v>
      </c>
      <c r="D14" s="850" t="e">
        <f ca="1">NUMBERSTRING(INT(D13*10000),2)&amp;"元整"</f>
        <v>#REF!</v>
      </c>
      <c r="E14" s="1491"/>
    </row>
    <row r="15" spans="1:5" ht="15">
      <c r="A15" s="1491"/>
      <c r="B15" s="3478"/>
      <c r="C15" s="1495" t="s">
        <v>921</v>
      </c>
      <c r="D15" s="859" t="e">
        <f ca="1">结果表!H108</f>
        <v>#REF!</v>
      </c>
      <c r="E15" s="1491"/>
    </row>
    <row r="16" spans="1:5" ht="15">
      <c r="A16" s="1491"/>
      <c r="B16" s="3479" t="str">
        <f>结果表!E109</f>
        <v>——</v>
      </c>
      <c r="C16" s="1499" t="s">
        <v>922</v>
      </c>
      <c r="D16" s="1500" t="str">
        <f>结果表!H109</f>
        <v>——</v>
      </c>
      <c r="E16" s="1491"/>
    </row>
    <row r="17" spans="1:5" ht="15.75">
      <c r="A17" s="1491"/>
      <c r="B17" s="3480"/>
      <c r="C17" s="1494" t="s">
        <v>923</v>
      </c>
      <c r="D17" s="850" t="e">
        <f>NUMBERSTRING(INT(D16*10000),2)&amp;"元整"</f>
        <v>#VALUE!</v>
      </c>
      <c r="E17" s="1491"/>
    </row>
    <row r="18" spans="1:5" ht="15">
      <c r="A18" s="1491"/>
      <c r="B18" s="3481"/>
      <c r="C18" s="1495" t="s">
        <v>912</v>
      </c>
      <c r="D18" s="859" t="str">
        <f>结果表!H110</f>
        <v>——</v>
      </c>
      <c r="E18" s="1491"/>
    </row>
    <row r="19" spans="1:5" ht="15.75">
      <c r="A19" s="1491"/>
      <c r="B19" s="3472" t="str">
        <f>结果表!E111</f>
        <v>——</v>
      </c>
      <c r="C19" s="1499" t="s">
        <v>910</v>
      </c>
      <c r="D19" s="851" t="str">
        <f>结果表!H111</f>
        <v>——</v>
      </c>
      <c r="E19" s="1491"/>
    </row>
    <row r="20" spans="1:5" ht="15.75">
      <c r="A20" s="1491"/>
      <c r="B20" s="3473"/>
      <c r="C20" s="1494" t="s">
        <v>923</v>
      </c>
      <c r="D20" s="850" t="e">
        <f>NUMBERSTRING(INT(D19*10000),2)&amp;"元整"</f>
        <v>#VALUE!</v>
      </c>
      <c r="E20" s="1491"/>
    </row>
    <row r="21" spans="1:5" ht="15.75" thickBot="1">
      <c r="A21" s="1491"/>
      <c r="B21" s="347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114988</v>
      </c>
      <c r="C2" s="2" t="s">
        <v>106</v>
      </c>
      <c r="D2" s="199"/>
      <c r="E2" s="199"/>
      <c r="F2" s="199"/>
      <c r="G2" s="199"/>
    </row>
    <row r="3" spans="1:7" s="200" customFormat="1" ht="18" customHeight="1" thickBot="1">
      <c r="A3" s="203" t="s">
        <v>58</v>
      </c>
      <c r="B3" s="204">
        <f ca="1">ROUND(B2*10000/'数据-汇总表'!E3,0)</f>
        <v>8955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2568</v>
      </c>
      <c r="D10" s="845">
        <f>'数据-汇总表'!E6</f>
        <v>128400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1284</v>
      </c>
      <c r="D19" s="849">
        <f>'数据-汇总表'!E3</f>
        <v>128400</v>
      </c>
      <c r="E19" s="211">
        <f>'数据-取费表'!B31</f>
        <v>100</v>
      </c>
      <c r="F19" s="231"/>
      <c r="G19" s="1" t="s">
        <v>436</v>
      </c>
    </row>
    <row r="20" spans="1:7" s="214" customFormat="1" ht="13.5" customHeight="1">
      <c r="A20" s="777" t="s">
        <v>419</v>
      </c>
      <c r="B20" s="210" t="s">
        <v>77</v>
      </c>
      <c r="C20" s="232">
        <f>ROUND((C5+C19)*F20,0)</f>
        <v>438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2719</v>
      </c>
      <c r="D22" s="235">
        <f ca="1">C26</f>
        <v>1.1999999999999999E-3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2535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158</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4.75">
      <c r="A27" s="777" t="s">
        <v>342</v>
      </c>
      <c r="B27" s="244" t="s">
        <v>85</v>
      </c>
      <c r="C27" s="245">
        <f>C28</f>
        <v>3350</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3350</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30788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62948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57780</v>
      </c>
      <c r="D34" s="217"/>
      <c r="E34" s="220"/>
      <c r="F34" s="257">
        <f>IF('数据-取费表'!B24=0,1,'数据-取费表'!N16)</f>
        <v>1</v>
      </c>
      <c r="G34" s="219" t="s">
        <v>89</v>
      </c>
    </row>
    <row r="35" spans="1:7" ht="13.5" customHeight="1">
      <c r="A35" s="780" t="s">
        <v>351</v>
      </c>
      <c r="B35" s="215" t="s">
        <v>33</v>
      </c>
      <c r="C35" s="220">
        <f>ROUND(C34*F35,0)</f>
        <v>1733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2568</v>
      </c>
      <c r="D37" s="217">
        <f>'数据-汇总表'!E3</f>
        <v>128400</v>
      </c>
      <c r="E37" s="249">
        <f>'数据-取费表'!B35</f>
        <v>200</v>
      </c>
      <c r="F37" s="259"/>
      <c r="G37" s="261" t="s">
        <v>92</v>
      </c>
    </row>
    <row r="38" spans="1:7" ht="13.5" customHeight="1">
      <c r="A38" s="780" t="s">
        <v>354</v>
      </c>
      <c r="B38" s="215" t="s">
        <v>36</v>
      </c>
      <c r="C38" s="220">
        <f>ROUND(C34*F38,0)</f>
        <v>867</v>
      </c>
      <c r="D38" s="220"/>
      <c r="E38" s="220"/>
      <c r="F38" s="259">
        <f>'数据-取费表'!B36</f>
        <v>1.4999999999999999E-2</v>
      </c>
      <c r="G38" s="219" t="s">
        <v>90</v>
      </c>
    </row>
    <row r="39" spans="1:7" s="214" customFormat="1" ht="13.5" customHeight="1">
      <c r="A39" s="777" t="s">
        <v>338</v>
      </c>
      <c r="B39" s="210" t="s">
        <v>77</v>
      </c>
      <c r="C39" s="232">
        <f>ROUND(C33*F20,0)</f>
        <v>1259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3834</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3759</v>
      </c>
      <c r="D42" s="238"/>
      <c r="E42" s="238"/>
      <c r="F42" s="239"/>
      <c r="G42" s="3654" t="s">
        <v>94</v>
      </c>
    </row>
    <row r="43" spans="1:7" ht="13.5" customHeight="1">
      <c r="A43" s="780" t="s">
        <v>347</v>
      </c>
      <c r="B43" s="215" t="s">
        <v>426</v>
      </c>
      <c r="C43" s="238">
        <f ca="1">ROUND(IF('数据-取费表'!B22&lt;=1,C39*F22*'数据-取费表'!B21/2,C39*(POWER((1+F22),'数据-取费表'!B21/2)-1)),0)</f>
        <v>75</v>
      </c>
      <c r="D43" s="238"/>
      <c r="E43" s="238"/>
      <c r="F43" s="239"/>
      <c r="G43" s="3655"/>
    </row>
    <row r="44" spans="1:7" ht="13.5" customHeight="1">
      <c r="A44" s="780" t="s">
        <v>348</v>
      </c>
      <c r="B44" s="215" t="s">
        <v>428</v>
      </c>
      <c r="C44" s="238">
        <f ca="1">ROUND(IF('数据-取费表'!B22&lt;=1,C40*F22*'数据-取费表'!B21/2,C40*(POWER((1+F22),'数据-取费表'!B21/2)-1)),4)</f>
        <v>1.1999999999999999E-3</v>
      </c>
      <c r="D44" s="238"/>
      <c r="E44" s="238"/>
      <c r="F44" s="239"/>
      <c r="G44" s="3656"/>
    </row>
    <row r="45" spans="1:7" s="214" customFormat="1" ht="13.5" customHeight="1">
      <c r="A45" s="777" t="s">
        <v>341</v>
      </c>
      <c r="B45" s="244" t="s">
        <v>85</v>
      </c>
      <c r="C45" s="245">
        <f>C46</f>
        <v>9631</v>
      </c>
      <c r="D45" s="235">
        <f>C47</f>
        <v>3.0000000000000001E-3</v>
      </c>
      <c r="E45" s="236" t="s">
        <v>102</v>
      </c>
      <c r="F45" s="246"/>
      <c r="G45" s="247" t="s">
        <v>434</v>
      </c>
    </row>
    <row r="46" spans="1:7" s="214" customFormat="1" ht="13.5" customHeight="1">
      <c r="A46" s="780" t="s">
        <v>349</v>
      </c>
      <c r="B46" s="248" t="s">
        <v>427</v>
      </c>
      <c r="C46" s="249">
        <f>ROUND((C33+C39)*F27,0)</f>
        <v>9631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84200</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84200</v>
      </c>
      <c r="D51" s="232"/>
      <c r="E51" s="232"/>
      <c r="F51" s="264"/>
      <c r="G51" s="234" t="s">
        <v>37</v>
      </c>
    </row>
    <row r="52" spans="1:7" s="208" customFormat="1" ht="16.5" thickBot="1">
      <c r="A52" s="265" t="s">
        <v>38</v>
      </c>
      <c r="B52" s="266"/>
      <c r="C52" s="267">
        <f ca="1">C31+C51</f>
        <v>114988</v>
      </c>
      <c r="D52" s="266"/>
      <c r="E52" s="266"/>
      <c r="F52" s="266"/>
      <c r="G52" s="268"/>
    </row>
    <row r="55" spans="1:7" ht="15">
      <c r="B55" s="270" t="s">
        <v>39</v>
      </c>
      <c r="C55" s="271"/>
    </row>
    <row r="56" spans="1:7">
      <c r="B56" s="273" t="s">
        <v>40</v>
      </c>
      <c r="C56" s="274">
        <f ca="1">ROUND(C51/C52,3)</f>
        <v>0.73199999999999998</v>
      </c>
    </row>
    <row r="57" spans="1:7">
      <c r="B57" s="273" t="s">
        <v>41</v>
      </c>
      <c r="C57" s="275">
        <f ca="1">1-C56</f>
        <v>0.26800000000000002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P49" sqref="P49"/>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2" t="s">
        <v>2844</v>
      </c>
      <c r="B1" s="3792"/>
      <c r="C1" s="3792"/>
      <c r="D1" s="3792"/>
      <c r="E1" s="3792"/>
      <c r="F1" s="3792"/>
      <c r="G1" s="3793"/>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90"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91"/>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4" t="s">
        <v>3186</v>
      </c>
      <c r="B1" s="3794"/>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5" t="s">
        <v>3237</v>
      </c>
      <c r="B1" s="3795"/>
      <c r="C1" s="3795"/>
      <c r="D1" s="3795"/>
      <c r="E1" s="3795"/>
      <c r="F1" s="3796"/>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P49" sqref="P49"/>
    </sheetView>
  </sheetViews>
  <sheetFormatPr defaultRowHeight="13.5"/>
  <cols>
    <col min="1" max="1" width="13.875" customWidth="1"/>
    <col min="11" max="17" width="0" hidden="1" customWidth="1"/>
    <col min="25" max="30" width="0" hidden="1" customWidth="1"/>
  </cols>
  <sheetData>
    <row r="1" spans="1:30">
      <c r="A1" s="3221">
        <f>基准地价修正!G23</f>
        <v>44378</v>
      </c>
      <c r="B1" s="3210" t="s">
        <v>2843</v>
      </c>
      <c r="C1" s="3211"/>
      <c r="D1" s="3211"/>
      <c r="E1" s="3211"/>
      <c r="F1" s="3211"/>
      <c r="G1" s="3211"/>
      <c r="H1" s="3211"/>
      <c r="I1" s="3211"/>
      <c r="J1" s="3165"/>
      <c r="K1" s="3211" t="s">
        <v>454</v>
      </c>
      <c r="L1" s="3211"/>
      <c r="M1" s="3211"/>
      <c r="N1" s="3211"/>
      <c r="O1" s="3211"/>
      <c r="P1" s="3211"/>
      <c r="Q1" s="3165"/>
      <c r="R1" s="3797" t="s">
        <v>456</v>
      </c>
      <c r="S1" s="3798"/>
      <c r="T1" s="3798"/>
      <c r="U1" s="3798"/>
      <c r="V1" s="3798"/>
      <c r="W1" s="3798"/>
      <c r="X1" s="3165"/>
      <c r="Y1" s="3797" t="s">
        <v>457</v>
      </c>
      <c r="Z1" s="3798"/>
      <c r="AA1" s="3798"/>
      <c r="AB1" s="3798"/>
      <c r="AC1" s="3798"/>
      <c r="AD1" s="3798"/>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3378</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3377</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97" t="s">
        <v>2831</v>
      </c>
      <c r="S21" s="3798"/>
      <c r="T21" s="3798"/>
      <c r="U21" s="3798"/>
      <c r="V21" s="3798"/>
      <c r="W21" s="3798"/>
      <c r="X21" s="3165"/>
      <c r="Y21" s="3797" t="s">
        <v>2832</v>
      </c>
      <c r="Z21" s="3798"/>
      <c r="AA21" s="3798"/>
      <c r="AB21" s="3798"/>
      <c r="AC21" s="3798"/>
      <c r="AD21" s="3798"/>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3376</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3377</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P49" sqref="P49"/>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44378</v>
      </c>
      <c r="D1" s="1302" t="s">
        <v>603</v>
      </c>
      <c r="E1" s="1297">
        <f>'数据-取费表'!B22</f>
        <v>2.5</v>
      </c>
      <c r="F1" s="1302" t="s">
        <v>604</v>
      </c>
      <c r="G1" s="1298">
        <f ca="1">INDIRECT("d"&amp;$K$1)/100</f>
        <v>3.85E-2</v>
      </c>
      <c r="H1" s="1302" t="s">
        <v>634</v>
      </c>
      <c r="I1" s="1298">
        <f ca="1">F4/100</f>
        <v>1.4999999999999999E-2</v>
      </c>
      <c r="J1" s="1303">
        <f>IF(C1&gt;C13,0,MATCH(C1,C$13:C$111,-1))+IF(SUMIF(C13:C111,C1,D13:D111)=0,13,12)</f>
        <v>19</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3.85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3.85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3.85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3.85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4.6500000000000004</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84"/>
      <c r="B3" s="3484"/>
      <c r="C3" s="3484"/>
      <c r="D3" s="854" t="s">
        <v>925</v>
      </c>
      <c r="E3" s="854" t="s">
        <v>931</v>
      </c>
      <c r="F3" s="854" t="s">
        <v>925</v>
      </c>
      <c r="G3" s="854" t="s">
        <v>926</v>
      </c>
      <c r="H3" s="854" t="s">
        <v>925</v>
      </c>
      <c r="I3" s="854" t="s">
        <v>926</v>
      </c>
    </row>
    <row r="4" spans="1:9" ht="15">
      <c r="A4" s="1505" t="str">
        <f>项目基本情况!S2</f>
        <v>房地产</v>
      </c>
      <c r="B4" s="854">
        <f>项目基本情况!C17</f>
        <v>128400</v>
      </c>
      <c r="C4" s="854">
        <f>项目基本情况!C18</f>
        <v>37047.599999999999</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4" t="s">
        <v>927</v>
      </c>
      <c r="B5" s="3484"/>
      <c r="C5" s="3484"/>
      <c r="D5" s="3484" t="e">
        <f ca="1">结果表!D119</f>
        <v>#REF!</v>
      </c>
      <c r="E5" s="3484"/>
      <c r="F5" s="3484" t="e">
        <f ca="1">结果表!F119</f>
        <v>#REF!</v>
      </c>
      <c r="G5" s="3484"/>
      <c r="H5" s="3484" t="e">
        <f ca="1">结果表!H119</f>
        <v>#REF!</v>
      </c>
      <c r="I5" s="3484"/>
    </row>
    <row r="6" spans="1:9" ht="15.75">
      <c r="A6" s="3485" t="str">
        <f>结果表!A120</f>
        <v>估价师知悉的法定优先受偿款</v>
      </c>
      <c r="B6" s="3485"/>
      <c r="C6" s="3485"/>
      <c r="D6" s="3485">
        <f>结果表!D120</f>
        <v>0</v>
      </c>
      <c r="E6" s="3485"/>
      <c r="F6" s="3485"/>
      <c r="G6" s="3485"/>
      <c r="H6" s="3485"/>
      <c r="I6" s="3485"/>
    </row>
    <row r="7" spans="1:9" ht="15">
      <c r="A7" s="3484" t="s">
        <v>927</v>
      </c>
      <c r="B7" s="3484"/>
      <c r="C7" s="3484"/>
      <c r="D7" s="3486" t="str">
        <f>结果表!D121</f>
        <v>零元整</v>
      </c>
      <c r="E7" s="3487"/>
      <c r="F7" s="3487"/>
      <c r="G7" s="3487"/>
      <c r="H7" s="3487"/>
      <c r="I7" s="3488"/>
    </row>
    <row r="8" spans="1:9" ht="15.75">
      <c r="A8" s="3485" t="str">
        <f>结果表!A122</f>
        <v>房地产抵押价值</v>
      </c>
      <c r="B8" s="3485"/>
      <c r="C8" s="3485"/>
      <c r="D8" s="3485" t="e">
        <f ca="1">结果表!D122</f>
        <v>#REF!</v>
      </c>
      <c r="E8" s="3485"/>
      <c r="F8" s="3485"/>
      <c r="G8" s="3485"/>
      <c r="H8" s="3485"/>
      <c r="I8" s="3485"/>
    </row>
    <row r="9" spans="1:9" ht="15">
      <c r="A9" s="3484" t="s">
        <v>927</v>
      </c>
      <c r="B9" s="3484"/>
      <c r="C9" s="3484"/>
      <c r="D9" s="3484" t="e">
        <f ca="1">结果表!D123</f>
        <v>#REF!</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927</v>
      </c>
      <c r="B11" s="3484"/>
      <c r="C11" s="3484"/>
      <c r="D11" s="3484" t="e">
        <f>结果表!D125</f>
        <v>#VALUE!</v>
      </c>
      <c r="E11" s="3484"/>
      <c r="F11" s="3484"/>
      <c r="G11" s="3484"/>
      <c r="H11" s="3484"/>
      <c r="I11" s="3484"/>
    </row>
    <row r="12" spans="1:9" ht="15.75">
      <c r="A12" s="3485" t="str">
        <f>结果表!A126</f>
        <v/>
      </c>
      <c r="B12" s="3485"/>
      <c r="C12" s="3485"/>
      <c r="D12" s="3485" t="str">
        <f>结果表!D126</f>
        <v>——</v>
      </c>
      <c r="E12" s="3485"/>
      <c r="F12" s="3485"/>
      <c r="G12" s="3485"/>
      <c r="H12" s="3485"/>
      <c r="I12" s="3485"/>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5"/>
      <c r="C12" s="3495"/>
      <c r="D12" s="3495"/>
    </row>
    <row r="13" spans="1:4" ht="30" customHeight="1">
      <c r="A13" s="3494" t="str">
        <f>IF(项目基本情况!B8="抵押","3.抵押双方在办理抵押登记手续时，应使用本公司出具的正式《房地产评估报告》，特提醒报告使用者注意。","——")</f>
        <v>——</v>
      </c>
      <c r="B13" s="3495"/>
      <c r="C13" s="3495"/>
      <c r="D13" s="3495"/>
    </row>
    <row r="14" spans="1:4" ht="15.75" customHeight="1">
      <c r="A14" s="3494" t="str">
        <f>IF(项目基本情况!B8="抵押","4.本次评估估价师所知悉的法定优先受偿款情况说明如下：","——")</f>
        <v>——</v>
      </c>
      <c r="B14" s="3495"/>
      <c r="C14" s="3495"/>
      <c r="D14" s="3495"/>
    </row>
    <row r="15" spans="1:4" ht="42" customHeight="1">
      <c r="A15" s="3494" t="str">
        <f>IF(项目基本情况!B8="抵押","（1）"&amp;CONCATENATE(项目基本情况!L20,项目基本情况!L21,项目基本情况!L22),"——")</f>
        <v>——</v>
      </c>
      <c r="B15" s="3494"/>
      <c r="C15" s="3494"/>
      <c r="D15" s="3494"/>
    </row>
    <row r="16" spans="1:4" ht="30" customHeight="1">
      <c r="A16" s="3497" t="s">
        <v>943</v>
      </c>
      <c r="B16" s="3497"/>
      <c r="C16" s="3497"/>
      <c r="D16" s="3497"/>
    </row>
    <row r="17" spans="1:4" ht="144" customHeight="1">
      <c r="A17" s="3497" t="s">
        <v>944</v>
      </c>
      <c r="B17" s="3497"/>
      <c r="C17" s="3497"/>
      <c r="D17" s="3497"/>
    </row>
    <row r="18" spans="1:4" ht="15.75" customHeight="1">
      <c r="A18" s="3494" t="str">
        <f>IF(项目基本情况!B8="抵押",结果表!K120,"——")</f>
        <v>——</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6">
        <v>42551</v>
      </c>
      <c r="D31" s="34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P26" sqref="P26"/>
      <selection pane="bottomLeft" activeCell="P26" sqref="P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5" t="s">
        <v>956</v>
      </c>
      <c r="B15" s="3500" t="s">
        <v>109</v>
      </c>
      <c r="C15" s="3501"/>
    </row>
    <row r="16" spans="1:7" ht="13.5">
      <c r="A16" s="3506"/>
      <c r="B16" s="3500" t="s">
        <v>42</v>
      </c>
      <c r="C16" s="3501"/>
    </row>
    <row r="17" spans="1:3" ht="13.5">
      <c r="A17" s="3506"/>
      <c r="B17" s="3503" t="s">
        <v>957</v>
      </c>
      <c r="C17" s="1532" t="s">
        <v>956</v>
      </c>
    </row>
    <row r="18" spans="1:3" ht="13.5">
      <c r="A18" s="3506"/>
      <c r="B18" s="3503"/>
      <c r="C18" s="1532" t="s">
        <v>958</v>
      </c>
    </row>
    <row r="19" spans="1:3" ht="13.5">
      <c r="A19" s="3506"/>
      <c r="B19" s="3503"/>
      <c r="C19" s="1532" t="s">
        <v>959</v>
      </c>
    </row>
    <row r="20" spans="1:3" ht="13.5">
      <c r="A20" s="3507"/>
      <c r="B20" s="3502" t="s">
        <v>960</v>
      </c>
      <c r="C20" s="3501"/>
    </row>
    <row r="21" spans="1:3" ht="13.5">
      <c r="A21" s="1533" t="s">
        <v>961</v>
      </c>
      <c r="B21" s="1534"/>
      <c r="C21" s="1535"/>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2" t="s">
        <v>967</v>
      </c>
    </row>
    <row r="26" spans="1:3" ht="13.5">
      <c r="A26" s="3504"/>
      <c r="B26" s="3503"/>
      <c r="C26" s="1532" t="s">
        <v>968</v>
      </c>
    </row>
    <row r="27" spans="1:3" ht="13.5">
      <c r="A27" s="3504"/>
      <c r="B27" s="3503"/>
      <c r="C27" s="1532" t="s">
        <v>969</v>
      </c>
    </row>
    <row r="28" spans="1:3" ht="13.5">
      <c r="A28" s="3504"/>
      <c r="B28" s="3503"/>
      <c r="C28" s="1532" t="s">
        <v>970</v>
      </c>
    </row>
    <row r="29" spans="1:3" ht="13.5">
      <c r="A29" s="3504"/>
      <c r="B29" s="3503"/>
      <c r="C29" s="1532" t="s">
        <v>971</v>
      </c>
    </row>
    <row r="30" spans="1:3" ht="13.5">
      <c r="A30" s="3504"/>
      <c r="B30" s="3503"/>
      <c r="C30" s="1532" t="s">
        <v>972</v>
      </c>
    </row>
    <row r="31" spans="1:3" ht="13.5">
      <c r="A31" s="3504"/>
      <c r="B31" s="3503"/>
      <c r="C31" s="1532" t="s">
        <v>973</v>
      </c>
    </row>
    <row r="32" spans="1:3" ht="13.5">
      <c r="A32" s="3504"/>
      <c r="B32" s="3503"/>
      <c r="C32" s="1532" t="s">
        <v>974</v>
      </c>
    </row>
    <row r="33" spans="1:3" ht="13.5">
      <c r="A33" s="3504"/>
      <c r="B33" s="350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P26" sqref="P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45314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8" t="s">
        <v>2160</v>
      </c>
      <c r="B17" s="3508"/>
      <c r="C17" s="3508"/>
      <c r="D17" s="3508"/>
      <c r="E17" s="3508"/>
      <c r="F17" s="3508"/>
      <c r="G17" s="3508"/>
      <c r="H17" s="3508"/>
    </row>
    <row r="18" spans="1:8" ht="24" customHeight="1">
      <c r="A18" s="3509" t="s">
        <v>2161</v>
      </c>
      <c r="B18" s="3509"/>
      <c r="C18" s="3509"/>
      <c r="D18" s="2343"/>
      <c r="E18" s="3510" t="s">
        <v>2162</v>
      </c>
      <c r="F18" s="3509"/>
      <c r="G18" s="350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2024-01-23T07:11:26Z</dcterms:modified>
</cp:coreProperties>
</file>