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报告们\咨询报告\2024-1-0031北京市海淀区三义庙北4号楼3门15号\"/>
    </mc:Choice>
  </mc:AlternateContent>
  <bookViews>
    <workbookView xWindow="0" yWindow="0" windowWidth="21600" windowHeight="97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三义庙" sheetId="83"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13" i="3" l="1"/>
  <c r="F90" i="21"/>
  <c r="E90" i="21"/>
  <c r="D90" i="21"/>
  <c r="C90" i="21"/>
  <c r="I33" i="21"/>
  <c r="G33" i="21"/>
  <c r="E33" i="21"/>
  <c r="I7" i="21"/>
  <c r="G7" i="21"/>
  <c r="E7" i="21"/>
  <c r="I47" i="21" l="1"/>
  <c r="G47" i="21"/>
  <c r="E47" i="21"/>
  <c r="AK80" i="83"/>
  <c r="AK79" i="83"/>
  <c r="AK78" i="83"/>
  <c r="I5" i="21" l="1"/>
  <c r="G5" i="21"/>
  <c r="E5" i="21"/>
  <c r="C6" i="69" l="1"/>
  <c r="G17" i="73" l="1"/>
  <c r="F17" i="73"/>
  <c r="E17" i="73"/>
  <c r="G16" i="73"/>
  <c r="F16" i="73"/>
  <c r="E16" i="73"/>
  <c r="G15" i="73"/>
  <c r="F15" i="73"/>
  <c r="E15" i="73"/>
  <c r="G13" i="73"/>
  <c r="F13" i="73"/>
  <c r="E13"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W35" i="79"/>
  <c r="P35" i="79"/>
  <c r="N35" i="79"/>
  <c r="U35" i="79" s="1"/>
  <c r="M35" i="79"/>
  <c r="T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W30" i="79"/>
  <c r="P30" i="79"/>
  <c r="N30" i="79"/>
  <c r="U30" i="79" s="1"/>
  <c r="M30" i="79"/>
  <c r="T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H45" i="21" s="1"/>
  <c r="B126" i="21"/>
  <c r="F125" i="21"/>
  <c r="G125" i="21" s="1"/>
  <c r="E125" i="21"/>
  <c r="D125" i="21"/>
  <c r="D123" i="21"/>
  <c r="E123" i="21" s="1"/>
  <c r="K119" i="21"/>
  <c r="L119" i="21" s="1"/>
  <c r="M119" i="21" s="1"/>
  <c r="F119" i="21"/>
  <c r="G119" i="21" s="1"/>
  <c r="H119" i="21" s="1"/>
  <c r="I119" i="21" s="1"/>
  <c r="J119" i="21" s="1"/>
  <c r="E119" i="21"/>
  <c r="D119" i="21"/>
  <c r="F117" i="21"/>
  <c r="G117" i="21" s="1"/>
  <c r="E117" i="21"/>
  <c r="D117" i="21"/>
  <c r="D115" i="21"/>
  <c r="F113" i="21"/>
  <c r="G113" i="21" s="1"/>
  <c r="H113" i="21" s="1"/>
  <c r="E113" i="21"/>
  <c r="F37" i="21" s="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E89" i="21"/>
  <c r="F89" i="21" s="1"/>
  <c r="G89" i="21" s="1"/>
  <c r="H89" i="21" s="1"/>
  <c r="I89" i="21" s="1"/>
  <c r="J89" i="21" s="1"/>
  <c r="D89" i="2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Q45" i="21"/>
  <c r="Z45" i="21" s="1"/>
  <c r="J45" i="21"/>
  <c r="W45" i="21" s="1"/>
  <c r="Q44" i="21"/>
  <c r="Z44" i="21" s="1"/>
  <c r="J44" i="21"/>
  <c r="AC44" i="21" s="1"/>
  <c r="H44" i="21"/>
  <c r="U44" i="21" s="1"/>
  <c r="F44" i="21"/>
  <c r="AA44" i="21" s="1"/>
  <c r="AA43" i="21"/>
  <c r="Q43" i="21"/>
  <c r="Z43" i="21" s="1"/>
  <c r="J43" i="21"/>
  <c r="AC43" i="21" s="1"/>
  <c r="H43" i="21"/>
  <c r="AB43" i="21" s="1"/>
  <c r="F43" i="21"/>
  <c r="S43" i="21" s="1"/>
  <c r="Z42" i="21"/>
  <c r="Q42" i="21"/>
  <c r="AC41" i="21"/>
  <c r="AB41" i="21"/>
  <c r="U41" i="21"/>
  <c r="Q41" i="21"/>
  <c r="Z41" i="21" s="1"/>
  <c r="J41" i="21"/>
  <c r="W41" i="21" s="1"/>
  <c r="H41" i="21"/>
  <c r="F41" i="21"/>
  <c r="AA41" i="21" s="1"/>
  <c r="AB40" i="21"/>
  <c r="Q40" i="21"/>
  <c r="Z40" i="21" s="1"/>
  <c r="J40" i="21"/>
  <c r="AC40" i="21" s="1"/>
  <c r="H40" i="21"/>
  <c r="U40" i="21" s="1"/>
  <c r="F40" i="21"/>
  <c r="AA40" i="21" s="1"/>
  <c r="AA39" i="21"/>
  <c r="Q39" i="21"/>
  <c r="Z39" i="21" s="1"/>
  <c r="J39" i="21"/>
  <c r="AC39" i="21" s="1"/>
  <c r="H39" i="21"/>
  <c r="AB39" i="21" s="1"/>
  <c r="F39" i="21"/>
  <c r="S39" i="21" s="1"/>
  <c r="Z38" i="21"/>
  <c r="Q38" i="21"/>
  <c r="J38" i="21"/>
  <c r="W38" i="21" s="1"/>
  <c r="Q37" i="21"/>
  <c r="Z37" i="21" s="1"/>
  <c r="J37" i="21"/>
  <c r="W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H26" i="21"/>
  <c r="AB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W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B2"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P27" i="1"/>
  <c r="P29" i="1" s="1"/>
  <c r="P30" i="1" s="1"/>
  <c r="N27" i="1"/>
  <c r="N29" i="1" s="1"/>
  <c r="N30" i="1" s="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C7" i="34" s="1"/>
  <c r="C59" i="34"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E13" i="76"/>
  <c r="F7" i="15"/>
  <c r="E9" i="76"/>
  <c r="B11" i="76"/>
  <c r="B10" i="76"/>
  <c r="E2" i="68"/>
  <c r="E10" i="76"/>
  <c r="E2" i="69"/>
  <c r="D35" i="9"/>
  <c r="B8" i="76"/>
  <c r="E8" i="76"/>
  <c r="AO10" i="1"/>
  <c r="D2" i="34"/>
  <c r="C19" i="9"/>
  <c r="D34" i="9"/>
  <c r="E12" i="76"/>
  <c r="B13" i="76"/>
  <c r="D2" i="21"/>
  <c r="B12" i="76"/>
  <c r="AO9" i="1"/>
  <c r="D2" i="36"/>
  <c r="E11" i="76"/>
  <c r="AO6" i="1"/>
  <c r="F13" i="15"/>
  <c r="AO7" i="1"/>
  <c r="D2" i="37"/>
  <c r="D2" i="33"/>
  <c r="B9" i="76"/>
  <c r="AO12" i="1"/>
  <c r="M29" i="15"/>
  <c r="AO11" i="1"/>
  <c r="B7" i="76"/>
  <c r="F41" i="15"/>
  <c r="AO13" i="1"/>
  <c r="AO8" i="1"/>
  <c r="D2" i="35"/>
  <c r="F20" i="31"/>
  <c r="L48" i="15"/>
  <c r="E7" i="76"/>
  <c r="BA13" i="3" l="1"/>
  <c r="AQ12" i="1"/>
  <c r="B3" i="36"/>
  <c r="AB45" i="21"/>
  <c r="U45" i="21"/>
  <c r="F45" i="21"/>
  <c r="AA45" i="21" s="1"/>
  <c r="AC45" i="21"/>
  <c r="M47" i="9"/>
  <c r="C7" i="21"/>
  <c r="C58" i="21" s="1"/>
  <c r="D58" i="21" s="1"/>
  <c r="E58" i="21" s="1"/>
  <c r="F58" i="21" s="1"/>
  <c r="G58" i="21" s="1"/>
  <c r="H58" i="21" s="1"/>
  <c r="I58" i="21" s="1"/>
  <c r="J58" i="21" s="1"/>
  <c r="K58" i="21" s="1"/>
  <c r="L58" i="21" s="1"/>
  <c r="M58" i="21" s="1"/>
  <c r="N58" i="21" s="1"/>
  <c r="O58" i="21" s="1"/>
  <c r="C7" i="33"/>
  <c r="C58" i="33" s="1"/>
  <c r="B3" i="35"/>
  <c r="C42" i="1"/>
  <c r="C24" i="12" s="1"/>
  <c r="C6" i="78"/>
  <c r="D6" i="78" s="1"/>
  <c r="G7" i="1"/>
  <c r="G12" i="1"/>
  <c r="L1" i="73"/>
  <c r="E106" i="21"/>
  <c r="F106" i="21" s="1"/>
  <c r="G106" i="21" s="1"/>
  <c r="H106" i="21" s="1"/>
  <c r="I106" i="21" s="1"/>
  <c r="J106" i="21" s="1"/>
  <c r="K106" i="21" s="1"/>
  <c r="L106" i="21" s="1"/>
  <c r="M106" i="21" s="1"/>
  <c r="F34" i="21"/>
  <c r="AA34" i="21" s="1"/>
  <c r="AB44" i="21"/>
  <c r="AC37" i="21"/>
  <c r="U26"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C102" i="9"/>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13"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D58" i="33"/>
  <c r="W8" i="33"/>
  <c r="J12" i="33"/>
  <c r="H12" i="33"/>
  <c r="J46" i="33"/>
  <c r="H46" i="33"/>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AA37" i="21"/>
  <c r="S37"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F35" i="15"/>
  <c r="M23" i="15"/>
  <c r="M27" i="15"/>
  <c r="F4" i="73"/>
  <c r="M22" i="15"/>
  <c r="F16" i="15"/>
  <c r="L47" i="15"/>
  <c r="F6" i="15"/>
  <c r="F40" i="15"/>
  <c r="F26" i="15"/>
  <c r="M24" i="15"/>
  <c r="F6" i="73"/>
  <c r="M8" i="15"/>
  <c r="C76" i="15"/>
  <c r="F9" i="15"/>
  <c r="J15" i="15"/>
  <c r="F43" i="15"/>
  <c r="M6" i="15"/>
  <c r="F36" i="15"/>
  <c r="F42" i="15"/>
  <c r="M9" i="15"/>
  <c r="F37" i="15"/>
  <c r="D7" i="73"/>
  <c r="F7" i="73"/>
  <c r="D4" i="73"/>
  <c r="C14" i="15"/>
  <c r="D3" i="73"/>
  <c r="M28" i="15"/>
  <c r="M26" i="15"/>
  <c r="F3" i="73"/>
  <c r="F5" i="73"/>
  <c r="D6" i="73"/>
  <c r="D5" i="73"/>
  <c r="F8" i="15"/>
  <c r="M21" i="15"/>
  <c r="F38" i="15"/>
  <c r="E5" i="6" l="1"/>
  <c r="E14" i="6"/>
  <c r="E11" i="6"/>
  <c r="E15" i="6"/>
  <c r="E64" i="39" s="1"/>
  <c r="E8" i="6"/>
  <c r="D26" i="43"/>
  <c r="C25" i="43" s="1"/>
  <c r="E12" i="6"/>
  <c r="S45" i="21"/>
  <c r="J7" i="34"/>
  <c r="F7" i="34"/>
  <c r="G16" i="1"/>
  <c r="H10" i="40" s="1"/>
  <c r="H7" i="34"/>
  <c r="J26" i="21"/>
  <c r="AC26" i="21"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F48" i="69"/>
  <c r="C48" i="69"/>
  <c r="C30" i="69"/>
  <c r="E60" i="40"/>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A7" i="34"/>
  <c r="R49" i="34" s="1"/>
  <c r="AB46" i="21"/>
  <c r="U46" i="21"/>
  <c r="AB7" i="21"/>
  <c r="U7" i="21"/>
  <c r="AB32" i="21"/>
  <c r="U32" i="21"/>
  <c r="F48" i="68"/>
  <c r="C48" i="68"/>
  <c r="C30" i="68"/>
  <c r="C30" i="11"/>
  <c r="C48" i="11"/>
  <c r="C44" i="69"/>
  <c r="D41" i="69" s="1"/>
  <c r="AB42" i="21"/>
  <c r="U42" i="21"/>
  <c r="AZ531"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C36" i="11" s="1"/>
  <c r="Q16" i="1"/>
  <c r="AB28" i="37"/>
  <c r="U28" i="37"/>
  <c r="AB46" i="33"/>
  <c r="U46" i="33"/>
  <c r="E471" i="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F7" i="36"/>
  <c r="D46" i="36"/>
  <c r="E46" i="36" s="1"/>
  <c r="F46" i="36" s="1"/>
  <c r="G46" i="36" s="1"/>
  <c r="H46" i="36" s="1"/>
  <c r="I46" i="36" s="1"/>
  <c r="J46" i="36" s="1"/>
  <c r="K46" i="36" s="1"/>
  <c r="L46" i="36" s="1"/>
  <c r="M46" i="36" s="1"/>
  <c r="N46" i="36" s="1"/>
  <c r="O46" i="36" s="1"/>
  <c r="H7" i="36"/>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26" i="21"/>
  <c r="W42" i="21"/>
  <c r="AC42" i="21"/>
  <c r="E10" i="1"/>
  <c r="M17" i="15"/>
  <c r="D123" i="9"/>
  <c r="D9" i="52" s="1"/>
  <c r="D8" i="52"/>
  <c r="E158" i="3"/>
  <c r="BL5" i="3"/>
  <c r="E28" i="6"/>
  <c r="F30" i="6"/>
  <c r="AZ5" i="3"/>
  <c r="G5" i="3"/>
  <c r="B3" i="3" s="1"/>
  <c r="E534" i="3" s="1"/>
  <c r="D23" i="71"/>
  <c r="C22" i="71"/>
  <c r="T56" i="71"/>
  <c r="D56" i="71"/>
  <c r="AA27" i="40"/>
  <c r="S27" i="40"/>
  <c r="AA15" i="21"/>
  <c r="S15" i="21"/>
  <c r="J20" i="15"/>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35" i="3"/>
  <c r="M89" i="21"/>
  <c r="F26" i="21"/>
  <c r="AA42" i="21"/>
  <c r="S42" i="21"/>
  <c r="AZ535" i="3"/>
  <c r="AZ527" i="3"/>
  <c r="E475" i="3"/>
  <c r="E354" i="3"/>
  <c r="E322" i="3"/>
  <c r="E290" i="3"/>
  <c r="E258" i="3"/>
  <c r="E226" i="3"/>
  <c r="E186" i="3"/>
  <c r="E122" i="3"/>
  <c r="E59" i="40"/>
  <c r="E63" i="39"/>
  <c r="E58" i="40"/>
  <c r="E62" i="39"/>
  <c r="L56" i="15"/>
  <c r="M22" i="67"/>
  <c r="F37" i="67"/>
  <c r="C76" i="67"/>
  <c r="C16" i="15"/>
  <c r="F38" i="67"/>
  <c r="F26" i="67"/>
  <c r="F9" i="67"/>
  <c r="M28" i="67"/>
  <c r="F6" i="67"/>
  <c r="F42" i="67"/>
  <c r="J15" i="67"/>
  <c r="M21" i="67"/>
  <c r="F35" i="67"/>
  <c r="F36" i="67"/>
  <c r="M27" i="67"/>
  <c r="F40" i="67"/>
  <c r="G1" i="73"/>
  <c r="F7" i="67"/>
  <c r="F41" i="67"/>
  <c r="M29" i="67"/>
  <c r="M24" i="67"/>
  <c r="M26" i="67"/>
  <c r="F16" i="67"/>
  <c r="F43" i="67"/>
  <c r="M8" i="67"/>
  <c r="M6" i="67"/>
  <c r="L48" i="67"/>
  <c r="L47" i="67"/>
  <c r="M23" i="67"/>
  <c r="F13" i="67"/>
  <c r="C17" i="15"/>
  <c r="M9" i="67"/>
  <c r="F8" i="67"/>
  <c r="E386" i="3" l="1"/>
  <c r="E162" i="3"/>
  <c r="E90" i="3"/>
  <c r="E370" i="3"/>
  <c r="E154" i="3"/>
  <c r="E210" i="3"/>
  <c r="E242" i="3"/>
  <c r="E274" i="3"/>
  <c r="E306" i="3"/>
  <c r="E338" i="3"/>
  <c r="E450" i="3"/>
  <c r="E551" i="3"/>
  <c r="E182" i="3"/>
  <c r="E394" i="3"/>
  <c r="E467" i="3"/>
  <c r="E402" i="3"/>
  <c r="J10" i="39"/>
  <c r="E138" i="3"/>
  <c r="E202" i="3"/>
  <c r="E234" i="3"/>
  <c r="E266" i="3"/>
  <c r="E298" i="3"/>
  <c r="E330" i="3"/>
  <c r="E362" i="3"/>
  <c r="E514" i="3"/>
  <c r="E543" i="3"/>
  <c r="E410" i="3"/>
  <c r="E170" i="3"/>
  <c r="E218" i="3"/>
  <c r="E250" i="3"/>
  <c r="E282" i="3"/>
  <c r="E314" i="3"/>
  <c r="E346" i="3"/>
  <c r="E459" i="3"/>
  <c r="E578" i="3"/>
  <c r="E98" i="3"/>
  <c r="E426" i="3"/>
  <c r="E16" i="6"/>
  <c r="E583" i="3"/>
  <c r="H7" i="37"/>
  <c r="U7" i="37" s="1"/>
  <c r="F7" i="37"/>
  <c r="F59" i="15"/>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AB7" i="37"/>
  <c r="T42" i="37" s="1"/>
  <c r="G42" i="37" s="1"/>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V48" i="21" s="1"/>
  <c r="I48" i="21" s="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C59"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6" i="67"/>
  <c r="C17" i="67"/>
  <c r="C14" i="67"/>
  <c r="R48" i="21" l="1"/>
  <c r="E48" i="21" s="1"/>
  <c r="I53" i="21" s="1"/>
  <c r="J53" i="21" s="1"/>
  <c r="C18" i="67"/>
  <c r="C15" i="67"/>
  <c r="G52" i="21"/>
  <c r="H52" i="21" s="1"/>
  <c r="G53" i="21"/>
  <c r="H53" i="21" s="1"/>
  <c r="J24" i="15"/>
  <c r="J26" i="15"/>
  <c r="J29" i="15" s="1"/>
  <c r="J19" i="67"/>
  <c r="J18" i="67"/>
  <c r="J5" i="67"/>
  <c r="G40" i="36"/>
  <c r="H40" i="36" s="1"/>
  <c r="G41" i="36"/>
  <c r="H41"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C34" i="43"/>
  <c r="E34" i="43" s="1"/>
  <c r="E33" i="43"/>
  <c r="Q74" i="67"/>
  <c r="Q61" i="67"/>
  <c r="C49" i="67"/>
  <c r="E42" i="37"/>
  <c r="R43" i="37"/>
  <c r="W7" i="35"/>
  <c r="AC7" i="35"/>
  <c r="V38" i="35" s="1"/>
  <c r="I38" i="35" s="1"/>
  <c r="C7" i="69"/>
  <c r="C5" i="69" s="1"/>
  <c r="M14" i="1"/>
  <c r="K16" i="1"/>
  <c r="C34" i="69"/>
  <c r="W7" i="37"/>
  <c r="AC7" i="37"/>
  <c r="V42" i="37" s="1"/>
  <c r="I42" i="37" s="1"/>
  <c r="G47" i="37" s="1"/>
  <c r="H47"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I52" i="21"/>
  <c r="J52" i="21"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R49" i="21" l="1"/>
  <c r="C23" i="15"/>
  <c r="C29" i="15" s="1"/>
  <c r="J14" i="15" s="1"/>
  <c r="C19" i="67"/>
  <c r="C20" i="67" s="1"/>
  <c r="C26" i="67" s="1"/>
  <c r="C38" i="67"/>
  <c r="C23" i="69"/>
  <c r="E41" i="36"/>
  <c r="F41" i="36" s="1"/>
  <c r="E40" i="36"/>
  <c r="F40" i="36" s="1"/>
  <c r="C38" i="15"/>
  <c r="I42" i="35"/>
  <c r="J42" i="35" s="1"/>
  <c r="C48" i="67"/>
  <c r="C59" i="67"/>
  <c r="C30" i="43"/>
  <c r="C49" i="21"/>
  <c r="B3" i="21" s="1"/>
  <c r="C48" i="21"/>
  <c r="E61" i="40"/>
  <c r="M19" i="9"/>
  <c r="C118" i="9" s="1"/>
  <c r="D19" i="6"/>
  <c r="D15" i="6"/>
  <c r="D13" i="6"/>
  <c r="D11" i="6"/>
  <c r="D6" i="6"/>
  <c r="D29" i="6"/>
  <c r="D26" i="6"/>
  <c r="H24" i="6"/>
  <c r="D22" i="6"/>
  <c r="H20" i="6"/>
  <c r="D14" i="6"/>
  <c r="D8" i="6"/>
  <c r="D25" i="6"/>
  <c r="H23" i="6"/>
  <c r="D21" i="6"/>
  <c r="D5" i="6"/>
  <c r="L19" i="9"/>
  <c r="C21" i="9" s="1"/>
  <c r="H26" i="6"/>
  <c r="D23" i="6"/>
  <c r="R23" i="6" s="1"/>
  <c r="H22" i="6"/>
  <c r="D12" i="6"/>
  <c r="D28" i="6"/>
  <c r="D10" i="6"/>
  <c r="H25" i="6"/>
  <c r="D24" i="6"/>
  <c r="H21" i="6"/>
  <c r="D20" i="6"/>
  <c r="D9" i="6"/>
  <c r="C18" i="4"/>
  <c r="D10" i="11"/>
  <c r="C10" i="11" s="1"/>
  <c r="D20" i="12"/>
  <c r="C20" i="12" s="1"/>
  <c r="C18" i="12" s="1"/>
  <c r="D10" i="68"/>
  <c r="D10" i="69"/>
  <c r="C24" i="1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M27" i="6"/>
  <c r="E6" i="3"/>
  <c r="J26" i="67"/>
  <c r="J29" i="67" s="1"/>
  <c r="J24" i="67"/>
  <c r="E6" i="76"/>
  <c r="C20" i="9"/>
  <c r="C28" i="11" l="1"/>
  <c r="C27" i="11" s="1"/>
  <c r="C22" i="11"/>
  <c r="C31" i="11" s="1"/>
  <c r="H27" i="6"/>
  <c r="C13" i="15"/>
  <c r="Q70" i="15" s="1"/>
  <c r="J59" i="15"/>
  <c r="J60" i="15" s="1"/>
  <c r="Q48" i="15" s="1"/>
  <c r="C36" i="15"/>
  <c r="C57" i="15"/>
  <c r="C64" i="15" s="1"/>
  <c r="Q49" i="15"/>
  <c r="C21" i="12"/>
  <c r="C22" i="12" s="1"/>
  <c r="C30" i="12" s="1"/>
  <c r="C28" i="12" s="1"/>
  <c r="C103" i="9"/>
  <c r="E2" i="76"/>
  <c r="C10" i="68"/>
  <c r="D19" i="68"/>
  <c r="R25" i="6"/>
  <c r="C66" i="67"/>
  <c r="C18" i="71"/>
  <c r="D19" i="71"/>
  <c r="C39" i="35"/>
  <c r="M3" i="35" s="1"/>
  <c r="C38" i="35"/>
  <c r="R20" i="6"/>
  <c r="R22" i="6"/>
  <c r="R19" i="6"/>
  <c r="D27" i="6"/>
  <c r="C75" i="15"/>
  <c r="H67" i="39"/>
  <c r="G69" i="39"/>
  <c r="E43" i="35"/>
  <c r="F43" i="35" s="1"/>
  <c r="E42" i="35"/>
  <c r="F42" i="35" s="1"/>
  <c r="D30" i="6"/>
  <c r="R21" i="6"/>
  <c r="D16" i="6"/>
  <c r="B2" i="43"/>
  <c r="I43" i="35"/>
  <c r="J43" i="35" s="1"/>
  <c r="C23" i="67"/>
  <c r="C29" i="67" s="1"/>
  <c r="L46" i="15"/>
  <c r="J22" i="15"/>
  <c r="J13" i="15"/>
  <c r="J23" i="15" s="1"/>
  <c r="I27" i="6"/>
  <c r="S19" i="6"/>
  <c r="S27" i="6" s="1"/>
  <c r="G65" i="40"/>
  <c r="H63" i="40"/>
  <c r="I58" i="33"/>
  <c r="L16" i="1"/>
  <c r="C34" i="68"/>
  <c r="C34" i="11"/>
  <c r="N16" i="1"/>
  <c r="C10" i="69"/>
  <c r="D19" i="69"/>
  <c r="C4" i="52"/>
  <c r="B45" i="72" s="1"/>
  <c r="A10" i="51"/>
  <c r="B9" i="72" s="1"/>
  <c r="A7" i="51"/>
  <c r="B7" i="72" s="1"/>
  <c r="R24" i="6"/>
  <c r="R26" i="6"/>
  <c r="B6" i="76"/>
  <c r="C56" i="15" l="1"/>
  <c r="C65" i="15" s="1"/>
  <c r="C58" i="15" s="1"/>
  <c r="C67" i="15" s="1"/>
  <c r="C68" i="15" s="1"/>
  <c r="C37" i="15"/>
  <c r="C30" i="15" s="1"/>
  <c r="C39" i="15" s="1"/>
  <c r="C40" i="15" s="1"/>
  <c r="C46"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C71" i="15"/>
  <c r="H69" i="39"/>
  <c r="I67" i="39"/>
  <c r="R6" i="1"/>
  <c r="R16" i="1" s="1"/>
  <c r="R27" i="6"/>
  <c r="Q69" i="15"/>
  <c r="Q68" i="15" s="1"/>
  <c r="C19" i="69"/>
  <c r="D37" i="69"/>
  <c r="C37" i="69" s="1"/>
  <c r="C33" i="69" s="1"/>
  <c r="C35" i="68"/>
  <c r="C38" i="68"/>
  <c r="F50" i="69"/>
  <c r="F50" i="68"/>
  <c r="F50" i="11"/>
  <c r="J7" i="33"/>
  <c r="B3" i="43"/>
  <c r="C80" i="15"/>
  <c r="C79" i="15" s="1"/>
  <c r="L51" i="15"/>
  <c r="C33" i="68" l="1"/>
  <c r="C39" i="68" s="1"/>
  <c r="C43" i="68" s="1"/>
  <c r="Q67" i="15"/>
  <c r="L57" i="15"/>
  <c r="L60" i="15" s="1"/>
  <c r="C46" i="11"/>
  <c r="C45" i="11" s="1"/>
  <c r="C39" i="11"/>
  <c r="C43" i="11" s="1"/>
  <c r="C42" i="11"/>
  <c r="C41" i="11" s="1"/>
  <c r="W7" i="33"/>
  <c r="AC7" i="33"/>
  <c r="V48" i="33" s="1"/>
  <c r="I48" i="33" s="1"/>
  <c r="C42" i="68"/>
  <c r="C24" i="69"/>
  <c r="C20" i="69"/>
  <c r="C25" i="69" s="1"/>
  <c r="U7" i="33"/>
  <c r="AB7" i="33"/>
  <c r="T48" i="33" s="1"/>
  <c r="G48" i="33" s="1"/>
  <c r="I6" i="6"/>
  <c r="I5" i="6"/>
  <c r="C24" i="68"/>
  <c r="C20" i="68"/>
  <c r="C25" i="68" s="1"/>
  <c r="Q48" i="67"/>
  <c r="L46" i="67"/>
  <c r="AA7" i="33"/>
  <c r="R48" i="33" s="1"/>
  <c r="S7" i="33"/>
  <c r="J22" i="67"/>
  <c r="J13" i="67"/>
  <c r="J23" i="67" s="1"/>
  <c r="Q56" i="15"/>
  <c r="C43" i="15"/>
  <c r="Q65" i="15"/>
  <c r="Q47" i="15"/>
  <c r="Q53" i="15" s="1"/>
  <c r="B2" i="15"/>
  <c r="B3" i="15" s="1"/>
  <c r="C83" i="15"/>
  <c r="C82" i="15" s="1"/>
  <c r="J67" i="39"/>
  <c r="I69" i="39"/>
  <c r="J63" i="40"/>
  <c r="I65" i="40"/>
  <c r="C39" i="69"/>
  <c r="C43" i="69" s="1"/>
  <c r="C42" i="69"/>
  <c r="C16" i="71"/>
  <c r="D17" i="71"/>
  <c r="C56" i="67"/>
  <c r="C65" i="67" s="1"/>
  <c r="C58" i="67" s="1"/>
  <c r="C67" i="67" s="1"/>
  <c r="C68" i="67" s="1"/>
  <c r="C37" i="67"/>
  <c r="C30" i="67" s="1"/>
  <c r="C39" i="67" s="1"/>
  <c r="Q70" i="67"/>
  <c r="C75" i="67"/>
  <c r="C49" i="11" l="1"/>
  <c r="C51" i="11" s="1"/>
  <c r="C41" i="68"/>
  <c r="C28" i="69"/>
  <c r="C27" i="69" s="1"/>
  <c r="C71" i="67"/>
  <c r="Q69" i="67"/>
  <c r="Q68" i="67" s="1"/>
  <c r="C40" i="67"/>
  <c r="T16" i="71"/>
  <c r="C15" i="71"/>
  <c r="D16" i="71"/>
  <c r="U16" i="71" s="1"/>
  <c r="K67" i="39"/>
  <c r="J69" i="39"/>
  <c r="C22" i="68"/>
  <c r="G52" i="33"/>
  <c r="H52" i="33" s="1"/>
  <c r="G53" i="33"/>
  <c r="H53" i="33" s="1"/>
  <c r="K63" i="40"/>
  <c r="J65" i="40"/>
  <c r="R49" i="33"/>
  <c r="E48" i="33"/>
  <c r="C28" i="68"/>
  <c r="C27" i="68" s="1"/>
  <c r="C52" i="11"/>
  <c r="B2" i="11" s="1"/>
  <c r="B3" i="11" s="1"/>
  <c r="C80" i="67"/>
  <c r="C79" i="67" s="1"/>
  <c r="C41" i="69"/>
  <c r="J16" i="67"/>
  <c r="J25" i="67" s="1"/>
  <c r="C46" i="69"/>
  <c r="C45" i="69" s="1"/>
  <c r="C22" i="69"/>
  <c r="C46" i="68"/>
  <c r="C45" i="68" s="1"/>
  <c r="C49" i="68" s="1"/>
  <c r="C51" i="68" s="1"/>
  <c r="Q66" i="15"/>
  <c r="Q75" i="15" s="1"/>
  <c r="Q57" i="15"/>
  <c r="Q62" i="15" s="1"/>
  <c r="I52" i="33"/>
  <c r="J52" i="33" s="1"/>
  <c r="L51" i="67"/>
  <c r="C31" i="69" l="1"/>
  <c r="C31" i="68"/>
  <c r="C52" i="68" s="1"/>
  <c r="B2" i="68" s="1"/>
  <c r="B3" i="68" s="1"/>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9" l="1"/>
  <c r="B2" i="69" s="1"/>
  <c r="C57" i="68"/>
  <c r="C56" i="68" s="1"/>
  <c r="L65" i="40"/>
  <c r="M63" i="40"/>
  <c r="B3" i="67"/>
  <c r="B2" i="67"/>
  <c r="Q57" i="67"/>
  <c r="Q62" i="67" s="1"/>
  <c r="Q66" i="67"/>
  <c r="Q75" i="67" s="1"/>
  <c r="L69" i="39"/>
  <c r="M67" i="39"/>
  <c r="D14" i="71"/>
  <c r="C13" i="71"/>
  <c r="B3" i="69"/>
  <c r="D19" i="9"/>
  <c r="D20" i="9"/>
  <c r="C57" i="69" l="1"/>
  <c r="C56" i="69" s="1"/>
  <c r="D21" i="9"/>
  <c r="D22" i="9"/>
  <c r="G19" i="9"/>
  <c r="G21" i="9" s="1"/>
  <c r="D102" i="9"/>
  <c r="D103" i="9"/>
  <c r="G20" i="9"/>
  <c r="C12" i="71"/>
  <c r="D13" i="71"/>
  <c r="N67" i="39"/>
  <c r="M69" i="39"/>
  <c r="M65" i="40"/>
  <c r="N63" i="40"/>
  <c r="O63" i="40" l="1"/>
  <c r="O65" i="40" s="1"/>
  <c r="N65" i="40"/>
  <c r="T12" i="71"/>
  <c r="C11" i="71"/>
  <c r="D12" i="71"/>
  <c r="U12" i="71" s="1"/>
  <c r="C32" i="9"/>
  <c r="E14" i="74"/>
  <c r="D14" i="74" s="1"/>
  <c r="N69" i="39"/>
  <c r="O67" i="39"/>
  <c r="O69" i="39" s="1"/>
  <c r="C10" i="71" l="1"/>
  <c r="D11" i="71"/>
  <c r="F14" i="74"/>
  <c r="B5" i="74"/>
  <c r="C35" i="9"/>
  <c r="C34" i="9" s="1"/>
  <c r="F7" i="39"/>
  <c r="H7" i="39"/>
  <c r="J7" i="39"/>
  <c r="H7" i="40"/>
  <c r="J7" i="40"/>
  <c r="F7" i="40"/>
  <c r="S7" i="40" l="1"/>
  <c r="AA7" i="40"/>
  <c r="R42" i="40" s="1"/>
  <c r="AA7" i="39"/>
  <c r="R47" i="39" s="1"/>
  <c r="S7" i="39"/>
  <c r="AB7" i="39"/>
  <c r="T47" i="39" s="1"/>
  <c r="G47" i="39" s="1"/>
  <c r="U7" i="39"/>
  <c r="D5" i="74"/>
  <c r="U7" i="40"/>
  <c r="AB7" i="40"/>
  <c r="T42" i="40" s="1"/>
  <c r="G42" i="40" s="1"/>
  <c r="AC7" i="40"/>
  <c r="V42" i="40" s="1"/>
  <c r="I42" i="40" s="1"/>
  <c r="W7" i="40"/>
  <c r="W7" i="39"/>
  <c r="AC7" i="39"/>
  <c r="V47" i="39" s="1"/>
  <c r="I47" i="39" s="1"/>
  <c r="D10" i="71"/>
  <c r="C9" i="71"/>
  <c r="R48" i="39" l="1"/>
  <c r="E47" i="39"/>
  <c r="I52" i="39" s="1"/>
  <c r="J52" i="39" s="1"/>
  <c r="I46" i="40"/>
  <c r="J46" i="40" s="1"/>
  <c r="I51" i="39"/>
  <c r="J51"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N58" i="9" l="1"/>
  <c r="P57" i="9"/>
  <c r="C5" i="74"/>
  <c r="M65" i="9"/>
  <c r="D53" i="9"/>
  <c r="D52" i="9"/>
  <c r="M48" i="9"/>
  <c r="L65" i="9"/>
  <c r="E97" i="9"/>
  <c r="N60" i="9"/>
  <c r="N59" i="9"/>
  <c r="N61" i="9"/>
  <c r="C7" i="74"/>
  <c r="B22" i="72"/>
  <c r="B47" i="72"/>
  <c r="D4" i="52"/>
  <c r="C104" i="9"/>
  <c r="H4" i="52"/>
  <c r="D11" i="52"/>
  <c r="E80" i="9"/>
  <c r="E81" i="9"/>
  <c r="G4" i="52"/>
  <c r="B52" i="72"/>
  <c r="C78" i="9"/>
  <c r="C73" i="9"/>
  <c r="C105" i="9"/>
  <c r="I4" i="52"/>
  <c r="B20" i="72"/>
  <c r="D5" i="53"/>
  <c r="D6" i="53"/>
  <c r="D119" i="9"/>
  <c r="D5" i="52"/>
  <c r="B49" i="72"/>
  <c r="L63" i="9"/>
  <c r="M63" i="9"/>
  <c r="M69" i="9"/>
  <c r="N69" i="9"/>
  <c r="F4" i="52"/>
  <c r="B51" i="72"/>
  <c r="B31" i="72"/>
  <c r="C81" i="9"/>
  <c r="C80" i="9"/>
  <c r="C93" i="9"/>
  <c r="C86" i="9"/>
  <c r="B36" i="72"/>
  <c r="H102" i="9"/>
  <c r="D7" i="53"/>
  <c r="B21" i="72"/>
  <c r="D15" i="53"/>
  <c r="H108" i="9"/>
  <c r="C6" i="74"/>
  <c r="L67" i="9"/>
  <c r="M67" i="9"/>
  <c r="L66" i="9"/>
  <c r="M66" i="9"/>
  <c r="D10" i="52"/>
  <c r="D124" i="9"/>
  <c r="D125" i="9"/>
  <c r="L64" i="9"/>
  <c r="M64" i="9"/>
  <c r="D17" i="53"/>
  <c r="D16" i="53"/>
  <c r="B34" i="72"/>
  <c r="D118" i="9"/>
  <c r="H110" i="9"/>
  <c r="D18" i="53"/>
  <c r="B35" i="72"/>
  <c r="D55" i="9"/>
  <c r="M53" i="9"/>
  <c r="N57" i="9"/>
  <c r="G118" i="9"/>
  <c r="F118" i="9"/>
  <c r="F119" i="9"/>
  <c r="F5" i="52"/>
  <c r="B53" i="72"/>
  <c r="M54" i="9"/>
  <c r="C68" i="9"/>
  <c r="D54" i="9"/>
  <c r="C72" i="9"/>
  <c r="C79" i="9"/>
  <c r="C96" i="9"/>
  <c r="E96" i="9"/>
  <c r="H119" i="9"/>
  <c r="H5" i="52"/>
  <c r="H109" i="9"/>
  <c r="M49" i="9"/>
  <c r="L68" i="9"/>
  <c r="M68" i="9"/>
  <c r="C64" i="9"/>
  <c r="C63" i="9"/>
  <c r="C67" i="9"/>
  <c r="D59" i="9"/>
  <c r="M55" i="9"/>
  <c r="E118" i="9"/>
  <c r="E4" i="52"/>
  <c r="B48"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裴蓓</author>
    <author>邹晓鸣</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70" authorId="2" shapeId="0">
      <text>
        <r>
          <rPr>
            <b/>
            <sz val="9"/>
            <color indexed="81"/>
            <rFont val="宋体"/>
            <family val="3"/>
            <charset val="134"/>
          </rPr>
          <t>裴蓓:</t>
        </r>
        <r>
          <rPr>
            <sz val="9"/>
            <color indexed="81"/>
            <rFont val="宋体"/>
            <family val="3"/>
            <charset val="134"/>
          </rPr>
          <t xml:space="preserve">
请删除库中2006-2-CP-04803（双榆树东里，20060811）的新装修记录。</t>
        </r>
      </text>
    </comment>
    <comment ref="A72" authorId="3" shapeId="0">
      <text>
        <r>
          <rPr>
            <b/>
            <sz val="9"/>
            <color indexed="81"/>
            <rFont val="宋体"/>
            <family val="3"/>
            <charset val="134"/>
          </rPr>
          <t>邹晓鸣:</t>
        </r>
        <r>
          <rPr>
            <sz val="9"/>
            <color indexed="81"/>
            <rFont val="宋体"/>
            <family val="3"/>
            <charset val="134"/>
          </rPr>
          <t xml:space="preserve">
请删除库里原记录</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<sst xmlns="http://schemas.openxmlformats.org/spreadsheetml/2006/main" count="11324" uniqueCount="3824">
  <si>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</si>
  <si>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</si>
  <si>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</si>
  <si>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</si>
  <si>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</si>
  <si>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</si>
  <si>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</si>
  <si>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</si>
  <si>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</si>
  <si>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</si>
  <si>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</si>
  <si>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</si>
  <si>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</si>
  <si>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</si>
  <si>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</si>
  <si>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</si>
  <si>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</si>
  <si>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</si>
  <si>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</si>
  <si>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</si>
  <si>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</si>
  <si>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</si>
  <si>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</si>
  <si>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</si>
  <si>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</si>
  <si>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</si>
  <si>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</si>
  <si>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</si>
  <si>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</si>
  <si>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</si>
  <si>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</si>
  <si>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</si>
  <si>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</si>
  <si>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</si>
  <si>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</si>
  <si>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</si>
  <si>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</si>
  <si>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</si>
  <si>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</si>
  <si>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</si>
  <si>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</si>
  <si>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</si>
  <si>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</si>
  <si>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</si>
  <si>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</si>
  <si>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</si>
  <si>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</si>
  <si>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</si>
  <si>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</si>
  <si>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</si>
  <si>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</si>
  <si>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</si>
  <si>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</si>
  <si>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</si>
  <si>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</si>
  <si>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</si>
  <si>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</si>
  <si>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</si>
  <si>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</si>
  <si>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</si>
  <si>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</si>
  <si>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</si>
  <si>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</si>
  <si>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</si>
  <si>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</si>
  <si>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</si>
  <si>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</si>
  <si>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</si>
  <si>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</si>
  <si>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</si>
  <si>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</si>
  <si>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</si>
  <si>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</si>
  <si>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</si>
  <si>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</si>
  <si>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</si>
  <si>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</si>
  <si>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</si>
  <si>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</si>
  <si>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</si>
  <si>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</si>
  <si>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</si>
  <si>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</si>
  <si>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</si>
  <si>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</si>
  <si>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</si>
  <si>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</si>
  <si>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</si>
  <si>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</si>
  <si>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</si>
  <si>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</si>
  <si>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</si>
  <si>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</si>
  <si>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</si>
  <si>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</si>
  <si>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</si>
  <si>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</si>
  <si>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</si>
  <si>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</si>
  <si>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</si>
  <si>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</si>
  <si>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</si>
  <si>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</si>
  <si>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</si>
  <si>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</si>
  <si>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</si>
  <si>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</si>
  <si>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</si>
  <si>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</si>
  <si>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</si>
  <si>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</si>
  <si>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</si>
  <si>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</si>
  <si>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</si>
  <si>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</si>
  <si>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</si>
  <si>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</si>
  <si>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</si>
  <si>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</si>
  <si>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</si>
  <si>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</si>
  <si>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</si>
  <si>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</si>
  <si>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</si>
  <si>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</si>
  <si>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</si>
  <si>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</si>
  <si>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</si>
  <si>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</si>
  <si>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</si>
  <si>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</si>
  <si>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</si>
  <si>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</si>
  <si>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</si>
  <si>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</si>
  <si>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</si>
  <si>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</si>
  <si>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</si>
  <si>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</si>
  <si>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</si>
  <si>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</si>
  <si>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</si>
  <si>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</si>
  <si>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</si>
  <si>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</si>
  <si>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</si>
  <si>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</si>
  <si>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</si>
  <si>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</si>
  <si>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</si>
  <si>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</si>
  <si>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</si>
  <si>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</si>
  <si>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</si>
  <si>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</si>
  <si>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</si>
  <si>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</si>
  <si>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</si>
  <si>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</si>
  <si>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</si>
  <si>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</si>
  <si>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</si>
  <si>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</si>
  <si>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</si>
  <si>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</si>
  <si>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</si>
  <si>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</si>
  <si>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</si>
  <si>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</si>
  <si>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</si>
  <si>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</si>
  <si>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</si>
  <si>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</si>
  <si>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</si>
  <si>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</si>
  <si>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</si>
  <si>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</si>
  <si>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</si>
  <si>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</si>
  <si>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</si>
  <si>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</si>
  <si>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</si>
  <si>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</si>
  <si>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</si>
  <si>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</si>
  <si>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</si>
  <si>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</si>
  <si>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</si>
  <si>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</si>
  <si>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</si>
  <si>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</si>
  <si>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</si>
  <si>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</si>
  <si>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</si>
  <si>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</si>
  <si>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</si>
  <si>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</si>
  <si>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</si>
  <si>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</si>
  <si>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</si>
  <si>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</si>
  <si>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</si>
  <si>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</si>
  <si>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</si>
  <si>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</si>
  <si>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</si>
  <si>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</si>
  <si>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</si>
  <si>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</si>
  <si>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</si>
  <si>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</si>
  <si>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</si>
  <si>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</si>
  <si>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</si>
  <si>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</si>
  <si>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</si>
  <si>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</si>
  <si>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</si>
  <si>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</si>
  <si>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</si>
  <si>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</si>
  <si>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</si>
  <si>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</si>
  <si>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</si>
  <si>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</si>
  <si>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</si>
  <si>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</si>
  <si>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</si>
  <si>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</si>
  <si>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</si>
  <si>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</si>
  <si>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</si>
  <si>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</si>
  <si>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</si>
  <si>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</si>
  <si>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</si>
  <si>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</si>
  <si>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</si>
  <si>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</si>
  <si>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</si>
  <si>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</si>
  <si>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</si>
  <si>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</si>
  <si>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</si>
  <si>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</si>
  <si>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</si>
  <si>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</si>
  <si>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</si>
  <si>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</si>
  <si>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</si>
  <si>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</si>
  <si>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</si>
  <si>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</si>
  <si>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</si>
  <si>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</si>
  <si>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</si>
  <si>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</si>
  <si>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</si>
  <si>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</si>
  <si>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</si>
  <si>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</si>
  <si>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</si>
  <si>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</si>
  <si>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</si>
  <si>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</si>
  <si>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</si>
  <si>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</si>
  <si>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</si>
  <si>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</si>
  <si>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</si>
  <si>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</si>
  <si>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</si>
  <si>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</si>
  <si>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</si>
  <si>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</si>
  <si>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</si>
  <si>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</si>
  <si>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</si>
  <si>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</si>
  <si>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</si>
  <si>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</si>
  <si>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</si>
  <si>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</si>
  <si>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</si>
  <si>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</si>
  <si>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</si>
  <si>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</si>
  <si>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</si>
  <si>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</si>
  <si>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</si>
  <si>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</si>
  <si>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</si>
  <si>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</si>
  <si>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</si>
  <si>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</si>
  <si>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</si>
  <si>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</si>
  <si>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</si>
  <si>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</si>
  <si>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</si>
  <si>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</si>
  <si>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</si>
  <si>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</si>
  <si>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</si>
  <si>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</si>
  <si>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</si>
  <si>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</si>
  <si>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</si>
  <si>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</si>
  <si>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</si>
  <si>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</si>
  <si>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</si>
  <si>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</si>
  <si>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</si>
  <si>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</si>
  <si>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</si>
  <si>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</si>
  <si>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</si>
  <si>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</si>
  <si>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</si>
  <si>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</si>
  <si>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</si>
  <si>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</si>
  <si>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</si>
  <si>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</si>
  <si>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</si>
  <si>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</si>
  <si>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</si>
  <si>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</si>
  <si>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</si>
  <si>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</si>
  <si>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</si>
  <si>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</si>
  <si>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</si>
  <si>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</si>
  <si>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</si>
  <si>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</si>
  <si>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</si>
  <si>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</si>
  <si>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</si>
  <si>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</si>
  <si>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</si>
  <si>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</si>
  <si>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</si>
  <si>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</si>
  <si>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</si>
  <si>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</si>
  <si>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</si>
  <si>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</si>
  <si>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</si>
  <si>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</si>
  <si>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</si>
  <si>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</si>
  <si>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</si>
  <si>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</si>
  <si>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</si>
  <si>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</si>
  <si>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</si>
  <si>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</si>
  <si>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</si>
  <si>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</si>
  <si>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</si>
  <si>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</si>
  <si>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</si>
  <si>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</si>
  <si>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</si>
  <si>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</si>
  <si>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</si>
  <si>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</si>
  <si>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</si>
  <si>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</si>
  <si>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</si>
  <si>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</si>
  <si>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</si>
  <si>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</si>
  <si>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</si>
  <si>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</si>
  <si>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</si>
  <si>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</si>
  <si>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</si>
  <si>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</si>
  <si>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</si>
  <si>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</si>
  <si>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</si>
  <si>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</si>
  <si>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</si>
  <si>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</si>
  <si>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</si>
  <si>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</si>
  <si>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</si>
  <si>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</si>
  <si>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</si>
  <si>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</si>
  <si>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</si>
  <si>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</si>
  <si>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</si>
  <si>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</si>
  <si>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</si>
  <si>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</si>
  <si>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</si>
  <si>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</si>
  <si>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</si>
  <si>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</si>
  <si>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</si>
  <si>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</si>
  <si>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</si>
  <si>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</si>
  <si>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</si>
  <si>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</si>
  <si>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</si>
  <si>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</si>
  <si>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</si>
  <si>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</si>
  <si>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</si>
  <si>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</si>
  <si>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</si>
  <si>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</si>
  <si>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</si>
  <si>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</si>
  <si>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</si>
  <si>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</si>
  <si>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</si>
  <si>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</si>
  <si>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</si>
  <si>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</si>
  <si>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</si>
  <si>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</si>
  <si>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</si>
  <si>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</si>
  <si>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</si>
  <si>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</si>
  <si>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</si>
  <si>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</si>
  <si>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</si>
  <si>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</si>
  <si>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</si>
  <si>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</si>
  <si>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</si>
  <si>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</si>
  <si>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</si>
  <si>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</si>
  <si>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</si>
  <si>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</si>
  <si>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</si>
  <si>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</si>
  <si>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</si>
  <si>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</si>
  <si>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</si>
  <si>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</si>
  <si>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</si>
  <si>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</si>
  <si>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</si>
  <si>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</si>
  <si>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</si>
  <si>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</si>
  <si>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</si>
  <si>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</si>
  <si>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</si>
  <si>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</si>
  <si>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</si>
  <si>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</si>
  <si>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</si>
  <si>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</si>
  <si>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</si>
  <si>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</si>
  <si>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</si>
  <si>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</si>
  <si>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</si>
  <si>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</si>
  <si>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</si>
  <si>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</si>
  <si>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</si>
  <si>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</si>
  <si>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</si>
  <si>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</si>
  <si>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</si>
  <si>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</si>
  <si>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</si>
  <si>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</si>
  <si>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</si>
  <si>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</si>
  <si>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</si>
  <si>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</si>
  <si>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</si>
  <si>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</si>
  <si>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</si>
  <si>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</si>
  <si>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</si>
  <si>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</si>
  <si>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</si>
  <si>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</si>
  <si>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</si>
  <si>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</si>
  <si>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</si>
  <si>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</si>
  <si>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</si>
  <si>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</si>
  <si>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</si>
  <si>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</si>
  <si>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</si>
  <si>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</si>
  <si>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</si>
  <si>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</si>
  <si>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</si>
  <si>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</si>
  <si>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</si>
  <si>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</si>
  <si>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</si>
  <si>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</si>
  <si>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</si>
  <si>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</si>
  <si>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</si>
  <si>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</si>
  <si>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</si>
  <si>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</si>
  <si>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</si>
  <si>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</si>
  <si>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</si>
  <si>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</si>
  <si>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</si>
  <si>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</si>
  <si>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</si>
  <si>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</si>
  <si>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</si>
  <si>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</si>
  <si>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</si>
  <si>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</si>
  <si>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</si>
  <si>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</si>
  <si>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</si>
  <si>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</si>
  <si>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</si>
  <si>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</si>
  <si>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</si>
  <si>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</si>
  <si>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</si>
  <si>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</si>
  <si>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</si>
  <si>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</si>
  <si>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</si>
  <si>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</si>
  <si>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</si>
  <si>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</si>
  <si>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</si>
  <si>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</si>
  <si>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</si>
  <si>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</si>
  <si>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</si>
  <si>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</si>
  <si>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</si>
  <si>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</si>
  <si>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</si>
  <si>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</si>
  <si>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</si>
  <si>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</si>
  <si>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</si>
  <si>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</si>
  <si>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</si>
  <si>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</si>
  <si>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</si>
  <si>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</si>
  <si>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</si>
  <si>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</si>
  <si>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</si>
  <si>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</si>
  <si>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</si>
  <si>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</si>
  <si>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</si>
  <si>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</si>
  <si>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</si>
  <si>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</si>
  <si>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</si>
  <si>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</si>
  <si>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</si>
  <si>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</si>
  <si>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</si>
  <si>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</si>
  <si>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</si>
  <si>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</si>
  <si>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</si>
  <si>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</si>
  <si>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</si>
  <si>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</si>
  <si>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</si>
  <si>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</si>
  <si>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</si>
  <si>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</si>
  <si>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</si>
  <si>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</si>
  <si>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</si>
  <si>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</si>
  <si>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</si>
  <si>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</si>
  <si>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</si>
  <si>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</si>
  <si>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</si>
  <si>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</si>
  <si>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</si>
  <si>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</si>
  <si>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</si>
  <si>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</si>
  <si>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</si>
  <si>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</si>
  <si>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</si>
  <si>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</si>
  <si>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</si>
  <si>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</si>
  <si>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</si>
  <si>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</si>
  <si>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</si>
  <si>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</si>
  <si>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</si>
  <si>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</si>
  <si>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</si>
  <si>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</si>
  <si>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</si>
  <si>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</si>
  <si>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</si>
  <si>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</si>
  <si>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</si>
  <si>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</si>
  <si>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</si>
  <si>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</si>
  <si>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</si>
  <si>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</si>
  <si>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</si>
  <si>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</si>
  <si>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</si>
  <si>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</si>
  <si>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</si>
  <si>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</si>
  <si>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</si>
  <si>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</si>
  <si>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</si>
  <si>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</si>
  <si>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</si>
  <si>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</si>
  <si>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</si>
  <si>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</si>
  <si>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</si>
  <si>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</si>
  <si>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</si>
  <si>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</si>
  <si>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</si>
  <si>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</si>
  <si>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</si>
  <si>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</si>
  <si>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</si>
  <si>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</si>
  <si>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</si>
  <si>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</si>
  <si>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</si>
  <si>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</si>
  <si>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</si>
  <si>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</si>
  <si>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</si>
  <si>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</si>
  <si>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</si>
  <si>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</si>
  <si>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</si>
  <si>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</si>
  <si>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</si>
  <si>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</si>
  <si>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</si>
  <si>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</si>
  <si>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</si>
  <si>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</si>
  <si>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</si>
  <si>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</si>
  <si>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</si>
  <si>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</si>
  <si>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</si>
  <si>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</si>
  <si>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</si>
  <si>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</si>
  <si>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</si>
  <si>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</si>
  <si>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</si>
  <si>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</si>
  <si>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</si>
  <si>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</si>
  <si>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</si>
  <si>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</si>
  <si>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</si>
  <si>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</si>
  <si>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</si>
  <si>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</si>
  <si>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</si>
  <si>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</si>
  <si>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</si>
  <si>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</si>
  <si>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</si>
  <si>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</si>
  <si>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</si>
  <si>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</si>
  <si>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</si>
  <si>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</si>
  <si>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</si>
  <si>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</si>
  <si>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</si>
  <si>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</si>
  <si>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</si>
  <si>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</si>
  <si>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</si>
  <si>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</si>
  <si>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</si>
  <si>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</si>
  <si>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</si>
  <si>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</si>
  <si>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</si>
  <si>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</si>
  <si>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</si>
  <si>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</si>
  <si>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</si>
  <si>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</si>
  <si>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</si>
  <si>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</si>
  <si>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</si>
  <si>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</si>
  <si>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</si>
  <si>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</si>
  <si>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</si>
  <si>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</si>
  <si>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</si>
  <si>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</si>
  <si>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</si>
  <si>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</si>
  <si>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</si>
  <si>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</si>
  <si>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</si>
  <si>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</si>
  <si>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</si>
  <si>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</si>
  <si>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</si>
  <si>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</si>
  <si>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</si>
  <si>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</si>
  <si>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</si>
  <si>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</si>
  <si>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</si>
  <si>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</si>
  <si>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</si>
  <si>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</si>
  <si>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</si>
  <si>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</si>
  <si>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</si>
  <si>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</si>
  <si>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</si>
  <si>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</si>
  <si>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</si>
  <si>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</si>
  <si>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</si>
  <si>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</si>
  <si>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</si>
  <si>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</si>
  <si>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</si>
  <si>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</si>
  <si>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</si>
  <si>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</si>
  <si>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</si>
  <si>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</si>
  <si>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</si>
  <si>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</si>
  <si>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</si>
  <si>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</si>
  <si>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</si>
  <si>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</si>
  <si>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</si>
  <si>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</si>
  <si>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</si>
  <si>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</si>
  <si>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</si>
  <si>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</si>
  <si>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</si>
  <si>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</si>
  <si>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</si>
  <si>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</si>
  <si>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</si>
  <si>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</si>
  <si>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</si>
  <si>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</si>
  <si>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</si>
  <si>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</si>
  <si>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</si>
  <si>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</si>
  <si>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</si>
  <si>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</si>
  <si>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</si>
  <si>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</si>
  <si>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</si>
  <si>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</si>
  <si>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</si>
  <si>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</si>
  <si>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</si>
  <si>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</si>
  <si>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</si>
  <si>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</si>
  <si>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</si>
  <si>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</si>
  <si>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</si>
  <si>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</si>
  <si>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</si>
  <si>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</si>
  <si>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</si>
  <si>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</si>
  <si>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</si>
  <si>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</si>
  <si>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</si>
  <si>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</si>
  <si>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</si>
  <si>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</si>
  <si>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</si>
  <si>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</si>
  <si>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</si>
  <si>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</si>
  <si>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</si>
  <si>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</si>
  <si>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</si>
  <si>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</si>
  <si>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</si>
  <si>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</si>
  <si>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</si>
  <si>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</si>
  <si>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</si>
  <si>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</si>
  <si>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</si>
  <si>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</si>
  <si>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</si>
  <si>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</si>
  <si>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</si>
  <si>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</si>
  <si>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</si>
  <si>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</si>
  <si>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</si>
  <si>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</si>
  <si>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</si>
  <si>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</si>
  <si>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</si>
  <si>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</si>
  <si>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</si>
  <si>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</si>
  <si>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</si>
  <si>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</si>
  <si>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</si>
  <si>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</si>
  <si>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</si>
  <si>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</si>
  <si>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</si>
  <si>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</si>
  <si>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</si>
  <si>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</si>
  <si>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</si>
  <si>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</si>
  <si>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</si>
  <si>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</si>
  <si>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</si>
  <si>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</si>
  <si>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</si>
  <si>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</si>
  <si>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</si>
  <si>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</si>
  <si>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</si>
  <si>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</si>
  <si>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</si>
  <si>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</si>
  <si>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</si>
  <si>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</si>
  <si>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</si>
  <si>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</si>
  <si>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</si>
  <si>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</si>
  <si>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</si>
  <si>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</si>
  <si>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</si>
  <si>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</si>
  <si>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</si>
  <si>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</si>
  <si>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</si>
  <si>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</si>
  <si>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</si>
  <si>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</si>
  <si>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</si>
  <si>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</si>
  <si>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</si>
  <si>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</si>
  <si>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</si>
  <si>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</si>
  <si>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</si>
  <si>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</si>
  <si>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</si>
  <si>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</si>
  <si>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</si>
  <si>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</si>
  <si>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</si>
  <si>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</si>
  <si>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</si>
  <si>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</si>
  <si>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</si>
  <si>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</si>
  <si>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</si>
  <si>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</si>
  <si>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</si>
  <si>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</si>
  <si>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</si>
  <si>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</si>
  <si>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</si>
  <si>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</si>
  <si>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</si>
  <si>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</si>
  <si>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</si>
  <si>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</si>
  <si>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</si>
  <si>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</si>
  <si>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</si>
  <si>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</si>
  <si>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</si>
  <si>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</si>
  <si>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</si>
  <si>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</si>
  <si>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</si>
  <si>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</si>
  <si>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</si>
  <si>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</si>
  <si>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</si>
  <si>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</si>
  <si>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</si>
  <si>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</si>
  <si>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</si>
  <si>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</si>
  <si>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</si>
  <si>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</si>
  <si>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</si>
  <si>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</si>
  <si>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</si>
  <si>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</si>
  <si>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</si>
  <si>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</si>
  <si>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</si>
  <si>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</si>
  <si>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</si>
  <si>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</si>
  <si>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</si>
  <si>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</si>
  <si>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</si>
  <si>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</si>
  <si>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</si>
  <si>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</si>
  <si>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</si>
  <si>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</si>
  <si>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</si>
  <si>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</si>
  <si>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</si>
  <si>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</si>
  <si>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</si>
  <si>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</si>
  <si>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</si>
  <si>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</si>
  <si>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</si>
  <si>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</si>
  <si>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</si>
  <si>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</si>
  <si>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</si>
  <si>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</si>
  <si>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</si>
  <si>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</si>
  <si>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</si>
  <si>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</si>
  <si>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</si>
  <si>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</si>
  <si>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</si>
  <si>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</si>
  <si>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</si>
  <si>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</si>
  <si>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</si>
  <si>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</si>
  <si>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</si>
  <si>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</si>
  <si>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</si>
  <si>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</si>
  <si>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</si>
  <si>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</si>
  <si>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</si>
  <si>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</si>
  <si>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</si>
  <si>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</si>
  <si>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</si>
  <si>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</si>
  <si>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</si>
  <si>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</si>
  <si>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</si>
  <si>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</si>
  <si>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</si>
  <si>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</si>
  <si>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</si>
  <si>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</si>
  <si>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</si>
  <si>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</si>
  <si>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</si>
  <si>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</si>
  <si>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</si>
  <si>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</si>
  <si>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</si>
  <si>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</si>
  <si>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</si>
  <si>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</si>
  <si>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</si>
  <si>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</si>
  <si>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</si>
  <si>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</si>
  <si>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</si>
  <si>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</si>
  <si>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</si>
  <si>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</si>
  <si>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</si>
  <si>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</si>
  <si>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</si>
  <si>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</si>
  <si>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</si>
  <si>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</si>
  <si>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</si>
  <si>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</si>
  <si>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</si>
  <si>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</si>
  <si>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</si>
  <si>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</si>
  <si>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</si>
  <si>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</si>
  <si>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</si>
  <si>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</si>
  <si>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</si>
  <si>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</si>
  <si>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</si>
  <si>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</si>
  <si>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</si>
  <si>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</si>
  <si>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</si>
  <si>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</si>
  <si>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</si>
  <si>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</si>
  <si>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</si>
  <si>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</si>
  <si>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</si>
  <si>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</si>
  <si>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</si>
  <si>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</si>
  <si>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</si>
  <si>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</si>
  <si>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</si>
  <si>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</si>
  <si>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</si>
  <si>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</si>
  <si>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</si>
  <si>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</si>
  <si>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</si>
  <si>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</si>
  <si>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</si>
  <si>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</si>
  <si>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</si>
  <si>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</si>
  <si>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</si>
  <si>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</si>
  <si>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</si>
  <si>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</si>
  <si>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</si>
  <si>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</si>
  <si>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</si>
  <si>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</si>
  <si>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</si>
  <si>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</si>
  <si>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</si>
  <si>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</si>
  <si>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</si>
  <si>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</si>
  <si>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</si>
  <si>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</si>
  <si>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</si>
  <si>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</si>
  <si>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</si>
  <si>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</si>
  <si>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</si>
  <si>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</si>
  <si>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</si>
  <si>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</si>
  <si>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</si>
  <si>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</si>
  <si>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</si>
  <si>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</si>
  <si>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</si>
  <si>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</si>
  <si>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</si>
  <si>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</si>
  <si>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</si>
  <si>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</si>
  <si>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</si>
  <si>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</si>
  <si>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</si>
  <si>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</si>
  <si>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</si>
  <si>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</si>
  <si>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</si>
  <si>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</si>
  <si>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</si>
  <si>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</si>
  <si>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</si>
  <si>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</si>
  <si>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</si>
  <si>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</si>
  <si>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</si>
  <si>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</si>
  <si>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</si>
  <si>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</si>
  <si>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</si>
  <si>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</si>
  <si>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</si>
  <si>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</si>
  <si>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</si>
  <si>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</si>
  <si>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</si>
  <si>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</si>
  <si>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</si>
  <si>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</si>
  <si>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</si>
  <si>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</si>
  <si>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</si>
  <si>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</si>
  <si>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</si>
  <si>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</si>
  <si>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</si>
  <si>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</si>
  <si>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</si>
  <si>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</si>
  <si>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</si>
  <si>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</si>
  <si>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</si>
  <si>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</si>
  <si>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</si>
  <si>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</si>
  <si>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</si>
  <si>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</si>
  <si>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</si>
  <si>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</si>
  <si>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</si>
  <si>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</si>
  <si>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</si>
  <si>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</si>
  <si>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</si>
  <si>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</si>
  <si>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</si>
  <si>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</si>
  <si>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</si>
  <si>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</si>
  <si>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</si>
  <si>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</si>
  <si>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</si>
  <si>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</si>
  <si>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</si>
  <si>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</si>
  <si>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</si>
  <si>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</si>
  <si>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</si>
  <si>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</si>
  <si>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</si>
  <si>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</si>
  <si>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</si>
  <si>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</si>
  <si>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</si>
  <si>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</si>
  <si>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</si>
  <si>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</si>
  <si>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</si>
  <si>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</si>
  <si>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</si>
  <si>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</si>
  <si>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</si>
  <si>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</si>
  <si>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</si>
  <si>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</si>
  <si>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</si>
  <si>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</si>
  <si>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</si>
  <si>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</si>
  <si>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</si>
  <si>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</si>
  <si>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</si>
  <si>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</si>
  <si>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</si>
  <si>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</si>
  <si>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</si>
  <si>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</si>
  <si>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</si>
  <si>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</si>
  <si>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</si>
  <si>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</si>
  <si>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</si>
  <si>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</si>
  <si>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</si>
  <si>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</si>
  <si>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</si>
  <si>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</si>
  <si>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</si>
  <si>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</si>
  <si>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</si>
  <si>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</si>
  <si>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</si>
  <si>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</si>
  <si>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</si>
  <si>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</si>
  <si>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</si>
  <si>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</si>
  <si>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</si>
  <si>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</si>
  <si>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</si>
  <si>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</si>
  <si>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</si>
  <si>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</si>
  <si>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</si>
  <si>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</si>
  <si>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</si>
  <si>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</si>
  <si>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</si>
  <si>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</si>
  <si>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</si>
  <si>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</si>
  <si>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</si>
  <si>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</si>
  <si>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</si>
  <si>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</si>
  <si>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</si>
  <si>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</si>
  <si>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</si>
  <si>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</si>
  <si>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</si>
  <si>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</si>
  <si>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</si>
  <si>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</si>
  <si>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</si>
  <si>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</si>
  <si>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</si>
  <si>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</si>
  <si>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</si>
  <si>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</si>
  <si>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</si>
  <si>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</si>
  <si>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</si>
  <si>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</si>
  <si>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</si>
  <si>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</si>
  <si>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</si>
  <si>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</si>
  <si>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</si>
  <si>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</si>
  <si>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</si>
  <si>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</si>
  <si>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</si>
  <si>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</si>
  <si>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</si>
  <si>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</si>
  <si>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</si>
  <si>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</si>
  <si>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</si>
  <si>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</si>
  <si>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</si>
  <si>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</si>
  <si>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</si>
  <si>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</si>
  <si>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</si>
  <si>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</si>
  <si>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</si>
  <si>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</si>
  <si>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</si>
  <si>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</si>
  <si>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</si>
  <si>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</si>
  <si>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</si>
  <si>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</si>
  <si>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</si>
  <si>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</si>
  <si>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</si>
  <si>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</si>
  <si>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</si>
  <si>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</si>
  <si>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</si>
  <si>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</si>
  <si>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</si>
  <si>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</si>
  <si>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</si>
  <si>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</si>
  <si>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</si>
  <si>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</si>
  <si>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</si>
  <si>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</si>
  <si>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</si>
  <si>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</si>
  <si>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</si>
  <si>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</si>
  <si>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</si>
  <si>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</si>
  <si>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</si>
  <si>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</si>
  <si>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</si>
  <si>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</si>
  <si>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</si>
  <si>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</si>
  <si>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</si>
  <si>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</si>
  <si>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</si>
  <si>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</si>
  <si>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</si>
  <si>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</si>
  <si>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</si>
  <si>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</si>
  <si>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</si>
  <si>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</si>
  <si>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</si>
  <si>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</si>
  <si>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</si>
  <si>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</si>
  <si>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</si>
  <si>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</si>
  <si>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</si>
  <si>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</si>
  <si>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</si>
  <si>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</si>
  <si>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</si>
  <si>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</si>
  <si>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</si>
  <si>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</si>
  <si>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</si>
  <si>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</si>
  <si>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</si>
  <si>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</si>
  <si>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</si>
  <si>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</si>
  <si>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</si>
  <si>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</si>
  <si>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</si>
  <si>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</si>
  <si>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</si>
  <si>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</si>
  <si>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</si>
  <si>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</si>
  <si>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</si>
  <si>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</si>
  <si>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</si>
  <si>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</si>
  <si>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</si>
  <si>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</si>
  <si>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</si>
  <si>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</si>
  <si>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</si>
  <si>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</si>
  <si>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</si>
  <si>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</si>
  <si>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</si>
  <si>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</si>
  <si>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</si>
  <si>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</si>
  <si>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</si>
  <si>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</si>
  <si>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</si>
  <si>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</si>
  <si>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</si>
  <si>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</si>
  <si>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</si>
  <si>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</si>
  <si>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</si>
  <si>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</si>
  <si>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</si>
  <si>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</si>
  <si>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</si>
  <si>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</si>
  <si>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</si>
  <si>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</si>
  <si>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</si>
  <si>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</si>
  <si>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</si>
  <si>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</si>
  <si>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</si>
  <si>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</si>
  <si>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</si>
  <si>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</si>
  <si>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</si>
  <si>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</si>
  <si>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</si>
  <si>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</si>
  <si>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</si>
  <si>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</si>
  <si>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</si>
  <si>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</si>
  <si>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</si>
  <si>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</si>
  <si>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</si>
  <si>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</si>
  <si>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</si>
  <si>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</si>
  <si>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</si>
  <si>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</si>
  <si>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</si>
  <si>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</si>
  <si>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</si>
  <si>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</si>
  <si>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</si>
  <si>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</si>
  <si>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</si>
  <si>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</si>
  <si>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</si>
  <si>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</si>
  <si>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</si>
  <si>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</si>
  <si>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</si>
  <si>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</si>
  <si>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</si>
  <si>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</si>
  <si>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</si>
  <si>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</si>
  <si>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</si>
  <si>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</si>
  <si>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</si>
  <si>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</si>
  <si>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</si>
  <si>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</si>
  <si>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</si>
  <si>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</si>
  <si>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</si>
  <si>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</si>
  <si>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</si>
  <si>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</si>
  <si>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</si>
  <si>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</si>
  <si>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</si>
  <si>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</si>
  <si>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</si>
  <si>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</si>
  <si>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</si>
  <si>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</si>
  <si>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</si>
  <si>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</si>
  <si>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</si>
  <si>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</si>
  <si>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</si>
  <si>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</si>
  <si>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</si>
  <si>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</si>
  <si>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</si>
  <si>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</si>
  <si>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</si>
  <si>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</si>
  <si>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</si>
  <si>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</si>
  <si>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</si>
  <si>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</si>
  <si>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</si>
  <si>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</si>
  <si>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</si>
  <si>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</si>
  <si>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</si>
  <si>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</si>
  <si>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</si>
  <si>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</si>
  <si>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</si>
  <si>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</si>
  <si>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</si>
  <si>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</si>
  <si>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</si>
  <si>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</si>
  <si>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</si>
  <si>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</si>
  <si>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</si>
  <si>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</si>
  <si>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</si>
  <si>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</si>
  <si>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</si>
  <si>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</si>
  <si>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</si>
  <si>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</si>
  <si>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</si>
  <si>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</si>
  <si>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</si>
  <si>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</si>
  <si>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</si>
  <si>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</si>
  <si>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</si>
  <si>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</si>
  <si>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</si>
  <si>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</si>
  <si>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</si>
  <si>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</si>
  <si>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</si>
  <si>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</si>
  <si>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</si>
  <si>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</si>
  <si>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</si>
  <si>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</si>
  <si>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</si>
  <si>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</si>
  <si>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</si>
  <si>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</si>
  <si>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</si>
  <si>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</si>
  <si>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</si>
  <si>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</si>
  <si>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</si>
  <si>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</si>
  <si>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</si>
  <si>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</si>
  <si>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</si>
  <si>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</si>
  <si>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</si>
  <si>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</si>
  <si>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</si>
  <si>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</si>
  <si>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</si>
  <si>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</si>
  <si>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</si>
  <si>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</si>
  <si>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</si>
  <si>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</si>
  <si>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</si>
  <si>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</si>
  <si>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</si>
  <si>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</si>
  <si>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</si>
  <si>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</si>
  <si>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</si>
  <si>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</si>
  <si>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</si>
  <si>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</si>
  <si>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</si>
  <si>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</si>
  <si>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</si>
  <si>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</si>
  <si>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</si>
  <si>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</si>
  <si>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</si>
  <si>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</si>
  <si>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</si>
  <si>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</si>
  <si>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</si>
  <si>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</si>
  <si>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</si>
  <si>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</si>
  <si>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</si>
  <si>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</si>
  <si>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</si>
  <si>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</si>
  <si>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</si>
  <si>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</si>
  <si>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</si>
  <si>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</si>
  <si>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</si>
  <si>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</si>
  <si>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</si>
  <si>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</si>
  <si>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</si>
  <si>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</si>
  <si>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</si>
  <si>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</si>
  <si>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</si>
  <si>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</si>
  <si>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</si>
  <si>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</si>
  <si>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</si>
  <si>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</si>
  <si>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</si>
  <si>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</si>
  <si>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</si>
  <si>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</si>
  <si>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</si>
  <si>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</si>
  <si>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</si>
  <si>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</si>
  <si>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</si>
  <si>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</si>
  <si>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</si>
  <si>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</si>
  <si>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</si>
  <si>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</si>
  <si>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</si>
  <si>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</si>
  <si>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</si>
  <si>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</si>
  <si>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</si>
  <si>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</si>
  <si>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</si>
  <si>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</si>
  <si>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</si>
  <si>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</si>
  <si>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</si>
  <si>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</si>
  <si>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</si>
  <si>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</si>
  <si>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</si>
  <si>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</si>
  <si>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</si>
  <si>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</si>
  <si>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</si>
  <si>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</si>
  <si>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</si>
  <si>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</si>
  <si>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</si>
  <si>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</si>
  <si>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</si>
  <si>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</si>
  <si>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</si>
  <si>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</si>
  <si>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</si>
  <si>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</si>
  <si>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</si>
  <si>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</si>
  <si>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</si>
  <si>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</si>
  <si>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</si>
  <si>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</si>
  <si>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</si>
  <si>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</si>
  <si>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</si>
  <si>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</si>
  <si>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</si>
  <si>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</si>
  <si>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</si>
  <si>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</si>
  <si>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</si>
  <si>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</si>
  <si>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</si>
  <si>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</si>
  <si>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</si>
  <si>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</si>
  <si>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</si>
  <si>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</si>
  <si>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</si>
  <si>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</si>
  <si>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</si>
  <si>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</si>
  <si>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</si>
  <si>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</si>
  <si>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</si>
  <si>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</si>
  <si>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</si>
  <si>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</si>
  <si>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</si>
  <si>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</si>
  <si>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</si>
  <si>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</si>
  <si>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</si>
  <si>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</si>
  <si>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</si>
  <si>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</si>
  <si>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</si>
  <si>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</si>
  <si>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</si>
  <si>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</si>
  <si>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</si>
  <si>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</si>
  <si>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</si>
  <si>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</si>
  <si>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</si>
  <si>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</si>
  <si>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</si>
  <si>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</si>
  <si>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</si>
  <si>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</si>
  <si>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</si>
  <si>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</si>
  <si>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</si>
  <si>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</si>
  <si>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</si>
  <si>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</si>
  <si>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</si>
  <si>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</si>
  <si>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</si>
  <si>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</si>
  <si>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</si>
  <si>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</si>
  <si>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</si>
  <si>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</si>
  <si>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</si>
  <si>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</si>
  <si>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</si>
  <si>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</si>
  <si>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</si>
  <si>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</si>
  <si>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</si>
  <si>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</si>
  <si>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</si>
  <si>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</si>
  <si>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</si>
  <si>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</si>
  <si>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</si>
  <si>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</si>
  <si>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</si>
  <si>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</si>
  <si>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</si>
  <si>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</si>
  <si>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</si>
  <si>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</si>
  <si>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</si>
  <si>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</si>
  <si>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</si>
  <si>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</si>
  <si>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</si>
  <si>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</si>
  <si>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</si>
  <si>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</si>
  <si>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</si>
  <si>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</si>
  <si>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</si>
  <si>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</si>
  <si>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</si>
  <si>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</si>
  <si>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</si>
  <si>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</si>
  <si>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</si>
  <si>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</si>
  <si>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</si>
  <si>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</si>
  <si>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</si>
  <si>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</si>
  <si>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</si>
  <si>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</si>
  <si>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</si>
  <si>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</si>
  <si>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</si>
  <si>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</si>
  <si>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</si>
  <si>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</si>
  <si>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</si>
  <si>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</si>
  <si>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</si>
  <si>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</si>
  <si>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</si>
  <si>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</si>
  <si>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</si>
  <si>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</si>
  <si>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</si>
  <si>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</si>
  <si>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</si>
  <si>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</si>
  <si>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</si>
  <si>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</si>
  <si>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</si>
  <si>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</si>
  <si>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</si>
  <si>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</si>
  <si>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</si>
  <si>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</si>
  <si>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</si>
  <si>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</si>
  <si>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</si>
  <si>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</si>
  <si>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</si>
  <si>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</si>
  <si>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</si>
  <si>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</si>
  <si>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</si>
  <si>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</si>
  <si>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</si>
  <si>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</si>
  <si>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</si>
  <si>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</si>
  <si>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</si>
  <si>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</si>
  <si>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</si>
  <si>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</si>
  <si>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</si>
  <si>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</si>
  <si>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</si>
  <si>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</si>
  <si>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</si>
  <si>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</si>
  <si>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</si>
  <si>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</si>
  <si>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</si>
  <si>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</si>
  <si>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</si>
  <si>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</si>
  <si>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</si>
  <si>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</si>
  <si>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</si>
  <si>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</si>
  <si>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</si>
  <si>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</si>
  <si>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</si>
  <si>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</si>
  <si>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</si>
  <si>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</si>
  <si>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</si>
  <si>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</si>
  <si>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</si>
  <si>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</si>
  <si>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</si>
  <si>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</si>
  <si>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</si>
  <si>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</si>
  <si>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</si>
  <si>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</si>
  <si>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</si>
  <si>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</si>
  <si>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</si>
  <si>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</si>
  <si>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</si>
  <si>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</si>
  <si>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</si>
  <si>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</si>
  <si>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</si>
  <si>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</si>
  <si>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</si>
  <si>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</si>
  <si>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</si>
  <si>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</si>
  <si>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</si>
  <si>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</si>
  <si>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</si>
  <si>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</si>
  <si>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</si>
  <si>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</si>
  <si>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</si>
  <si>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</si>
  <si>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</si>
  <si>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</si>
  <si>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</si>
  <si>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</si>
  <si>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</si>
  <si>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</si>
  <si>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</si>
  <si>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</si>
  <si>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</si>
  <si>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</si>
  <si>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</si>
  <si>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</si>
  <si>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</si>
  <si>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</si>
  <si>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</si>
  <si>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</si>
  <si>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</si>
  <si>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</si>
  <si>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</si>
  <si>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</si>
  <si>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</si>
  <si>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</si>
  <si>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</si>
  <si>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</si>
  <si>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</si>
  <si>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</si>
  <si>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</si>
  <si>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</si>
  <si>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</si>
  <si>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</si>
  <si>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</si>
  <si>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</si>
  <si>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</si>
  <si>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</si>
  <si>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</si>
  <si>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</si>
  <si>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</si>
  <si>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</si>
  <si>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</si>
  <si>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</si>
  <si>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</si>
  <si>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</si>
  <si>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</si>
  <si>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</si>
  <si>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</si>
  <si>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</si>
  <si>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</si>
  <si>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</si>
  <si>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</si>
  <si>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</si>
  <si>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</si>
  <si>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</si>
  <si>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</si>
  <si>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</si>
  <si>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</si>
  <si>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</si>
  <si>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</si>
  <si>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</si>
  <si>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</si>
  <si>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</si>
  <si>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</si>
  <si>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</si>
  <si>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</si>
  <si>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</si>
  <si>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</si>
  <si>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</si>
  <si>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</si>
  <si>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</si>
  <si>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</si>
  <si>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</si>
  <si>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</si>
  <si>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</si>
  <si>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</si>
  <si>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</si>
  <si>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</si>
  <si>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</si>
  <si>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</si>
  <si>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</si>
  <si>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</si>
  <si>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</si>
  <si>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</si>
  <si>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</si>
  <si>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</si>
  <si>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</si>
  <si>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</si>
  <si>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</si>
  <si>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</si>
  <si>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</si>
  <si>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</si>
  <si>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</si>
  <si>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</si>
  <si>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</si>
  <si>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</si>
  <si>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</si>
  <si>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</si>
  <si>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</si>
  <si>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</si>
  <si>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</si>
  <si>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</si>
  <si>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</si>
  <si>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</si>
  <si>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</si>
  <si>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</si>
  <si>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</si>
  <si>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</si>
  <si>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</si>
  <si>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</si>
  <si>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</si>
  <si>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</si>
  <si>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</si>
  <si>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</si>
  <si>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</si>
  <si>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</si>
  <si>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</si>
  <si>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</si>
  <si>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</si>
  <si>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</si>
  <si>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</si>
  <si>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</si>
  <si>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</si>
  <si>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</si>
  <si>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</si>
  <si>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</si>
  <si>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</si>
  <si>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</si>
  <si>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</si>
  <si>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</si>
  <si>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</si>
  <si>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</si>
  <si>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</si>
  <si>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</si>
  <si>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</si>
  <si>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</si>
  <si>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</si>
  <si>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</si>
  <si>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</si>
  <si>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</si>
  <si>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</si>
  <si>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</si>
  <si>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</si>
  <si>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</si>
  <si>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</si>
  <si>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</si>
  <si>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</si>
  <si>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</si>
  <si>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</si>
  <si>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</si>
  <si>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</si>
  <si>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</si>
  <si>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</si>
  <si>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</si>
  <si>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</si>
  <si>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</si>
  <si>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</si>
  <si>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</si>
  <si>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</si>
  <si>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</si>
  <si>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</si>
  <si>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</si>
  <si>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</si>
  <si>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</si>
  <si>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</si>
  <si>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</si>
  <si>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</si>
  <si>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</si>
  <si>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</si>
  <si>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</si>
  <si>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</si>
  <si>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</si>
  <si>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</si>
  <si>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</si>
  <si>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</si>
  <si>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</si>
  <si>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</si>
  <si>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</si>
  <si>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</si>
  <si>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</si>
  <si>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</si>
  <si>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</si>
  <si>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</si>
  <si>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</si>
  <si>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</si>
  <si>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</si>
  <si>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</si>
  <si>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</si>
  <si>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</si>
  <si>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</si>
  <si>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</si>
  <si>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</si>
  <si>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</si>
  <si>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</si>
  <si>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</si>
  <si>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</si>
  <si>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</si>
  <si>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</si>
  <si>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</si>
  <si>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</si>
  <si>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</si>
  <si>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</si>
  <si>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</si>
  <si>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</si>
  <si>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</si>
  <si>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</si>
  <si>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</si>
  <si>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</si>
  <si>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</si>
  <si>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</si>
  <si>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</si>
  <si>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</si>
  <si>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</si>
  <si>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</si>
  <si>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</si>
  <si>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</si>
  <si>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</si>
  <si>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</si>
  <si>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</si>
  <si>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</si>
  <si>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</si>
  <si>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</si>
  <si>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</si>
  <si>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</si>
  <si>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</si>
  <si>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</si>
  <si>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</si>
  <si>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</si>
  <si>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</si>
  <si>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</si>
  <si>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</si>
  <si>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</si>
  <si>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</si>
  <si>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</si>
  <si>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</si>
  <si>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</si>
  <si>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</si>
  <si>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</si>
  <si>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</si>
  <si>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</si>
  <si>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</si>
  <si>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</si>
  <si>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</si>
  <si>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</si>
  <si>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</si>
  <si>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</si>
  <si>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</si>
  <si>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</si>
  <si>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</si>
  <si>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</si>
  <si>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</si>
  <si>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</si>
  <si>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</si>
  <si>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</si>
  <si>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</si>
  <si>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</si>
  <si>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</si>
  <si>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</si>
  <si>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</si>
  <si>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</si>
  <si>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</si>
  <si>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</si>
  <si>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</si>
  <si>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</si>
  <si>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</si>
  <si>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</si>
  <si>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</si>
  <si>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</si>
  <si>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</si>
  <si>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</si>
  <si>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</si>
  <si>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</si>
  <si>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</si>
  <si>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</si>
  <si>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</si>
  <si>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</si>
  <si>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</si>
  <si>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</si>
  <si>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</si>
  <si>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</si>
  <si>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</si>
  <si>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</si>
  <si>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</si>
  <si>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</si>
  <si>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</si>
  <si>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</si>
  <si>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</si>
  <si>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</si>
  <si>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</si>
  <si>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</si>
  <si>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</si>
  <si>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</si>
  <si>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</si>
  <si>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</si>
  <si>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</si>
  <si>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</si>
  <si>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</si>
  <si>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</si>
  <si>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</si>
  <si>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</si>
  <si>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</si>
  <si>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</si>
  <si>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</si>
  <si>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</si>
  <si>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</si>
  <si>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</si>
  <si>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</si>
  <si>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</si>
  <si>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</si>
  <si>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</si>
  <si>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</si>
  <si>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</si>
  <si>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</si>
  <si>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</si>
  <si>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</si>
  <si>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</si>
  <si>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</si>
  <si>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</si>
  <si>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</si>
  <si>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</si>
  <si>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</si>
  <si>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</si>
  <si>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</si>
  <si>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</si>
  <si>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</si>
  <si>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</si>
  <si>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</si>
  <si>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</si>
  <si>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</si>
  <si>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</si>
  <si>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</si>
  <si>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</si>
  <si>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</si>
  <si>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</si>
  <si>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</si>
  <si>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</si>
  <si>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</si>
  <si>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</si>
  <si>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</si>
  <si>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</si>
  <si>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</si>
  <si>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</si>
  <si>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</si>
  <si>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</si>
  <si>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</si>
  <si>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</si>
  <si>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</si>
  <si>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</si>
  <si>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</si>
  <si>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</si>
  <si>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</si>
  <si>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</si>
  <si>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</si>
  <si>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</si>
  <si>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</si>
  <si>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</si>
  <si>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</si>
  <si>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</si>
  <si>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</si>
  <si>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</si>
  <si>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</si>
  <si>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</si>
  <si>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</si>
  <si>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</si>
  <si>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</si>
  <si>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</si>
  <si>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</si>
  <si>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</si>
  <si>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</si>
  <si>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</si>
  <si>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</si>
  <si>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</si>
  <si>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</si>
  <si>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</si>
  <si>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</si>
  <si>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</si>
  <si>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</si>
  <si>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</si>
  <si>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</si>
  <si>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</si>
  <si>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</si>
  <si>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</si>
  <si>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</si>
  <si>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</si>
  <si>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</si>
  <si>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</si>
  <si>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</si>
  <si>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</si>
  <si>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</si>
  <si>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</si>
  <si>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</si>
  <si>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</si>
  <si>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</si>
  <si>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</si>
  <si>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</si>
  <si>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</si>
  <si>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</si>
  <si>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</si>
  <si>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</si>
  <si>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</si>
  <si>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</si>
  <si>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</si>
  <si>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</si>
  <si>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</si>
  <si>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</si>
  <si>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</si>
  <si>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</si>
  <si>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</si>
  <si>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</si>
  <si>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</si>
  <si>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</si>
  <si>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</si>
  <si>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</si>
  <si>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</si>
  <si>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</si>
  <si>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</si>
  <si>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</si>
  <si>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</si>
  <si>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</si>
  <si>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</si>
  <si>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</si>
  <si>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</si>
  <si>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</si>
  <si>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</si>
  <si>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</si>
  <si>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</si>
  <si>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</si>
  <si>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</si>
  <si>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</si>
  <si>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</si>
  <si>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</si>
  <si>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</si>
  <si>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</si>
  <si>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</si>
  <si>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</si>
  <si>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</si>
  <si>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</si>
  <si>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</si>
  <si>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</si>
  <si>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</si>
  <si>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</si>
  <si>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</si>
  <si>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</si>
  <si>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</si>
  <si>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</si>
  <si>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</si>
  <si>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</si>
  <si>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</si>
  <si>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</si>
  <si>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</si>
  <si>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</si>
  <si>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</si>
  <si>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</si>
  <si>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</si>
  <si>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</si>
  <si>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</si>
  <si>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</si>
  <si>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</si>
  <si>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</si>
  <si>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</si>
  <si>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</si>
  <si>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</si>
  <si>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</si>
  <si>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</si>
  <si>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</si>
  <si>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</si>
  <si>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</si>
  <si>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</si>
  <si>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</si>
  <si>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</si>
  <si>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</si>
  <si>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</si>
  <si>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</si>
  <si>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</si>
  <si>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</si>
  <si>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</si>
  <si>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</si>
  <si>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</si>
  <si>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</si>
  <si>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</si>
  <si>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</si>
  <si>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</si>
  <si>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</si>
  <si>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</si>
  <si>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</si>
  <si>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</si>
  <si>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</si>
  <si>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</si>
  <si>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</si>
  <si>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</si>
  <si>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</si>
  <si>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</si>
  <si>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</si>
  <si>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</si>
  <si>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</si>
  <si>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</si>
  <si>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</si>
  <si>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</si>
  <si>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</si>
  <si>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</si>
  <si>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</si>
  <si>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</si>
  <si>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</si>
  <si>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</si>
  <si>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</si>
  <si>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</si>
  <si>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</si>
  <si>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</si>
  <si>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</si>
  <si>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</si>
  <si>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</si>
  <si>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</si>
  <si>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</si>
  <si>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</si>
  <si>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</si>
  <si>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</si>
  <si>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</si>
  <si>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</si>
  <si>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</si>
  <si>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</si>
  <si>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</si>
  <si>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</si>
  <si>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</si>
  <si>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</si>
  <si>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</si>
  <si>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</si>
  <si>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</si>
  <si>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</si>
  <si>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</si>
  <si>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</si>
  <si>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</si>
  <si>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</si>
  <si>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</si>
  <si>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</si>
  <si>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</si>
  <si>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</si>
  <si>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</si>
  <si>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</si>
  <si>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</si>
  <si>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</si>
  <si>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</si>
  <si>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</si>
  <si>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</si>
  <si>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</si>
  <si>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</si>
  <si>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</si>
  <si>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</si>
  <si>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</si>
  <si>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</si>
  <si>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</si>
  <si>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</si>
  <si>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</si>
  <si>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</si>
  <si>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</si>
  <si>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</si>
  <si>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</si>
  <si>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</si>
  <si>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</si>
  <si>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</si>
  <si>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</si>
  <si>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</si>
  <si>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</si>
  <si>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</si>
  <si>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</si>
  <si>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</si>
  <si>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</si>
  <si>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</si>
  <si>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</si>
  <si>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</si>
  <si>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</si>
  <si>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</si>
  <si>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</si>
  <si>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</si>
  <si>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</si>
  <si>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</si>
  <si>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</si>
  <si>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</si>
  <si>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</si>
  <si>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</si>
  <si>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</si>
  <si>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</si>
  <si>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</si>
  <si>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</si>
  <si>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</si>
  <si>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</si>
  <si>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</si>
  <si>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</si>
  <si>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</si>
  <si>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</si>
  <si>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</si>
  <si>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</si>
  <si>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</si>
  <si>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</si>
  <si>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</si>
  <si>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</si>
  <si>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</si>
  <si>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</si>
  <si>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</si>
  <si>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</si>
  <si>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</si>
  <si>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</si>
  <si>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</si>
  <si>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</si>
  <si>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</si>
  <si>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</si>
  <si>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</si>
  <si>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</si>
  <si>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</si>
  <si>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</si>
  <si>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</si>
  <si>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</si>
  <si>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</si>
  <si>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</si>
  <si>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</si>
  <si>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</si>
  <si>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</si>
  <si>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</si>
  <si>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</si>
  <si>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</si>
  <si>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</si>
  <si>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</si>
  <si>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</si>
  <si>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</si>
  <si>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</si>
  <si>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</si>
  <si>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</si>
  <si>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</si>
  <si>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</si>
  <si>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</si>
  <si>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</si>
  <si>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</si>
  <si>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</si>
  <si>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</si>
  <si>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</si>
  <si>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</si>
  <si>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</si>
  <si>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</si>
  <si>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</si>
  <si>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</si>
  <si>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</si>
  <si>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</si>
  <si>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</si>
  <si>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</si>
  <si>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</si>
  <si>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</si>
  <si>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</si>
  <si>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</si>
  <si>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</si>
  <si>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</si>
  <si>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</si>
  <si>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</si>
  <si>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</si>
  <si>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</si>
  <si>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</si>
  <si>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</si>
  <si>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</si>
  <si>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</si>
  <si>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</si>
  <si>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</si>
  <si>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</si>
  <si>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</si>
  <si>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</si>
  <si>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</si>
  <si>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</si>
  <si>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</si>
  <si>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</si>
  <si>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</si>
  <si>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</si>
  <si>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</si>
  <si>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</si>
  <si>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</si>
  <si>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</si>
  <si>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</si>
  <si>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</si>
  <si>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</si>
  <si>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</si>
  <si>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</si>
  <si>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</si>
  <si>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</si>
  <si>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</si>
  <si>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</si>
  <si>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</si>
  <si>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</si>
  <si>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</si>
  <si>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</si>
  <si>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</si>
  <si>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</si>
  <si>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</si>
  <si>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</si>
  <si>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</si>
  <si>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</si>
  <si>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</si>
  <si>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</si>
  <si>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</si>
  <si>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</si>
  <si>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</si>
  <si>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</si>
  <si>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</si>
  <si>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</si>
  <si>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</si>
  <si>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</si>
  <si>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</si>
  <si>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</si>
  <si>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</si>
  <si>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</si>
  <si>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</si>
  <si>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</si>
  <si>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</si>
  <si>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</si>
  <si>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</si>
  <si>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</si>
  <si>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</si>
  <si>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</si>
  <si>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</si>
  <si>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</si>
  <si>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</si>
  <si>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</si>
  <si>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</si>
  <si>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</si>
  <si>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</si>
  <si>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</si>
  <si>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</si>
  <si>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</si>
  <si>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</si>
  <si>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</si>
  <si>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</si>
  <si>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</si>
  <si>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</si>
  <si>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</si>
  <si>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</si>
  <si>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</si>
  <si>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</si>
  <si>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</si>
  <si>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</si>
  <si>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</si>
  <si>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</si>
  <si>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</si>
  <si>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</si>
  <si>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</si>
  <si>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</si>
  <si>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</si>
  <si>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</si>
  <si>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</si>
  <si>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</si>
  <si>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</si>
  <si>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</si>
  <si>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</si>
  <si>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</si>
  <si>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</si>
  <si>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</si>
  <si>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</si>
  <si>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</si>
  <si>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</si>
  <si>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</si>
  <si>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</si>
  <si>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</si>
  <si>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</si>
  <si>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</si>
  <si>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</si>
  <si>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</si>
  <si>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</si>
  <si>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</si>
  <si>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</si>
  <si>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</si>
  <si>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</si>
  <si>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</si>
  <si>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</si>
  <si>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</si>
  <si>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</si>
  <si>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</si>
  <si>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</si>
  <si>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</si>
  <si>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</si>
  <si>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</si>
  <si>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</si>
  <si>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</si>
  <si>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</si>
  <si>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</si>
  <si>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</si>
  <si>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</si>
  <si>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</si>
  <si>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</si>
  <si>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</si>
  <si>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</si>
  <si>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</si>
  <si>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</si>
  <si>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</si>
  <si>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</si>
  <si>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</si>
  <si>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</si>
  <si>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</si>
  <si>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</si>
  <si>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</si>
  <si>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</si>
  <si>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</si>
  <si>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</si>
  <si>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</si>
  <si>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</si>
  <si>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</si>
  <si>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</si>
  <si>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</si>
  <si>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</si>
  <si>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</si>
  <si>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</si>
  <si>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</si>
  <si>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</si>
  <si>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</si>
  <si>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</si>
  <si>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</si>
  <si>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</si>
  <si>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</si>
  <si>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</si>
  <si>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</si>
  <si>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</si>
  <si>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</si>
  <si>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</si>
  <si>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</si>
  <si>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</si>
  <si>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</si>
  <si>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</si>
  <si>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</si>
  <si>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</si>
  <si>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</si>
  <si>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</si>
  <si>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</si>
  <si>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</si>
  <si>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</si>
  <si>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</si>
  <si>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</si>
  <si>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</si>
  <si>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</si>
  <si>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</si>
  <si>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</si>
  <si>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</si>
  <si>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</si>
  <si>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</si>
  <si>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</si>
  <si>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</si>
  <si>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</si>
  <si>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</si>
  <si>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</si>
  <si>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</si>
  <si>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</si>
  <si>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</si>
  <si>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</si>
  <si>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</si>
  <si>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</si>
  <si>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</si>
  <si>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</si>
  <si>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</si>
  <si>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</si>
  <si>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</si>
  <si>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</si>
  <si>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</si>
  <si>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</si>
  <si>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</si>
  <si>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</si>
  <si>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</si>
  <si>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</si>
  <si>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</si>
  <si>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</si>
  <si>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</si>
  <si>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</si>
  <si>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</si>
  <si>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</si>
  <si>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</si>
  <si>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</si>
  <si>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</si>
  <si>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</si>
  <si>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</si>
  <si>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</si>
  <si>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</si>
  <si>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</si>
  <si>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</si>
  <si>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</si>
  <si>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</si>
  <si>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</si>
  <si>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</si>
  <si>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</si>
  <si>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</si>
  <si>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</si>
  <si>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</si>
  <si>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</si>
  <si>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</si>
  <si>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</si>
  <si>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</si>
  <si>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</si>
  <si>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</si>
  <si>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</si>
  <si>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</si>
  <si>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</si>
  <si>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</si>
  <si>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</si>
  <si>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</si>
  <si>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</si>
  <si>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</si>
  <si>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</si>
  <si>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</si>
  <si>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</si>
  <si>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</si>
  <si>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</si>
  <si>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</si>
  <si>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</si>
  <si>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</si>
  <si>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</si>
  <si>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</si>
  <si>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</si>
  <si>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</si>
  <si>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</si>
  <si>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</si>
  <si>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</si>
  <si>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</si>
  <si>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</si>
  <si>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</si>
  <si>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</si>
  <si>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</si>
  <si>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</si>
  <si>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</si>
  <si>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</si>
  <si>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</si>
  <si>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</si>
  <si>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</si>
  <si>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</si>
  <si>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</si>
  <si>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</si>
  <si>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</si>
  <si>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</si>
  <si>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</si>
  <si>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</si>
  <si>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</si>
  <si>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</si>
  <si>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</si>
  <si>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</si>
  <si>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</si>
  <si>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</si>
  <si>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</si>
  <si>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</si>
  <si>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</si>
  <si>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</si>
  <si>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</si>
  <si>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</si>
  <si>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</si>
  <si>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</si>
  <si>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</si>
  <si>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</si>
  <si>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</si>
  <si>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</si>
  <si>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</si>
  <si>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</si>
  <si>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</si>
  <si>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</si>
  <si>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</si>
  <si>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</si>
  <si>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</si>
  <si>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</si>
  <si>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</si>
  <si>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</si>
  <si>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</si>
  <si>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</si>
  <si>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</si>
  <si>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</si>
  <si>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</si>
  <si>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</si>
  <si>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</si>
  <si>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</si>
  <si>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</si>
  <si>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</si>
  <si>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</si>
  <si>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</si>
  <si>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</si>
  <si>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</si>
  <si>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</si>
  <si>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</si>
  <si>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</si>
  <si>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</si>
  <si>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</si>
  <si>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</si>
  <si>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</si>
  <si>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</si>
  <si>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</si>
  <si>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</si>
  <si>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</si>
  <si>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</si>
  <si>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</si>
  <si>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</si>
  <si>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</si>
  <si>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</si>
  <si>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</si>
  <si>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</si>
  <si>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</si>
  <si>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</si>
  <si>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</si>
  <si>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</si>
  <si>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</si>
  <si>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</si>
  <si>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</si>
  <si>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</si>
  <si>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</si>
  <si>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</si>
  <si>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</si>
  <si>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</si>
  <si>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</si>
  <si>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</si>
  <si>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</si>
  <si>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</si>
  <si>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</si>
  <si>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</si>
  <si>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</si>
  <si>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</si>
  <si>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</si>
  <si>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</si>
  <si>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</si>
  <si>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</si>
  <si>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</si>
  <si>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</si>
  <si>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</si>
  <si>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</si>
  <si>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</si>
  <si>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</si>
  <si>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</si>
  <si>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</si>
  <si>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</si>
  <si>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</si>
  <si>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</si>
  <si>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</si>
  <si>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</si>
  <si>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</si>
  <si>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</si>
  <si>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</si>
  <si>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</si>
  <si>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</si>
  <si>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</si>
  <si>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</si>
  <si>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</si>
  <si>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</si>
  <si>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</si>
  <si>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</si>
  <si>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</si>
  <si>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</si>
  <si>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</si>
  <si>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</si>
  <si>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</si>
  <si>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</si>
  <si>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</si>
  <si>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</si>
  <si>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</si>
  <si>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</si>
  <si>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</si>
  <si>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</si>
  <si>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</si>
  <si>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</si>
  <si>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</si>
  <si>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</si>
  <si>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</si>
  <si>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</si>
  <si>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</si>
  <si>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</si>
  <si>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</si>
  <si>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</si>
  <si>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</si>
  <si>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</si>
  <si>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</si>
  <si>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</si>
  <si>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</si>
  <si>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</si>
  <si>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</si>
  <si>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</si>
  <si>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</si>
  <si>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</si>
  <si>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</si>
  <si>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</si>
  <si>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</si>
  <si>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</si>
  <si>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</si>
  <si>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</si>
  <si>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</si>
  <si>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</si>
  <si>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</si>
  <si>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</si>
  <si>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</si>
  <si>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</si>
  <si>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</si>
  <si>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</si>
  <si>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</si>
  <si>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</si>
  <si>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</si>
  <si>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</si>
  <si>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</si>
  <si>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</si>
  <si>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</si>
  <si>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</si>
  <si>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</si>
  <si>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</si>
  <si>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</si>
  <si>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</si>
  <si>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</si>
  <si>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</si>
  <si>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</si>
  <si>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</si>
  <si>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</si>
  <si>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</si>
  <si>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</si>
  <si>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</si>
  <si>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</si>
  <si>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</si>
  <si>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</si>
  <si>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</si>
  <si>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</si>
  <si>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</si>
  <si>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</si>
  <si>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</si>
  <si>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</si>
  <si>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</si>
  <si>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</si>
  <si>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</si>
  <si>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</si>
  <si>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</si>
  <si>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</si>
  <si>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</si>
  <si>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</si>
  <si>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</si>
  <si>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</si>
  <si>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</si>
  <si>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</si>
  <si>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</si>
  <si>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</si>
  <si>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</si>
  <si>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</si>
  <si>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</si>
  <si>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</si>
  <si>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</si>
  <si>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</si>
  <si>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</si>
  <si>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</si>
  <si>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</si>
  <si>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</si>
  <si>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</si>
  <si>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</si>
  <si>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</si>
  <si>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</si>
  <si>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</si>
  <si>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</si>
  <si>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</si>
  <si>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</si>
  <si>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</si>
  <si>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</si>
  <si>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</si>
  <si>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</si>
  <si>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</si>
  <si>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</si>
  <si>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</si>
  <si>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</si>
  <si>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</si>
  <si>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</si>
  <si>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</si>
  <si>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</si>
  <si>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</si>
  <si>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</si>
  <si>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</si>
  <si>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</si>
  <si>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</si>
  <si>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</si>
  <si>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</si>
  <si>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</si>
  <si>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</si>
  <si>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</si>
  <si>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</si>
  <si>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</si>
  <si>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</si>
  <si>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</si>
  <si>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</si>
  <si>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</si>
  <si>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</si>
  <si>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</si>
  <si>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</si>
  <si>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</si>
  <si>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</si>
  <si>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</si>
  <si>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</si>
  <si>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</si>
  <si>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</si>
  <si>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</si>
  <si>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</si>
  <si>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</si>
  <si>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</si>
  <si>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</si>
  <si>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</si>
  <si>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</si>
  <si>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</si>
  <si>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</si>
  <si>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</si>
  <si>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</si>
  <si>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</si>
  <si>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</si>
  <si>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</si>
  <si>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</si>
  <si>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</si>
  <si>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</si>
  <si>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</si>
  <si>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</si>
  <si>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</si>
  <si>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</si>
  <si>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</si>
  <si>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</si>
  <si>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</si>
  <si>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</si>
  <si>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</si>
  <si>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</si>
  <si>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</si>
  <si>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</si>
  <si>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</si>
  <si>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</si>
  <si>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</si>
  <si>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</si>
  <si>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</si>
  <si>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</si>
  <si>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</si>
  <si>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</si>
  <si>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</si>
  <si>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</si>
  <si>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</si>
  <si>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</si>
  <si>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</si>
  <si>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</si>
  <si>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</si>
  <si>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</si>
  <si>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</si>
  <si>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</si>
  <si>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</si>
  <si>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</si>
  <si>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</si>
  <si>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</si>
  <si>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</si>
  <si>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</si>
  <si>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</si>
  <si>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</si>
  <si>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</si>
  <si>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</si>
  <si>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</si>
  <si>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</si>
  <si>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</si>
  <si>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</si>
  <si>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</si>
  <si>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</si>
  <si>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</si>
  <si>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</si>
  <si>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</si>
  <si>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</si>
  <si>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</si>
  <si>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</si>
  <si>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</si>
  <si>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</si>
  <si>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</si>
  <si>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</si>
  <si>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</si>
  <si>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</si>
  <si>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</si>
  <si>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</si>
  <si>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</si>
  <si>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</si>
  <si>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</si>
  <si>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</si>
  <si>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</si>
  <si>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</si>
  <si>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</si>
  <si>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</si>
  <si>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</si>
  <si>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</si>
  <si>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</si>
  <si>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</si>
  <si>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</si>
  <si>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</si>
  <si>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</si>
  <si>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</si>
  <si>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</si>
  <si>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</si>
  <si>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</si>
  <si>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</si>
  <si>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</si>
  <si>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</si>
  <si>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</si>
  <si>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</si>
  <si>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</si>
  <si>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</si>
  <si>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</si>
  <si>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</si>
  <si>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</si>
  <si>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</si>
  <si>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</si>
  <si>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评估人电话</t>
    <phoneticPr fontId="99"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</si>
  <si>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</si>
  <si>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</si>
  <si>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</si>
  <si>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</si>
  <si>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</si>
  <si>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</si>
  <si>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</si>
  <si>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</si>
  <si>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</si>
  <si>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</si>
  <si>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</si>
  <si>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</si>
  <si>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</si>
  <si>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</si>
  <si>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</si>
  <si>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</si>
  <si>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</si>
  <si>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</si>
  <si>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</si>
  <si>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</si>
  <si>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</si>
  <si>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</si>
  <si>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</si>
  <si>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</si>
  <si>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</si>
  <si>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</si>
  <si>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</si>
  <si>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办公电话</t>
    <phoneticPr fontId="99" type="noConversion"/>
  </si>
  <si>
    <t>移动电话</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</si>
  <si>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</si>
  <si>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</si>
  <si>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</si>
  <si>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</si>
  <si>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</si>
  <si>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</si>
  <si>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</si>
  <si>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</si>
  <si>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</si>
  <si>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</si>
  <si>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</si>
  <si>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</si>
  <si>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</si>
  <si>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</si>
  <si>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</si>
  <si>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</si>
  <si>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</si>
  <si>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</si>
  <si>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</si>
  <si>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</si>
  <si>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</si>
  <si>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</si>
  <si>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</si>
  <si>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</si>
  <si>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</si>
  <si>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</si>
  <si>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</si>
  <si>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</si>
  <si>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2006-2-CP-10073-U</t>
  </si>
  <si>
    <t>李文立</t>
  </si>
  <si>
    <t>110111196708092834</t>
  </si>
  <si>
    <t>13691390222</t>
  </si>
  <si>
    <t>三义庙新华服装厂大华衬衫厂宿舍</t>
  </si>
  <si>
    <t>5号楼</t>
  </si>
  <si>
    <t>11门</t>
  </si>
  <si>
    <t>402号</t>
  </si>
  <si>
    <t>邵桂芳</t>
  </si>
  <si>
    <t>91302006121260</t>
  </si>
  <si>
    <t>赵亚群</t>
  </si>
  <si>
    <t>现为三义庙北17号楼</t>
  </si>
  <si>
    <t>协议</t>
  </si>
  <si>
    <t>不含任何税费</t>
  </si>
  <si>
    <t>2006-21-P-01191-U</t>
  </si>
  <si>
    <t>顾红杰</t>
  </si>
  <si>
    <t>110106197801112725</t>
  </si>
  <si>
    <t>双榆树南里二区</t>
  </si>
  <si>
    <t>6号楼</t>
  </si>
  <si>
    <t>北京住房公积金管理中心海淀管理部</t>
  </si>
  <si>
    <t>2006-3-1D1-00177CJD</t>
  </si>
  <si>
    <t>彭俊明</t>
  </si>
  <si>
    <t>张国威</t>
  </si>
  <si>
    <t>含装修费</t>
  </si>
  <si>
    <t>2006-22-P-00901-U</t>
  </si>
  <si>
    <t>秦俊兵</t>
  </si>
  <si>
    <t>110108197406125414</t>
  </si>
  <si>
    <t>13911858334、51523236</t>
  </si>
  <si>
    <t>双榆树东里</t>
  </si>
  <si>
    <t>21号楼</t>
  </si>
  <si>
    <t>2门12号</t>
  </si>
  <si>
    <t>郭钟麟</t>
  </si>
  <si>
    <t>2006-22-P-09042-U</t>
  </si>
  <si>
    <t>王信东</t>
  </si>
  <si>
    <t>110106197112020016</t>
  </si>
  <si>
    <t>13910395079</t>
  </si>
  <si>
    <t>北三环西路双榆树</t>
  </si>
  <si>
    <t>1101号</t>
  </si>
  <si>
    <t>李雪生</t>
  </si>
  <si>
    <t>91302006111434</t>
  </si>
  <si>
    <t>现楼牌号为双榆树南里二区</t>
  </si>
  <si>
    <t>62158286、13910893971</t>
  </si>
  <si>
    <t>含中介费</t>
  </si>
  <si>
    <t>2006-2-CP-00979-U</t>
  </si>
  <si>
    <t>于飞</t>
  </si>
  <si>
    <t>110102197612220051</t>
  </si>
  <si>
    <t>13910162476</t>
  </si>
  <si>
    <t>28号楼</t>
  </si>
  <si>
    <t>907号</t>
  </si>
  <si>
    <t>8</t>
  </si>
  <si>
    <t>评估免费</t>
  </si>
  <si>
    <t>卢恩贵</t>
  </si>
  <si>
    <t>史博</t>
  </si>
  <si>
    <t>211402198010300412</t>
  </si>
  <si>
    <t>13366766313</t>
  </si>
  <si>
    <t>李铁群</t>
  </si>
  <si>
    <t>91302006080621</t>
  </si>
  <si>
    <t>2006-2-CP-05279-U</t>
  </si>
  <si>
    <t>邓中秋</t>
  </si>
  <si>
    <t>430124197608188661</t>
  </si>
  <si>
    <t>13261960818</t>
  </si>
  <si>
    <t>双榆树西里</t>
  </si>
  <si>
    <t>1102号</t>
  </si>
  <si>
    <t>刘京颖</t>
  </si>
  <si>
    <t>91302006081281</t>
  </si>
  <si>
    <t>含装修</t>
  </si>
  <si>
    <t>2006-2-CP-06355-U</t>
  </si>
  <si>
    <t>邵悦阳、虞恩益</t>
  </si>
  <si>
    <t>642123197706070768、330222197702252198</t>
  </si>
  <si>
    <t>13641241877</t>
  </si>
  <si>
    <t>15号楼</t>
  </si>
  <si>
    <t>202号</t>
  </si>
  <si>
    <t>那敏珍</t>
  </si>
  <si>
    <t>91302006091213</t>
  </si>
  <si>
    <t>2006-2-CP-06672-U</t>
  </si>
  <si>
    <t>张向阳</t>
  </si>
  <si>
    <t>110108195305090030</t>
  </si>
  <si>
    <t>13693287399</t>
  </si>
  <si>
    <t>四层402号</t>
  </si>
  <si>
    <t>刘亚平</t>
  </si>
  <si>
    <t>刘珊</t>
  </si>
  <si>
    <t>2006-2-CP-07590-U</t>
  </si>
  <si>
    <t>赵建军</t>
  </si>
  <si>
    <t>110228197108010062</t>
  </si>
  <si>
    <t>13716240162</t>
  </si>
  <si>
    <t>双榆树北路</t>
  </si>
  <si>
    <t>甲1号楼</t>
  </si>
  <si>
    <t>1门</t>
  </si>
  <si>
    <t>103号</t>
  </si>
  <si>
    <t>91302006101030</t>
  </si>
  <si>
    <t>记税价45万</t>
  </si>
  <si>
    <t>京房权证海私移字第0095677号</t>
  </si>
  <si>
    <t>杨长发、王慧俐</t>
  </si>
  <si>
    <t>110108195608231830、110108195509031825</t>
  </si>
  <si>
    <t>13693226810</t>
  </si>
  <si>
    <t>双榆树北里</t>
  </si>
  <si>
    <t>203号</t>
  </si>
  <si>
    <t>李玉霞</t>
  </si>
  <si>
    <t>三室一厅一卫一厨（原为二室二厅一卫一厨）</t>
  </si>
  <si>
    <t>91302006101395</t>
  </si>
  <si>
    <t>记税价46万</t>
  </si>
  <si>
    <t>彭京庆</t>
  </si>
  <si>
    <t>110108196312267310</t>
  </si>
  <si>
    <t>13683530398</t>
  </si>
  <si>
    <t>2号楼</t>
  </si>
  <si>
    <t>309号</t>
  </si>
  <si>
    <t>王桂香</t>
  </si>
  <si>
    <t>91302006101478</t>
  </si>
  <si>
    <t>汪鸿</t>
  </si>
  <si>
    <t>2006-2-CP-09042-U</t>
  </si>
  <si>
    <t>2006-21-P-00446</t>
  </si>
  <si>
    <t>元慧</t>
  </si>
  <si>
    <t>140402197903080425</t>
  </si>
  <si>
    <t>13671313046、82339266</t>
  </si>
  <si>
    <t>知春路西五道口2号楼号地块荣上居（西五道口住宅楼）</t>
  </si>
  <si>
    <t>第7层</t>
  </si>
  <si>
    <t>07C2号</t>
  </si>
  <si>
    <t>中垦集团房地产有限责任公司</t>
  </si>
  <si>
    <t>北京住房公积金管理中心中关村管理部</t>
  </si>
  <si>
    <t>176307</t>
  </si>
  <si>
    <t>韩静</t>
  </si>
  <si>
    <t>2006-21-P-00447</t>
  </si>
  <si>
    <t>裴明涛</t>
  </si>
  <si>
    <t>130403197703301515</t>
  </si>
  <si>
    <t>13501325190、69840938</t>
  </si>
  <si>
    <t>06B10号</t>
  </si>
  <si>
    <t>174874</t>
  </si>
  <si>
    <t>2006-21-P-02135</t>
  </si>
  <si>
    <t>罗嘉</t>
  </si>
  <si>
    <t>450501781222061</t>
  </si>
  <si>
    <t>81736673、13911562903、88851544-8501</t>
  </si>
  <si>
    <t>知春路西五道口2号楼号地块荣上居（西五道口住宅楼）</t>
    <phoneticPr fontId="227" type="noConversion"/>
  </si>
  <si>
    <t>07B10号</t>
  </si>
  <si>
    <t>内外装修</t>
  </si>
  <si>
    <t>238442</t>
  </si>
  <si>
    <t>2006-22-P-00221</t>
  </si>
  <si>
    <t>郝海生</t>
  </si>
  <si>
    <t>150302197511150515</t>
  </si>
  <si>
    <t>09C1号</t>
  </si>
  <si>
    <t>174711</t>
  </si>
  <si>
    <t>北京市西城区西四砖塔胡同56号</t>
  </si>
  <si>
    <t>1000001001730（4-2）</t>
  </si>
  <si>
    <t>周宗宝</t>
  </si>
  <si>
    <t>2006-22-P-00402</t>
  </si>
  <si>
    <t>张静</t>
  </si>
  <si>
    <t>133025198106106707</t>
  </si>
  <si>
    <t>05C5号</t>
  </si>
  <si>
    <t>北京住房公积金管理中心东城管理部</t>
  </si>
  <si>
    <t>169825</t>
  </si>
  <si>
    <t>2006-22-P-00579</t>
  </si>
  <si>
    <t>高志</t>
  </si>
  <si>
    <t>140103196305156333</t>
  </si>
  <si>
    <t>04H号</t>
  </si>
  <si>
    <t>北京住房公积金管理中心方庄管理部</t>
  </si>
  <si>
    <t>173653</t>
  </si>
  <si>
    <t>张颖</t>
  </si>
  <si>
    <t>2006-22-P-00860</t>
  </si>
  <si>
    <t>金晟</t>
  </si>
  <si>
    <t>420106197001100905</t>
  </si>
  <si>
    <t>13801391416</t>
  </si>
  <si>
    <t>13H号</t>
  </si>
  <si>
    <t>北京住房公积金管理中心朝阳管理部</t>
  </si>
  <si>
    <t>175276</t>
  </si>
  <si>
    <t>2006-22-P-00942</t>
  </si>
  <si>
    <t>刘增光</t>
  </si>
  <si>
    <t>130302196911183510</t>
  </si>
  <si>
    <t>13911225499</t>
  </si>
  <si>
    <t>08F号</t>
  </si>
  <si>
    <t>146154</t>
  </si>
  <si>
    <t>2006-22-P-01137</t>
  </si>
  <si>
    <t>樊凡</t>
  </si>
  <si>
    <t>110111198002048224</t>
  </si>
  <si>
    <t>03D号</t>
  </si>
  <si>
    <t>北京住房公积金管理中心燕山管理部</t>
  </si>
  <si>
    <t>175465</t>
  </si>
  <si>
    <t>2006-22-P-01423</t>
  </si>
  <si>
    <t>赵良晶</t>
  </si>
  <si>
    <t>420106197911204033</t>
  </si>
  <si>
    <t>08C2号</t>
  </si>
  <si>
    <t>2006-22-P-01425</t>
  </si>
  <si>
    <t>李少春</t>
  </si>
  <si>
    <t>610103198212153653</t>
  </si>
  <si>
    <t>05H号</t>
  </si>
  <si>
    <t>170598</t>
  </si>
  <si>
    <t>刘梅</t>
  </si>
  <si>
    <t>2006-22-P-01550</t>
  </si>
  <si>
    <t>王艳</t>
  </si>
  <si>
    <t>13010719720328122X</t>
  </si>
  <si>
    <t>第6层</t>
  </si>
  <si>
    <t>06B12号</t>
  </si>
  <si>
    <t>2006-22-P-01759</t>
  </si>
  <si>
    <t>袁治、汪洁</t>
  </si>
  <si>
    <t>120103197704101111、130203197711010346</t>
  </si>
  <si>
    <t>13910109840</t>
  </si>
  <si>
    <t>06F号</t>
  </si>
  <si>
    <t>137690</t>
  </si>
  <si>
    <t>2006-22-P-01904</t>
  </si>
  <si>
    <t>林贵斌</t>
  </si>
  <si>
    <t>452223197804033514</t>
  </si>
  <si>
    <t>13911827836</t>
  </si>
  <si>
    <t>14层</t>
  </si>
  <si>
    <t>14C5号</t>
  </si>
  <si>
    <t>2006-22-P-01951</t>
  </si>
  <si>
    <t>陈辉</t>
  </si>
  <si>
    <t>110108197404181420</t>
  </si>
  <si>
    <t>11F号</t>
  </si>
  <si>
    <t>2006-22-P-02509</t>
  </si>
  <si>
    <t>安睿娟</t>
  </si>
  <si>
    <t>110106197308073929</t>
  </si>
  <si>
    <t>13501297760、68095956</t>
  </si>
  <si>
    <t>16层</t>
  </si>
  <si>
    <t>16C2号</t>
  </si>
  <si>
    <t>182998</t>
  </si>
  <si>
    <t>2006-22-P-03618</t>
  </si>
  <si>
    <t>黄智鹏</t>
  </si>
  <si>
    <t>429006198010015515</t>
  </si>
  <si>
    <t>13810398432</t>
  </si>
  <si>
    <t>06C4号</t>
  </si>
  <si>
    <t>191720</t>
  </si>
  <si>
    <t>2006-22-P-04243</t>
  </si>
  <si>
    <t>王刚</t>
  </si>
  <si>
    <t>110108196706245712</t>
  </si>
  <si>
    <t>13522025448</t>
  </si>
  <si>
    <t>17层</t>
  </si>
  <si>
    <t>17D号</t>
  </si>
  <si>
    <t>基本完工</t>
  </si>
  <si>
    <t>200469</t>
  </si>
  <si>
    <t>2006-22-P-04801</t>
  </si>
  <si>
    <t>李冬霞</t>
  </si>
  <si>
    <t>430524760816322</t>
  </si>
  <si>
    <t>13910220710</t>
  </si>
  <si>
    <t>06G号</t>
  </si>
  <si>
    <t>212171</t>
  </si>
  <si>
    <t>2006-22-P-04976</t>
  </si>
  <si>
    <t>王冀川</t>
  </si>
  <si>
    <t>110228195605010072</t>
  </si>
  <si>
    <t>07D号</t>
  </si>
  <si>
    <t>北京住房公积金管理中心密云管理部</t>
  </si>
  <si>
    <t>207249</t>
  </si>
  <si>
    <t>2006-22-P-05338</t>
  </si>
  <si>
    <t>李晨</t>
  </si>
  <si>
    <t>110102198005200029</t>
  </si>
  <si>
    <t>13901139185</t>
  </si>
  <si>
    <t>第5层</t>
  </si>
  <si>
    <t>05D号</t>
  </si>
  <si>
    <t>216345</t>
  </si>
  <si>
    <t>2006-2-CP-00306</t>
  </si>
  <si>
    <t>张应华</t>
  </si>
  <si>
    <t>110105196307071146</t>
  </si>
  <si>
    <t>13701157996</t>
  </si>
  <si>
    <t>第3层</t>
  </si>
  <si>
    <t>03I号</t>
  </si>
  <si>
    <t>228369</t>
  </si>
  <si>
    <t>2006-2-CP-00496</t>
  </si>
  <si>
    <t>黄荣</t>
  </si>
  <si>
    <t>430104197311134632</t>
  </si>
  <si>
    <t>13611366747</t>
  </si>
  <si>
    <t>06I号</t>
  </si>
  <si>
    <t>221209</t>
  </si>
  <si>
    <t>2006-2-CP-00650</t>
  </si>
  <si>
    <t>姜向荣</t>
  </si>
  <si>
    <t>37061119771205112X</t>
  </si>
  <si>
    <t>13693044357</t>
  </si>
  <si>
    <t>第10层</t>
  </si>
  <si>
    <t>10B13号</t>
  </si>
  <si>
    <t>236160</t>
  </si>
  <si>
    <t>2006-2-CP-00727</t>
  </si>
  <si>
    <t>白锐、安之若</t>
  </si>
  <si>
    <t>610113197801220410、110103198103090923</t>
  </si>
  <si>
    <t>13691540196</t>
  </si>
  <si>
    <t>第9层</t>
  </si>
  <si>
    <t>09G号</t>
  </si>
  <si>
    <t>242671</t>
  </si>
  <si>
    <t>2006-2-CP-00818</t>
  </si>
  <si>
    <t>董宏英</t>
  </si>
  <si>
    <t>130702196610150346</t>
  </si>
  <si>
    <t>13124797323</t>
  </si>
  <si>
    <t>第11层</t>
  </si>
  <si>
    <t>11B10号</t>
  </si>
  <si>
    <t>241275</t>
  </si>
  <si>
    <t>2006-2-CP-01106</t>
  </si>
  <si>
    <t>李朗凯</t>
  </si>
  <si>
    <t>120223197903272678</t>
  </si>
  <si>
    <t>知春路西五道口2号楼号地块荣上居</t>
  </si>
  <si>
    <t>西五道口住宅楼</t>
  </si>
  <si>
    <t>10J号</t>
  </si>
  <si>
    <t>211571</t>
  </si>
  <si>
    <t>2006-2-CP-01514</t>
  </si>
  <si>
    <t>谭思思</t>
  </si>
  <si>
    <t>43010319780801404X</t>
  </si>
  <si>
    <t>13810301588</t>
  </si>
  <si>
    <t>04B7号</t>
  </si>
  <si>
    <t>240587</t>
  </si>
  <si>
    <t>2006-2-CP-01739</t>
  </si>
  <si>
    <t>孔羽</t>
  </si>
  <si>
    <t>640202197508210020</t>
  </si>
  <si>
    <t>81558509、13911891056、13141282216</t>
  </si>
  <si>
    <t>知春路西五道口2号楼号地块荣上居西五道口住宅楼</t>
  </si>
  <si>
    <t>07B13号</t>
  </si>
  <si>
    <t>236279</t>
  </si>
  <si>
    <t>2006-2-CP-02098</t>
  </si>
  <si>
    <t>张晓格</t>
  </si>
  <si>
    <t>132302760717142</t>
  </si>
  <si>
    <t>13641150816</t>
  </si>
  <si>
    <t>第17层</t>
  </si>
  <si>
    <t>17C6号</t>
  </si>
  <si>
    <t>42.6</t>
  </si>
  <si>
    <t>17</t>
  </si>
  <si>
    <t>30.67</t>
  </si>
  <si>
    <t>474758</t>
  </si>
  <si>
    <t>11060</t>
  </si>
  <si>
    <t>9</t>
  </si>
  <si>
    <t>250341</t>
  </si>
  <si>
    <t>2006-2-CP-02385</t>
  </si>
  <si>
    <t>赵鹍、赵鹏</t>
  </si>
  <si>
    <t>370102197902084543、370881198007131129</t>
  </si>
  <si>
    <t>13810686693</t>
  </si>
  <si>
    <t>第8层</t>
  </si>
  <si>
    <t>08J号</t>
  </si>
  <si>
    <t>40.99</t>
  </si>
  <si>
    <t>29.51</t>
  </si>
  <si>
    <t>426091</t>
  </si>
  <si>
    <t>10370</t>
  </si>
  <si>
    <t>14</t>
  </si>
  <si>
    <t>254928</t>
  </si>
  <si>
    <t>2006-2-CP-02398</t>
  </si>
  <si>
    <t>谭智勇、王丽鑫</t>
  </si>
  <si>
    <t>510107197902100011、320625197701167169</t>
  </si>
  <si>
    <t>13522551695</t>
  </si>
  <si>
    <t>03G号</t>
  </si>
  <si>
    <t>52.25</t>
  </si>
  <si>
    <t>37.61</t>
  </si>
  <si>
    <t>521507</t>
  </si>
  <si>
    <t>9900</t>
  </si>
  <si>
    <t>233772</t>
  </si>
  <si>
    <t>2006-2-CP-02716</t>
  </si>
  <si>
    <t>赵辉</t>
  </si>
  <si>
    <t>110108195803120431</t>
  </si>
  <si>
    <t>13161037726</t>
  </si>
  <si>
    <t>03B3号</t>
  </si>
  <si>
    <t>52.76</t>
  </si>
  <si>
    <t>37.98</t>
  </si>
  <si>
    <t>547088</t>
  </si>
  <si>
    <t>10280</t>
  </si>
  <si>
    <t>20</t>
  </si>
  <si>
    <t>267248</t>
  </si>
  <si>
    <t>2006-2-CP-02795</t>
  </si>
  <si>
    <t>胡岩</t>
  </si>
  <si>
    <t>130102198003050331</t>
  </si>
  <si>
    <t>13911626176</t>
  </si>
  <si>
    <t>07B12号</t>
  </si>
  <si>
    <t>52.59</t>
  </si>
  <si>
    <t>7</t>
  </si>
  <si>
    <t>37.86</t>
  </si>
  <si>
    <t>535740</t>
  </si>
  <si>
    <t>10100</t>
  </si>
  <si>
    <t>21</t>
  </si>
  <si>
    <t>245039</t>
  </si>
  <si>
    <t>2006-2-CP-02894</t>
  </si>
  <si>
    <t>刘凌云</t>
  </si>
  <si>
    <t>610404197404281017</t>
  </si>
  <si>
    <t>13601361225</t>
  </si>
  <si>
    <t>05F号</t>
  </si>
  <si>
    <t>69.95</t>
  </si>
  <si>
    <t>50.35</t>
  </si>
  <si>
    <t>601570</t>
  </si>
  <si>
    <t>8435</t>
  </si>
  <si>
    <t>23</t>
  </si>
  <si>
    <t>267840</t>
  </si>
  <si>
    <t>2006-2-CP-03573</t>
  </si>
  <si>
    <t>邓雪晖</t>
  </si>
  <si>
    <t>510303691221052</t>
  </si>
  <si>
    <t>13910296871</t>
  </si>
  <si>
    <t>17J号</t>
  </si>
  <si>
    <t>44.85</t>
  </si>
  <si>
    <t>32.29</t>
  </si>
  <si>
    <t>511789</t>
  </si>
  <si>
    <t>11325</t>
  </si>
  <si>
    <t>11</t>
  </si>
  <si>
    <t>91302006070413</t>
  </si>
  <si>
    <t>282825</t>
  </si>
  <si>
    <t>2006-2-CP-03582</t>
  </si>
  <si>
    <t>张睿哲</t>
  </si>
  <si>
    <t>420111197003145585</t>
  </si>
  <si>
    <t>13521105840</t>
  </si>
  <si>
    <t>第15层</t>
  </si>
  <si>
    <t>15G号</t>
  </si>
  <si>
    <t>15</t>
  </si>
  <si>
    <t>574469</t>
  </si>
  <si>
    <t>10900</t>
  </si>
  <si>
    <t>91302006070424</t>
  </si>
  <si>
    <t>八</t>
  </si>
  <si>
    <t>268949</t>
  </si>
  <si>
    <t>2006-2-CP-03583</t>
  </si>
  <si>
    <t>李季达</t>
  </si>
  <si>
    <t>420502790102009</t>
  </si>
  <si>
    <t>13701173236</t>
  </si>
  <si>
    <t>第12层</t>
  </si>
  <si>
    <t>12B13号</t>
  </si>
  <si>
    <t>52.82</t>
  </si>
  <si>
    <t>12</t>
  </si>
  <si>
    <t>38.02</t>
  </si>
  <si>
    <t>575818</t>
  </si>
  <si>
    <t>10815</t>
  </si>
  <si>
    <t>91302006070423</t>
  </si>
  <si>
    <t>281933</t>
  </si>
  <si>
    <t>2006-2-CP-03645</t>
  </si>
  <si>
    <t>陈雷</t>
  </si>
  <si>
    <t>610103198008022410</t>
  </si>
  <si>
    <t>13810173383</t>
  </si>
  <si>
    <t>第18层</t>
  </si>
  <si>
    <t>18C2号</t>
  </si>
  <si>
    <t>18</t>
  </si>
  <si>
    <t>551866</t>
  </si>
  <si>
    <t>12860</t>
  </si>
  <si>
    <t>91302006070505</t>
  </si>
  <si>
    <t>284478</t>
  </si>
  <si>
    <t>2006-2-CP-04724</t>
  </si>
  <si>
    <t>陆严</t>
  </si>
  <si>
    <t>110105196610062517</t>
  </si>
  <si>
    <t>13651312252</t>
  </si>
  <si>
    <t>04A号</t>
  </si>
  <si>
    <t>59.11</t>
  </si>
  <si>
    <t>42.55</t>
  </si>
  <si>
    <t>606851</t>
  </si>
  <si>
    <t>10180</t>
  </si>
  <si>
    <t>91302006080412</t>
  </si>
  <si>
    <t>287347</t>
  </si>
  <si>
    <t>北三环西路双榆树</t>
    <phoneticPr fontId="225" type="noConversion"/>
  </si>
  <si>
    <t>2006-2-CP-04863-U</t>
    <phoneticPr fontId="225" type="noConversion"/>
  </si>
  <si>
    <t>2006-2-CP-07877-U</t>
    <phoneticPr fontId="225" type="noConversion"/>
  </si>
  <si>
    <t>2006-2-CP-07936-U</t>
    <phoneticPr fontId="225" type="noConversion"/>
  </si>
  <si>
    <t>双榆树东里</t>
    <phoneticPr fontId="225" type="noConversion"/>
  </si>
  <si>
    <t>建成年代</t>
  </si>
  <si>
    <t>建成年代</t>
    <phoneticPr fontId="225" type="noConversion"/>
  </si>
  <si>
    <t>5/6</t>
    <phoneticPr fontId="225" type="noConversion"/>
  </si>
  <si>
    <t>4/6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</si>
  <si>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</si>
  <si>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</si>
  <si>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</si>
  <si>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</si>
  <si>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</si>
  <si>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</si>
  <si>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</si>
  <si>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</si>
  <si>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</si>
  <si>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</si>
  <si>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</si>
  <si>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</si>
  <si>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</si>
  <si>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</si>
  <si>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</si>
  <si>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</si>
  <si>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</si>
  <si>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</si>
  <si>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</si>
  <si>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</si>
  <si>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</si>
  <si>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</si>
  <si>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</si>
  <si>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</si>
  <si>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</si>
  <si>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</si>
  <si>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</si>
  <si>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</si>
  <si>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</si>
  <si>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</si>
  <si>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</si>
  <si>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</si>
  <si>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</si>
  <si>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</si>
  <si>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</si>
  <si>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</si>
  <si>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</si>
  <si>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</si>
  <si>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</si>
  <si>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</si>
  <si>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</si>
  <si>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</si>
  <si>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</si>
  <si>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</si>
  <si>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</si>
  <si>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</si>
  <si>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建成年代</t>
    <phoneticPr fontId="99" type="noConversion"/>
  </si>
  <si>
    <t>朝向</t>
    <phoneticPr fontId="99" type="noConversion"/>
  </si>
  <si>
    <t>贷款额度</t>
    <phoneticPr fontId="99" type="noConversion"/>
  </si>
  <si>
    <t>贷款年限</t>
    <phoneticPr fontId="99" type="noConversion"/>
  </si>
  <si>
    <t>2006-2-CP-04863-U</t>
    <phoneticPr fontId="99" type="noConversion"/>
  </si>
  <si>
    <t>双榆树东里</t>
    <phoneticPr fontId="99" type="noConversion"/>
  </si>
  <si>
    <t>3-4-402</t>
    <phoneticPr fontId="99" type="noConversion"/>
  </si>
  <si>
    <t>涂料</t>
    <phoneticPr fontId="99" type="noConversion"/>
  </si>
  <si>
    <t>外窗：铝合金窗；户门：防盗门、木门</t>
    <phoneticPr fontId="99" type="noConversion"/>
  </si>
  <si>
    <t>壁布</t>
    <phoneticPr fontId="99" type="noConversion"/>
  </si>
  <si>
    <t>涂料（严重剥落）</t>
    <phoneticPr fontId="99" type="noConversion"/>
  </si>
  <si>
    <t>涂料</t>
  </si>
  <si>
    <t>瓷砖</t>
    <phoneticPr fontId="99" type="noConversion"/>
  </si>
  <si>
    <t>瓷砖</t>
    <phoneticPr fontId="99" type="noConversion"/>
  </si>
  <si>
    <t>地砖</t>
    <phoneticPr fontId="99" type="noConversion"/>
  </si>
  <si>
    <t>木门</t>
    <phoneticPr fontId="99" type="noConversion"/>
  </si>
  <si>
    <t>壁柜、吊柜</t>
    <phoneticPr fontId="99" type="noConversion"/>
  </si>
  <si>
    <t>洗菜池、灶具、抽油烟机</t>
    <phoneticPr fontId="99" type="noConversion"/>
  </si>
  <si>
    <t>座便器、面盆</t>
    <phoneticPr fontId="99" type="noConversion"/>
  </si>
  <si>
    <t xml:space="preserve"> </t>
    <phoneticPr fontId="99" type="noConversion"/>
  </si>
  <si>
    <t>水泥地面，涂料墙面</t>
    <phoneticPr fontId="99" type="noConversion"/>
  </si>
  <si>
    <t>市政供水</t>
    <phoneticPr fontId="99" type="noConversion"/>
  </si>
  <si>
    <t>市政排水</t>
  </si>
  <si>
    <t>市政供电</t>
    <phoneticPr fontId="99" type="noConversion"/>
  </si>
  <si>
    <t>集中供暖</t>
  </si>
  <si>
    <t>管道天然气</t>
    <phoneticPr fontId="99" type="noConversion"/>
  </si>
  <si>
    <t>有线电视、电话入户</t>
    <phoneticPr fontId="99" type="noConversion"/>
  </si>
  <si>
    <t>消防井</t>
    <phoneticPr fontId="99" type="noConversion"/>
  </si>
  <si>
    <t>电表磁卡计费</t>
  </si>
  <si>
    <t>无</t>
    <phoneticPr fontId="99" type="noConversion"/>
  </si>
  <si>
    <t>无</t>
    <phoneticPr fontId="99" type="noConversion"/>
  </si>
  <si>
    <t>楼前后停车</t>
    <phoneticPr fontId="99" type="noConversion"/>
  </si>
  <si>
    <t>单位自管</t>
    <phoneticPr fontId="99" type="noConversion"/>
  </si>
  <si>
    <t>普通居住区</t>
    <phoneticPr fontId="99" type="noConversion"/>
  </si>
  <si>
    <t xml:space="preserve">市级√、区级、小区级、街区级    </t>
    <phoneticPr fontId="99" type="noConversion"/>
  </si>
  <si>
    <t>城市主干道√、城市次干道、支路</t>
    <phoneticPr fontId="99" type="noConversion"/>
  </si>
  <si>
    <t>有300、727、718、367路等多条公交线路</t>
    <phoneticPr fontId="99" type="noConversion"/>
  </si>
  <si>
    <t>利用周围配套设施</t>
  </si>
  <si>
    <t>天然气√、煤气</t>
  </si>
  <si>
    <t>多层板楼</t>
    <phoneticPr fontId="99" type="noConversion"/>
  </si>
  <si>
    <t>中等</t>
    <phoneticPr fontId="99" type="noConversion"/>
  </si>
  <si>
    <t>中等</t>
  </si>
  <si>
    <t>七通一平</t>
    <phoneticPr fontId="99" type="noConversion"/>
  </si>
  <si>
    <t>中等</t>
    <phoneticPr fontId="99" type="noConversion"/>
  </si>
  <si>
    <t>邹晓鸣</t>
    <phoneticPr fontId="99" type="noConversion"/>
  </si>
  <si>
    <t>二</t>
    <phoneticPr fontId="99" type="noConversion"/>
  </si>
  <si>
    <t>南</t>
    <phoneticPr fontId="99" type="noConversion"/>
  </si>
  <si>
    <t>32万</t>
    <phoneticPr fontId="99" type="noConversion"/>
  </si>
  <si>
    <t>15年</t>
    <phoneticPr fontId="99" type="noConversion"/>
  </si>
  <si>
    <t>2006-2-CP-07877-U</t>
    <phoneticPr fontId="99" type="noConversion"/>
  </si>
  <si>
    <t>双榆树北里</t>
    <phoneticPr fontId="99" type="noConversion"/>
  </si>
  <si>
    <t>18号楼2-203</t>
    <phoneticPr fontId="99" type="noConversion"/>
  </si>
  <si>
    <t>不上人屋面</t>
  </si>
  <si>
    <t>涂料</t>
    <phoneticPr fontId="99" type="noConversion"/>
  </si>
  <si>
    <t>外窗：钢窗、铝合金窗；户门：防盗铁门、木门</t>
    <phoneticPr fontId="99" type="noConversion"/>
  </si>
  <si>
    <t>涂料（部分剥落）</t>
    <phoneticPr fontId="99" type="noConversion"/>
  </si>
  <si>
    <t>涂料（部分剥落）</t>
    <phoneticPr fontId="99" type="noConversion"/>
  </si>
  <si>
    <t>壁纸</t>
    <phoneticPr fontId="99" type="noConversion"/>
  </si>
  <si>
    <t>瓷砖</t>
  </si>
  <si>
    <t>木地板、地砖</t>
    <phoneticPr fontId="99" type="noConversion"/>
  </si>
  <si>
    <t>地砖</t>
    <phoneticPr fontId="99" type="noConversion"/>
  </si>
  <si>
    <t>木门</t>
  </si>
  <si>
    <t>壁柜、吊柜、木质暖气罩</t>
    <phoneticPr fontId="99" type="noConversion"/>
  </si>
  <si>
    <t>洗菜池、灶具、抽油烟机</t>
    <phoneticPr fontId="99" type="noConversion"/>
  </si>
  <si>
    <t>座便器、面盆</t>
    <phoneticPr fontId="99" type="noConversion"/>
  </si>
  <si>
    <t>水泥地面，涂料墙面</t>
  </si>
  <si>
    <t>市政供水</t>
  </si>
  <si>
    <t>市政供电</t>
  </si>
  <si>
    <t>管道天然气</t>
  </si>
  <si>
    <t>有线电视入户</t>
    <phoneticPr fontId="99" type="noConversion"/>
  </si>
  <si>
    <t>消防井</t>
    <phoneticPr fontId="99" type="noConversion"/>
  </si>
  <si>
    <t>无</t>
    <phoneticPr fontId="153" type="noConversion"/>
  </si>
  <si>
    <t>地上停车</t>
  </si>
  <si>
    <t xml:space="preserve">市级、区级、小区级√、街区级    </t>
    <phoneticPr fontId="99" type="noConversion"/>
  </si>
  <si>
    <t>城市主干道、城市次干道、支路√</t>
    <phoneticPr fontId="99" type="noConversion"/>
  </si>
  <si>
    <t>有323、384、302路等多条公交线路经过</t>
    <phoneticPr fontId="99" type="noConversion"/>
  </si>
  <si>
    <t>中</t>
  </si>
  <si>
    <t>七通一平</t>
  </si>
  <si>
    <t>中</t>
    <phoneticPr fontId="99" type="noConversion"/>
  </si>
  <si>
    <t>邹晓鸣</t>
    <phoneticPr fontId="99" type="noConversion"/>
  </si>
  <si>
    <t>四</t>
    <phoneticPr fontId="99" type="noConversion"/>
  </si>
  <si>
    <t>南北</t>
    <phoneticPr fontId="99" type="noConversion"/>
  </si>
  <si>
    <t>30万</t>
    <phoneticPr fontId="99" type="noConversion"/>
  </si>
  <si>
    <t>15年</t>
    <phoneticPr fontId="99" type="noConversion"/>
  </si>
  <si>
    <t>2006-22-P-07936-U</t>
    <phoneticPr fontId="99" type="noConversion"/>
  </si>
  <si>
    <t>双榆树西里</t>
    <phoneticPr fontId="99" type="noConversion"/>
  </si>
  <si>
    <t>2-309</t>
    <phoneticPr fontId="99" type="noConversion"/>
  </si>
  <si>
    <t>涂料</t>
    <phoneticPr fontId="99" type="noConversion"/>
  </si>
  <si>
    <t>外窗：钢窗、塑钢窗；户门：防盗门、木门</t>
    <phoneticPr fontId="99" type="noConversion"/>
  </si>
  <si>
    <t>铝扣板吊顶</t>
    <phoneticPr fontId="99" type="noConversion"/>
  </si>
  <si>
    <t>PVC吊顶</t>
    <phoneticPr fontId="99" type="noConversion"/>
  </si>
  <si>
    <t>木地板、地砖</t>
    <phoneticPr fontId="99" type="noConversion"/>
  </si>
  <si>
    <t>木质装饰柜</t>
    <phoneticPr fontId="99" type="noConversion"/>
  </si>
  <si>
    <t>洗菜池、厨柜、灶具、抽油烟机</t>
    <phoneticPr fontId="99" type="noConversion"/>
  </si>
  <si>
    <t>有线电视、电话、宽带入户</t>
    <phoneticPr fontId="99" type="noConversion"/>
  </si>
  <si>
    <t>消防栓</t>
    <phoneticPr fontId="99" type="noConversion"/>
  </si>
  <si>
    <t>电表、气表磁卡计费</t>
    <phoneticPr fontId="99" type="noConversion"/>
  </si>
  <si>
    <t>小区门卫</t>
    <phoneticPr fontId="153" type="noConversion"/>
  </si>
  <si>
    <t>2部电梯</t>
    <phoneticPr fontId="99" type="noConversion"/>
  </si>
  <si>
    <t>普通物业管理</t>
    <phoneticPr fontId="99" type="noConversion"/>
  </si>
  <si>
    <t>普通居住区</t>
    <phoneticPr fontId="99" type="noConversion"/>
  </si>
  <si>
    <t xml:space="preserve">市级、区级、小区级√、街区级    </t>
    <phoneticPr fontId="99" type="noConversion"/>
  </si>
  <si>
    <t>有718、300、302、361路等多条公交线路经过</t>
    <phoneticPr fontId="99" type="noConversion"/>
  </si>
  <si>
    <t>高层塔楼</t>
    <phoneticPr fontId="99" type="noConversion"/>
  </si>
  <si>
    <t>一</t>
    <phoneticPr fontId="99" type="noConversion"/>
  </si>
  <si>
    <t>西北</t>
    <phoneticPr fontId="99" type="noConversion"/>
  </si>
  <si>
    <t>35万</t>
    <phoneticPr fontId="99" type="noConversion"/>
  </si>
  <si>
    <t>10年</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</si>
  <si>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</si>
  <si>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</si>
  <si>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</si>
  <si>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</si>
  <si>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</si>
  <si>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</si>
  <si>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</si>
  <si>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</si>
  <si>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</si>
  <si>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</si>
  <si>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</si>
  <si>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</si>
  <si>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</si>
  <si>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</si>
  <si>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</si>
  <si>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</si>
  <si>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</si>
  <si>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</si>
  <si>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</si>
  <si>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</si>
  <si>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</si>
  <si>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</si>
  <si>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</si>
  <si>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</si>
  <si>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</si>
  <si>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</si>
  <si>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</si>
  <si>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</si>
  <si>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</si>
  <si>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</si>
  <si>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2006-2-CP-04863-U</t>
    <phoneticPr fontId="2" type="noConversion"/>
  </si>
  <si>
    <t>京房权证海私成字第006988号</t>
    <phoneticPr fontId="2" type="noConversion"/>
  </si>
  <si>
    <t>海淀区双榆树东里3号楼</t>
    <phoneticPr fontId="2" type="noConversion"/>
  </si>
  <si>
    <t>Ⅳ-1-3-15（2）</t>
    <phoneticPr fontId="2" type="noConversion"/>
  </si>
  <si>
    <t>私有产</t>
    <phoneticPr fontId="99" type="noConversion"/>
  </si>
  <si>
    <t>4门402</t>
    <phoneticPr fontId="2" type="noConversion"/>
  </si>
  <si>
    <t>混合</t>
    <phoneticPr fontId="2" type="noConversion"/>
  </si>
  <si>
    <t>六</t>
    <phoneticPr fontId="2" type="noConversion"/>
  </si>
  <si>
    <t>住宅</t>
    <phoneticPr fontId="2" type="noConversion"/>
  </si>
  <si>
    <t>南</t>
    <phoneticPr fontId="2" type="noConversion"/>
  </si>
  <si>
    <t xml:space="preserve"> </t>
    <phoneticPr fontId="2" type="noConversion"/>
  </si>
  <si>
    <t xml:space="preserve"> </t>
    <phoneticPr fontId="2" type="noConversion"/>
  </si>
  <si>
    <t>裴蓓</t>
    <phoneticPr fontId="99" type="noConversion"/>
  </si>
  <si>
    <t>四</t>
    <phoneticPr fontId="99" type="noConversion"/>
  </si>
  <si>
    <t>原产权证</t>
    <phoneticPr fontId="2" type="noConversion"/>
  </si>
  <si>
    <t>2006-2-CP-07877-U</t>
    <phoneticPr fontId="2" type="noConversion"/>
  </si>
  <si>
    <t>海更成字第008358号</t>
    <phoneticPr fontId="2" type="noConversion"/>
  </si>
  <si>
    <t>海淀区双榆树北里18号楼</t>
    <phoneticPr fontId="2" type="noConversion"/>
  </si>
  <si>
    <t>Ⅳ-1-3-5（3）</t>
    <phoneticPr fontId="2" type="noConversion"/>
  </si>
  <si>
    <t>私产</t>
    <phoneticPr fontId="2" type="noConversion"/>
  </si>
  <si>
    <t>2门203</t>
    <phoneticPr fontId="2" type="noConversion"/>
  </si>
  <si>
    <t xml:space="preserve"> </t>
    <phoneticPr fontId="2" type="noConversion"/>
  </si>
  <si>
    <t xml:space="preserve"> </t>
    <phoneticPr fontId="2" type="noConversion"/>
  </si>
  <si>
    <t>三</t>
    <phoneticPr fontId="99" type="noConversion"/>
  </si>
  <si>
    <t>2006-2-CP-07936-U</t>
    <phoneticPr fontId="99" type="noConversion"/>
  </si>
  <si>
    <t>京房权证海私成字第135444号</t>
    <phoneticPr fontId="2" type="noConversion"/>
  </si>
  <si>
    <t>海淀区双榆树西里2号楼</t>
    <phoneticPr fontId="2" type="noConversion"/>
  </si>
  <si>
    <t>IV-1-3-24（1）</t>
    <phoneticPr fontId="99" type="noConversion"/>
  </si>
  <si>
    <t>私有产</t>
    <phoneticPr fontId="2" type="noConversion"/>
  </si>
  <si>
    <t>钢混</t>
    <phoneticPr fontId="2" type="noConversion"/>
  </si>
  <si>
    <t>西北</t>
    <phoneticPr fontId="2" type="noConversion"/>
  </si>
  <si>
    <t>汪鸿</t>
    <phoneticPr fontId="2" type="noConversion"/>
  </si>
  <si>
    <t>三</t>
    <phoneticPr fontId="2" type="noConversion"/>
  </si>
  <si>
    <t>2/6</t>
    <phoneticPr fontId="225" type="noConversion"/>
  </si>
  <si>
    <t>3/16</t>
    <phoneticPr fontId="225" type="noConversion"/>
  </si>
  <si>
    <t>塔楼</t>
    <phoneticPr fontId="225" type="noConversion"/>
  </si>
  <si>
    <t>电梯</t>
    <phoneticPr fontId="225" type="noConversion"/>
  </si>
  <si>
    <t>否</t>
    <phoneticPr fontId="225" type="noConversion"/>
  </si>
  <si>
    <t>是</t>
    <phoneticPr fontId="225" type="noConversion"/>
  </si>
  <si>
    <t>是</t>
    <phoneticPr fontId="225" type="noConversion"/>
  </si>
  <si>
    <t>否</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</si>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</sst>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sz val="9"/>
      <name val="宋体"/>
      <family val="2"/>
      <charset val="134"/>
      <scheme val="minor"/>
    </font>
    <font>
      <b/>
      <sz val="9"/>
      <color indexed="81"/>
      <name val="宋体"/>
      <family val="3"/>
      <charset val="134"/>
    </font>
    <font>
      <b/>
      <sz val="9"/>
      <color indexed="81"/>
      <name val="Times New Roman"/>
      <family val="1"/>
    </font>
    <font>
      <sz val="9"/>
      <color indexed="81"/>
      <name val="宋体"/>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cellStyleXfs>
  <cellXfs count="3951">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188" fontId="2" fillId="4" borderId="7" xfId="0" applyNumberFormat="1" applyFont="1" applyFill="1" applyBorder="1" applyAlignment="1" applyProtection="1">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49" fontId="2" fillId="4" borderId="7" xfId="0" applyNumberFormat="1" applyFont="1" applyFill="1" applyBorder="1" applyAlignment="1" applyProtection="1">
      <protection locked="0"/>
    </xf>
    <xf numFmtId="189" fontId="2" fillId="4" borderId="7" xfId="0" applyNumberFormat="1" applyFont="1" applyFill="1" applyBorder="1" applyAlignment="1" applyProtection="1">
      <protection locked="0"/>
    </xf>
    <xf numFmtId="182" fontId="2" fillId="4" borderId="7" xfId="0" applyNumberFormat="1" applyFont="1" applyFill="1" applyBorder="1" applyAlignment="1" applyProtection="1">
      <protection locked="0"/>
    </xf>
    <xf numFmtId="14" fontId="2" fillId="4" borderId="7" xfId="0" applyNumberFormat="1" applyFont="1" applyFill="1" applyBorder="1" applyAlignment="1" applyProtection="1">
      <protection locked="0"/>
    </xf>
    <xf numFmtId="14" fontId="6" fillId="4" borderId="7" xfId="0" applyNumberFormat="1" applyFont="1" applyFill="1" applyBorder="1" applyAlignment="1" applyProtection="1">
      <alignment horizontal="center"/>
      <protection locked="0"/>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46" fontId="6" fillId="4" borderId="7" xfId="0" applyNumberFormat="1" applyFont="1" applyFill="1" applyBorder="1" applyAlignment="1" applyProtection="1">
      <alignment horizontal="center"/>
      <protection locked="0"/>
    </xf>
    <xf numFmtId="189" fontId="6" fillId="4" borderId="7" xfId="0" applyNumberFormat="1" applyFont="1" applyFill="1" applyBorder="1" applyAlignment="1" applyProtection="1">
      <alignment horizontal="center"/>
      <protection locked="0"/>
    </xf>
    <xf numFmtId="182"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14" fontId="0" fillId="0" borderId="0" xfId="0" applyNumberFormat="1">
      <alignment vertical="center"/>
    </xf>
    <xf numFmtId="0" fontId="0" fillId="25" borderId="0" xfId="0" applyFill="1">
      <alignment vertical="center"/>
    </xf>
    <xf numFmtId="14" fontId="0" fillId="25" borderId="0" xfId="0" applyNumberFormat="1" applyFill="1">
      <alignment vertical="center"/>
    </xf>
    <xf numFmtId="0" fontId="0" fillId="26" borderId="0" xfId="0" applyFill="1">
      <alignment vertical="center"/>
    </xf>
    <xf numFmtId="14" fontId="0" fillId="26" borderId="0" xfId="0" applyNumberFormat="1" applyFill="1">
      <alignment vertical="center"/>
    </xf>
    <xf numFmtId="0" fontId="0" fillId="26" borderId="0" xfId="0" applyNumberFormat="1" applyFill="1">
      <alignment vertical="center"/>
    </xf>
    <xf numFmtId="0" fontId="151" fillId="0" borderId="0" xfId="0" applyFont="1">
      <alignment vertical="center"/>
    </xf>
    <xf numFmtId="0" fontId="0" fillId="16" borderId="0" xfId="0" applyFill="1">
      <alignment vertical="center"/>
    </xf>
    <xf numFmtId="14" fontId="0" fillId="16" borderId="0" xfId="0" applyNumberFormat="1" applyFill="1">
      <alignment vertical="center"/>
    </xf>
    <xf numFmtId="0" fontId="151" fillId="25" borderId="0" xfId="0" applyFont="1" applyFill="1">
      <alignment vertical="center"/>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31" fontId="2" fillId="5" borderId="7" xfId="0" applyNumberFormat="1" applyFont="1" applyFill="1" applyBorder="1" applyAlignment="1"/>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7"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9" fillId="9" borderId="28" xfId="4" applyFont="1" applyFill="1" applyBorder="1" applyAlignment="1" applyProtection="1">
      <alignment horizontal="left" vertical="center" wrapText="1"/>
    </xf>
    <xf numFmtId="0" fontId="29" fillId="9" borderId="21"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4" fillId="0" borderId="0" xfId="4" applyFont="1" applyAlignment="1">
      <alignment horizontal="left" vertical="center"/>
    </xf>
    <xf numFmtId="0" fontId="20" fillId="0" borderId="0" xfId="4" applyFont="1" applyAlignment="1">
      <alignment horizontal="left" vertical="center"/>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4" fillId="0" borderId="0" xfId="4" applyFont="1" applyAlignment="1">
      <alignment horizontal="left" vertical="center"/>
    </xf>
    <xf numFmtId="0" fontId="6" fillId="4" borderId="7" xfId="0" applyFont="1" applyFill="1" applyBorder="1" applyAlignment="1" applyProtection="1">
      <alignment horizontal="center"/>
      <protection locked="0"/>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xf numFmtId="0" fontId="120" fillId="0" borderId="13" xfId="0"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15</xdr:col>
      <xdr:colOff>160487</xdr:colOff>
      <xdr:row>63</xdr:row>
      <xdr:rowOff>47469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39300"/>
          <a:ext cx="11504762"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80;&#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422092</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估价对象为北京市房地产，为所有。根据《国有土地使用证》[]，估价对象（分摊）出让国有建设用地使用权面积为0平方米，建筑面积为58.3平方米。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估价对象为北京市房地产,属开发建设的，该项目尚在开发建设中。根据《国有土地使用证》[]，估价对象（分摊）出让国有建设用地使用权面积为0平方米，规划建筑面积为58.3平方米。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2006年11月10日</v>
      </c>
    </row>
    <row r="13" spans="1:2" s="3534" customFormat="1">
      <c r="A13" s="3542" t="s">
        <v>13</v>
      </c>
      <c r="B13" s="3543" t="str">
        <f>'预评函-1'!A18</f>
        <v>本次估价的“房地产价值”是指在正常市场情况下，在价值时点2006年11月10日，估价对象规划用途为，土地取得方式为划拨，假定未设立法定优先受偿款下的房地产市场价值。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58.3</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43"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3"/>
      <c r="B54" s="3425" t="s">
        <v>330</v>
      </c>
      <c r="C54" s="3412" t="s">
        <v>331</v>
      </c>
    </row>
    <row r="55" spans="1:4">
      <c r="A55" s="3643"/>
      <c r="B55" s="3425" t="s">
        <v>332</v>
      </c>
      <c r="C55" s="3412" t="s">
        <v>333</v>
      </c>
    </row>
    <row r="56" spans="1:4">
      <c r="A56" s="3643"/>
      <c r="B56" s="3425" t="s">
        <v>334</v>
      </c>
      <c r="C56" s="3412" t="s">
        <v>335</v>
      </c>
    </row>
    <row r="57" spans="1:4">
      <c r="A57" s="3643"/>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44" t="s">
        <v>340</v>
      </c>
      <c r="J2" s="3644"/>
      <c r="K2" s="3644"/>
      <c r="L2" s="3644"/>
      <c r="M2" s="3644"/>
      <c r="N2" s="3644"/>
      <c r="O2" s="3644"/>
      <c r="P2" s="3644"/>
      <c r="Q2" s="3644"/>
      <c r="R2" s="3644"/>
    </row>
    <row r="3" spans="1:18">
      <c r="A3" s="560" t="s">
        <v>341</v>
      </c>
      <c r="B3" s="3367">
        <f>项目基本情况!D3</f>
        <v>39031</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20.12</v>
      </c>
      <c r="D5" s="3369">
        <f>IF(ISERROR(ROUND(POWER(1+E5,A5-C5)*(POWER(1+E5,C5)-1)/(POWER(1+E5,A5)-1),3)),0,ROUND(POWER(1+E5,A5-C5)*(POWER(1+E5,C5)-1)/(POWER(1+E5,A5)-1),4))</f>
        <v>0.68930000000000002</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30.12</v>
      </c>
      <c r="D6" s="3369">
        <f>IF(ISERROR(ROUND(POWER(1+E6,A6-C6)*(POWER(1+E6,C6)-1)/(POWER(1+E6,A6)-1),3)),0,ROUND(POWER(1+E6,A6-C6)*(POWER(1+E6,C6)-1)/(POWER(1+E6,A6)-1),4))</f>
        <v>0.80659999999999998</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50.14</v>
      </c>
      <c r="D7" s="3369">
        <f>IF(ISERROR(ROUND(POWER(1+E7,A7-C7)*(POWER(1+E7,C7)-1)/(POWER(1+E7,A7)-1),3)),0,ROUND(POWER(1+E7,A7-C7)*(POWER(1+E7,C7)-1)/(POWER(1+E7,A7)-1),4))</f>
        <v>0.91910000000000003</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26" sqref="K26"/>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58" t="str">
        <f>IF(B10="北京市","北京市",C10)&amp;F10&amp;IF(结果表!G1="在建","出让国有建设用地使用权及在建建筑物",IF(结果表!G1="土地","出让国有建设用地使用权",))&amp;B9&amp;"预评估"</f>
        <v>北京市房地产市场价值预评估</v>
      </c>
      <c r="C1" s="3659"/>
      <c r="D1" s="3659"/>
      <c r="E1" s="3659"/>
      <c r="F1" s="3659"/>
      <c r="G1" s="3659"/>
      <c r="H1" s="3659"/>
      <c r="I1" s="3660"/>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39031</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73" t="s">
        <v>435</v>
      </c>
      <c r="E8" s="3253" t="s">
        <v>332</v>
      </c>
      <c r="F8" s="3254"/>
      <c r="G8" s="3235"/>
      <c r="H8" s="3235"/>
      <c r="I8" s="3235"/>
      <c r="J8" s="2832"/>
      <c r="K8" s="3333"/>
      <c r="L8" s="3330"/>
      <c r="M8" s="3330"/>
      <c r="N8" s="2832"/>
      <c r="O8" s="3331"/>
      <c r="P8" s="2832"/>
      <c r="Q8" s="2832"/>
      <c r="R8" s="2832"/>
    </row>
    <row r="9" spans="1:30">
      <c r="A9" s="3255" t="s">
        <v>436</v>
      </c>
      <c r="B9" s="3256" t="s">
        <v>437</v>
      </c>
      <c r="C9" s="3257"/>
      <c r="D9" s="3674"/>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61"/>
      <c r="C16" s="3662"/>
      <c r="D16" s="3663"/>
      <c r="E16" s="3280" t="s">
        <v>456</v>
      </c>
      <c r="F16" s="3664"/>
      <c r="G16" s="3665"/>
      <c r="H16" s="3665"/>
      <c r="I16" s="3666"/>
      <c r="J16" s="2832"/>
      <c r="K16" s="3342"/>
      <c r="L16" s="3341"/>
      <c r="M16" s="3341"/>
      <c r="N16" s="2833"/>
      <c r="O16" s="3341"/>
      <c r="P16" s="2833"/>
      <c r="Q16" s="2832"/>
      <c r="R16" s="2832"/>
    </row>
    <row r="17" spans="1:28">
      <c r="A17" s="2116" t="s">
        <v>457</v>
      </c>
      <c r="B17" s="2105" t="s">
        <v>458</v>
      </c>
      <c r="C17" s="1081">
        <f>'数据-汇总表'!E3</f>
        <v>58.3</v>
      </c>
      <c r="D17" s="2159" t="s">
        <v>459</v>
      </c>
      <c r="E17" s="3667" t="s">
        <v>460</v>
      </c>
      <c r="F17" s="3668"/>
      <c r="G17" s="3668"/>
      <c r="H17" s="3668"/>
      <c r="I17" s="3669"/>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70" t="s">
        <v>463</v>
      </c>
      <c r="F18" s="3671"/>
      <c r="G18" s="3671"/>
      <c r="H18" s="3671"/>
      <c r="I18" s="3672"/>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47" t="s">
        <v>468</v>
      </c>
      <c r="C20" s="3648"/>
      <c r="D20" s="3649" t="s">
        <v>469</v>
      </c>
      <c r="E20" s="3650"/>
      <c r="F20" s="3289" t="s">
        <v>470</v>
      </c>
      <c r="G20" s="2953"/>
      <c r="H20" s="2953"/>
      <c r="I20" s="2953"/>
      <c r="J20" s="2832"/>
      <c r="K20" s="3645"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45"/>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45"/>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54"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54"/>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54"/>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55"/>
      <c r="B30" s="2105" t="s">
        <v>486</v>
      </c>
      <c r="C30" s="3651"/>
      <c r="D30" s="3652"/>
      <c r="E30" s="2953"/>
      <c r="F30" s="2953"/>
      <c r="G30" s="2953"/>
      <c r="H30" s="2953"/>
      <c r="I30" s="2953"/>
      <c r="J30" s="2832"/>
      <c r="K30" s="3332"/>
      <c r="L30" s="3330"/>
      <c r="M30" s="3330"/>
      <c r="N30" s="2832"/>
      <c r="O30" s="3331"/>
      <c r="P30" s="2832"/>
      <c r="Q30" s="2832"/>
      <c r="R30" s="2832"/>
      <c r="S30" s="2832"/>
      <c r="T30" s="2832"/>
      <c r="U30" s="2832"/>
      <c r="V30" s="2832"/>
    </row>
    <row r="31" spans="1:28">
      <c r="A31" s="3656"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57"/>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57"/>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46" t="s">
        <v>496</v>
      </c>
      <c r="T34" s="2146" t="str">
        <f>NUMBERSTRING(7-K34,1)&amp;"通"</f>
        <v>七通</v>
      </c>
      <c r="U34" s="2832"/>
      <c r="V34" s="2832"/>
    </row>
    <row r="35" spans="1:30">
      <c r="A35" s="3316"/>
      <c r="B35" s="3653" t="s">
        <v>497</v>
      </c>
      <c r="C35" s="3653"/>
      <c r="D35" s="3653"/>
      <c r="E35" s="3653"/>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46"/>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58.3</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58.3</v>
      </c>
      <c r="H5" s="3145">
        <f t="shared" ref="H5:AT5" si="0">SUM(H13:H656)</f>
        <v>58.3</v>
      </c>
      <c r="I5" s="3145">
        <f t="shared" si="0"/>
        <v>58.3</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58.3</v>
      </c>
      <c r="BA5" s="3205">
        <f t="shared" si="1"/>
        <v>58.3</v>
      </c>
      <c r="BB5" s="3205">
        <f t="shared" si="1"/>
        <v>58.3</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58.3</v>
      </c>
      <c r="H13" s="3148">
        <f>SUMIF(I$12:AB$12,"总值",I13:AB13)</f>
        <v>58.3</v>
      </c>
      <c r="I13" s="3176">
        <f>'比较法-住宅'!C33</f>
        <v>58.3</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58.3</v>
      </c>
      <c r="BA13" s="3145">
        <f>SUM(BB13:BK13)</f>
        <v>58.3</v>
      </c>
      <c r="BB13" s="3145">
        <f>IF($D13="是",I13-J13,0)</f>
        <v>58.3</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684" t="s">
        <v>559</v>
      </c>
      <c r="B2" s="3684"/>
      <c r="C2" s="3684"/>
      <c r="D2" s="2393" t="s">
        <v>560</v>
      </c>
      <c r="E2" s="3047" t="s">
        <v>561</v>
      </c>
      <c r="F2" s="3048"/>
      <c r="G2" s="3049"/>
      <c r="H2" s="3050"/>
      <c r="I2" s="2700" t="s">
        <v>562</v>
      </c>
      <c r="J2" s="3048"/>
      <c r="K2" s="3048"/>
      <c r="L2" s="3048"/>
      <c r="M2" s="3048"/>
      <c r="N2" s="1485"/>
      <c r="O2" s="3048"/>
      <c r="P2" s="3048"/>
    </row>
    <row r="3" spans="1:16" ht="15">
      <c r="A3" s="3685" t="s">
        <v>563</v>
      </c>
      <c r="B3" s="3685"/>
      <c r="C3" s="3685"/>
      <c r="D3" s="3051">
        <f>'数据-基础表'!AY6</f>
        <v>0</v>
      </c>
      <c r="E3" s="3051">
        <f>'数据-基础表'!AZ5</f>
        <v>58.3</v>
      </c>
      <c r="F3" s="3048"/>
      <c r="G3" s="3052"/>
      <c r="H3" s="2503" t="s">
        <v>564</v>
      </c>
      <c r="I3" s="3111" t="e">
        <f>ROUND('数据-基础表'!B3/'数据-基础表'!A3,2)</f>
        <v>#DIV/0!</v>
      </c>
      <c r="J3" s="3048"/>
      <c r="K3" s="3048"/>
      <c r="L3" s="3048"/>
      <c r="M3" s="3048"/>
      <c r="N3" s="1485"/>
      <c r="O3" s="3048"/>
      <c r="P3" s="3048"/>
    </row>
    <row r="4" spans="1:16" ht="15">
      <c r="A4" s="3686"/>
      <c r="B4" s="3687"/>
      <c r="C4" s="3688"/>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689" t="s">
        <v>568</v>
      </c>
      <c r="C5" s="3689"/>
      <c r="D5" s="3057">
        <f>ROUND($D$3*E5/$E$3,2)</f>
        <v>0</v>
      </c>
      <c r="E5" s="3058">
        <f>SUMIF('数据-基础表'!$11:$11,"住宅",'数据-基础表'!$5:$5)</f>
        <v>58.3</v>
      </c>
      <c r="F5" s="3048"/>
      <c r="G5" s="3052"/>
      <c r="H5" s="2503" t="s">
        <v>564</v>
      </c>
      <c r="I5" s="3111" t="e">
        <f>ROUND(E31/D31,2)</f>
        <v>#DIV/0!</v>
      </c>
      <c r="J5" s="3048"/>
      <c r="K5" s="3048"/>
      <c r="L5" s="3048"/>
      <c r="M5" s="3048"/>
      <c r="N5" s="3048"/>
      <c r="O5" s="3048"/>
      <c r="P5" s="3048"/>
    </row>
    <row r="6" spans="1:16">
      <c r="A6" s="3059"/>
      <c r="B6" s="3689" t="s">
        <v>569</v>
      </c>
      <c r="C6" s="3689"/>
      <c r="D6" s="3057">
        <f>ROUND($D$3*E6/$E$3,2)</f>
        <v>0</v>
      </c>
      <c r="E6" s="3058">
        <f>E3-E5</f>
        <v>0</v>
      </c>
      <c r="F6" s="3048"/>
      <c r="G6" s="3060" t="s">
        <v>570</v>
      </c>
      <c r="H6" s="3061" t="s">
        <v>566</v>
      </c>
      <c r="I6" s="3112" t="e">
        <f>ROUND(F31/D31,2)</f>
        <v>#DIV/0!</v>
      </c>
      <c r="J6" s="3048"/>
      <c r="K6" s="3048"/>
      <c r="L6" s="3048"/>
      <c r="M6" s="3048"/>
      <c r="N6" s="3048"/>
      <c r="O6" s="3048"/>
      <c r="P6" s="3048"/>
    </row>
    <row r="7" spans="1:16" ht="15">
      <c r="A7" s="3675"/>
      <c r="B7" s="3676"/>
      <c r="C7" s="3677"/>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58.3</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58.3</v>
      </c>
      <c r="F16" s="3048"/>
      <c r="G16" s="3067"/>
      <c r="H16" s="3072" t="s">
        <v>584</v>
      </c>
      <c r="I16" s="3114"/>
      <c r="J16" s="2551"/>
      <c r="K16" s="3678" t="s">
        <v>584</v>
      </c>
      <c r="L16" s="3679"/>
      <c r="M16" s="3679"/>
      <c r="N16" s="3679"/>
      <c r="O16" s="3679"/>
      <c r="P16" s="3680"/>
    </row>
    <row r="17" spans="1:19" ht="15">
      <c r="A17" s="3007" t="s">
        <v>585</v>
      </c>
      <c r="B17" s="3073" t="s">
        <v>586</v>
      </c>
      <c r="C17" s="3006" t="s">
        <v>587</v>
      </c>
      <c r="D17" s="3074" t="s">
        <v>560</v>
      </c>
      <c r="E17" s="3075" t="s">
        <v>561</v>
      </c>
      <c r="F17" s="3076"/>
      <c r="G17" s="3077"/>
      <c r="H17" s="3078" t="s">
        <v>588</v>
      </c>
      <c r="I17" s="3115" t="s">
        <v>589</v>
      </c>
      <c r="J17" s="2551"/>
      <c r="K17" s="3681" t="s">
        <v>590</v>
      </c>
      <c r="L17" s="3682"/>
      <c r="M17" s="3683"/>
      <c r="N17" s="3681" t="s">
        <v>591</v>
      </c>
      <c r="O17" s="3682"/>
      <c r="P17" s="3683"/>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58.3</v>
      </c>
      <c r="F19" s="3088">
        <f>'数据-基础表'!G13</f>
        <v>58.3</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58.3</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58.3</v>
      </c>
      <c r="F27" s="3095">
        <f>IF(SUM(F19:F26)=E8,SUM(F19:F26),"地上面积有误")</f>
        <v>58.3</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58.3</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58.3</v>
      </c>
      <c r="F31" s="3106">
        <f>F27+F30</f>
        <v>58.3</v>
      </c>
      <c r="G31" s="3107">
        <f>G27+G30</f>
        <v>0</v>
      </c>
      <c r="H31" s="3048"/>
      <c r="I31" s="3048"/>
      <c r="J31" s="3048"/>
      <c r="K31" s="3048"/>
      <c r="L31" s="3048"/>
      <c r="M31" s="3048"/>
      <c r="N31" s="3048"/>
      <c r="O31" s="3048"/>
      <c r="P31" s="3048"/>
    </row>
    <row r="32" spans="1:19">
      <c r="A32" s="3108"/>
      <c r="B32" s="3108" t="s">
        <v>606</v>
      </c>
      <c r="C32" s="3108"/>
      <c r="D32" s="3108"/>
      <c r="E32" s="3109">
        <f>SUMIF(C19:C26,"*住宅*",E19:E26)</f>
        <v>58.3</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39031</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58.3</v>
      </c>
      <c r="L6" s="2965">
        <v>1400</v>
      </c>
      <c r="M6" s="2966">
        <f t="shared" ref="M6:M14" si="0">ROUND(K6*L6/10000,0)</f>
        <v>8</v>
      </c>
      <c r="N6" s="2967">
        <v>0.6</v>
      </c>
      <c r="O6" s="2966" t="str">
        <f>IF($N$5="成新度","——",ROUND(M6*N6,0))</f>
        <v>——</v>
      </c>
      <c r="P6" s="2968" t="str">
        <f>IF($N$5="成新度","——",M6-O6)</f>
        <v>——</v>
      </c>
      <c r="Q6" s="2984">
        <v>0.05</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81620</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58.3</v>
      </c>
      <c r="L16" s="2975">
        <f>ROUND(M16*10000/SUM(K6:K14),0)</f>
        <v>1372</v>
      </c>
      <c r="M16" s="2975">
        <f>SUM(M6:M14)</f>
        <v>8</v>
      </c>
      <c r="N16" s="2976">
        <f>ROUND(SUMPRODUCT(M6:M14,N6:N14)/M16,3)</f>
        <v>0.6</v>
      </c>
      <c r="O16" s="2975">
        <f>SUM(O6:O14)</f>
        <v>0</v>
      </c>
      <c r="P16" s="2975">
        <f>SUM(P6:P14)</f>
        <v>0</v>
      </c>
      <c r="Q16" s="2999">
        <f>ROUND(SUMPRODUCT(Q6:Q13,K6:K13)/SUMPRODUCT((Q6:Q13&gt;0)*(K6:K13)),2)</f>
        <v>0.05</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2006</v>
      </c>
      <c r="O25" s="2376">
        <f>N25</f>
        <v>2006</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1982</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24</v>
      </c>
      <c r="O27" s="2376">
        <f>O25-O26</f>
        <v>26</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36</v>
      </c>
      <c r="O29" s="2376">
        <f>O28-O27</f>
        <v>34</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0.6</v>
      </c>
      <c r="O30" s="2376">
        <f>O29/O28</f>
        <v>0.56666666666666665</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120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6.3E-2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690" t="s">
        <v>715</v>
      </c>
      <c r="B1" s="3691"/>
      <c r="C1" s="3691"/>
      <c r="D1" s="3691"/>
      <c r="E1" s="3691"/>
      <c r="F1" s="3691"/>
      <c r="G1" s="3691"/>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58.3</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39031</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58.947099999999999</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58.3</v>
      </c>
      <c r="C14" s="2770"/>
      <c r="D14" s="2770">
        <f ca="1">ROUND(E14*B14/10000,4)</f>
        <v>58.947099999999999</v>
      </c>
      <c r="E14" s="2770">
        <f ca="1">结果表!G20</f>
        <v>10111</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C14" sqref="C14:C16"/>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766" t="str">
        <f>项目基本情况!S2</f>
        <v>北京市房地产</v>
      </c>
      <c r="B2" s="3767"/>
      <c r="C2" s="3767"/>
      <c r="D2" s="3767"/>
      <c r="E2" s="3767"/>
      <c r="F2" s="3767"/>
      <c r="G2" s="3767"/>
      <c r="H2" s="3767"/>
      <c r="I2" s="3768"/>
    </row>
    <row r="3" spans="1:12" ht="12.75">
      <c r="A3" s="3769" t="s">
        <v>773</v>
      </c>
      <c r="B3" s="3770"/>
      <c r="C3" s="3770"/>
      <c r="D3" s="3770"/>
      <c r="E3" s="3770"/>
      <c r="F3" s="3770"/>
      <c r="G3" s="3770"/>
      <c r="H3" s="3770"/>
      <c r="I3" s="3770"/>
    </row>
    <row r="4" spans="1:12" ht="14.25">
      <c r="A4" s="2483" t="s">
        <v>774</v>
      </c>
      <c r="B4" s="2484" t="s">
        <v>775</v>
      </c>
      <c r="C4" s="2485" t="s">
        <v>776</v>
      </c>
      <c r="D4" s="2485" t="s">
        <v>240</v>
      </c>
      <c r="E4" s="3771" t="s">
        <v>777</v>
      </c>
      <c r="F4" s="3772"/>
      <c r="G4" s="3772"/>
      <c r="H4" s="3772"/>
      <c r="I4" s="3773"/>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693" t="s">
        <v>778</v>
      </c>
      <c r="B5" s="3701">
        <v>25</v>
      </c>
      <c r="C5" s="3783"/>
      <c r="D5" s="3704"/>
      <c r="E5" s="2145" t="s">
        <v>779</v>
      </c>
      <c r="F5" s="2490"/>
      <c r="G5" s="2490"/>
      <c r="H5" s="2490"/>
      <c r="I5" s="2359"/>
    </row>
    <row r="6" spans="1:12" ht="12.75">
      <c r="A6" s="3693"/>
      <c r="B6" s="3701"/>
      <c r="C6" s="3784"/>
      <c r="D6" s="3704"/>
      <c r="E6" s="2145" t="s">
        <v>780</v>
      </c>
      <c r="F6" s="2490"/>
      <c r="G6" s="2490"/>
      <c r="H6" s="2490"/>
      <c r="I6" s="2359"/>
    </row>
    <row r="7" spans="1:12" ht="12.75">
      <c r="A7" s="3693"/>
      <c r="B7" s="3701"/>
      <c r="C7" s="3785"/>
      <c r="D7" s="3704"/>
      <c r="E7" s="2145" t="s">
        <v>781</v>
      </c>
      <c r="F7" s="2490"/>
      <c r="G7" s="2490"/>
      <c r="H7" s="2490"/>
      <c r="I7" s="2359"/>
    </row>
    <row r="8" spans="1:12" ht="12.75">
      <c r="A8" s="3693" t="s">
        <v>782</v>
      </c>
      <c r="B8" s="3701">
        <v>15</v>
      </c>
      <c r="C8" s="3783"/>
      <c r="D8" s="3704"/>
      <c r="E8" s="2145" t="s">
        <v>783</v>
      </c>
      <c r="F8" s="2490"/>
      <c r="G8" s="2490"/>
      <c r="H8" s="2490"/>
      <c r="I8" s="2359"/>
    </row>
    <row r="9" spans="1:12" ht="12.75">
      <c r="A9" s="3693"/>
      <c r="B9" s="3701"/>
      <c r="C9" s="3785"/>
      <c r="D9" s="3704"/>
      <c r="E9" s="2145" t="s">
        <v>784</v>
      </c>
      <c r="F9" s="2490"/>
      <c r="G9" s="2490"/>
      <c r="H9" s="2490"/>
      <c r="I9" s="2359"/>
    </row>
    <row r="10" spans="1:12" ht="12.75">
      <c r="A10" s="3693" t="s">
        <v>785</v>
      </c>
      <c r="B10" s="3701">
        <v>15</v>
      </c>
      <c r="C10" s="3783"/>
      <c r="D10" s="3704"/>
      <c r="E10" s="2145" t="s">
        <v>786</v>
      </c>
      <c r="F10" s="2490"/>
      <c r="G10" s="2490"/>
      <c r="H10" s="2490"/>
      <c r="I10" s="2359"/>
    </row>
    <row r="11" spans="1:12" ht="12.75">
      <c r="A11" s="3693"/>
      <c r="B11" s="3701"/>
      <c r="C11" s="3785"/>
      <c r="D11" s="3704"/>
      <c r="E11" s="2145" t="s">
        <v>787</v>
      </c>
      <c r="F11" s="2490"/>
      <c r="G11" s="2490"/>
      <c r="H11" s="2490"/>
      <c r="I11" s="2359"/>
    </row>
    <row r="12" spans="1:12" ht="12.75">
      <c r="A12" s="3693" t="s">
        <v>788</v>
      </c>
      <c r="B12" s="3701">
        <v>15</v>
      </c>
      <c r="C12" s="3783"/>
      <c r="D12" s="3704"/>
      <c r="E12" s="2145" t="s">
        <v>789</v>
      </c>
      <c r="F12" s="2490"/>
      <c r="G12" s="2490"/>
      <c r="H12" s="2490"/>
      <c r="I12" s="2359"/>
    </row>
    <row r="13" spans="1:12" ht="12.75">
      <c r="A13" s="3693"/>
      <c r="B13" s="3701"/>
      <c r="C13" s="3785"/>
      <c r="D13" s="3704"/>
      <c r="E13" s="2145" t="s">
        <v>790</v>
      </c>
      <c r="F13" s="2490"/>
      <c r="G13" s="2490"/>
      <c r="H13" s="2490"/>
      <c r="I13" s="2359"/>
    </row>
    <row r="14" spans="1:12" ht="12.75">
      <c r="A14" s="3693" t="s">
        <v>791</v>
      </c>
      <c r="B14" s="3701">
        <v>30</v>
      </c>
      <c r="C14" s="3783">
        <v>6</v>
      </c>
      <c r="D14" s="3704">
        <f>10-C14</f>
        <v>4</v>
      </c>
      <c r="E14" s="2145" t="s">
        <v>792</v>
      </c>
      <c r="F14" s="2490"/>
      <c r="G14" s="2490"/>
      <c r="H14" s="2490"/>
      <c r="I14" s="2359"/>
    </row>
    <row r="15" spans="1:12" ht="12.75">
      <c r="A15" s="3693"/>
      <c r="B15" s="3701"/>
      <c r="C15" s="3784"/>
      <c r="D15" s="3704"/>
      <c r="E15" s="2145" t="s">
        <v>793</v>
      </c>
      <c r="F15" s="2490"/>
      <c r="G15" s="2490"/>
      <c r="H15" s="2490"/>
      <c r="I15" s="2359"/>
    </row>
    <row r="16" spans="1:12" ht="12.75">
      <c r="A16" s="3693"/>
      <c r="B16" s="3701"/>
      <c r="C16" s="3785"/>
      <c r="D16" s="3704"/>
      <c r="E16" s="2145" t="s">
        <v>794</v>
      </c>
      <c r="F16" s="2490"/>
      <c r="G16" s="2490"/>
      <c r="H16" s="2490"/>
      <c r="I16" s="2359"/>
    </row>
    <row r="17" spans="1:36" ht="15">
      <c r="A17" s="2491" t="s">
        <v>795</v>
      </c>
      <c r="B17" s="2492"/>
      <c r="C17" s="2493">
        <f>SUM(C5:C16)</f>
        <v>6</v>
      </c>
      <c r="D17" s="2493">
        <f>SUM(D5:D16)</f>
        <v>4</v>
      </c>
      <c r="E17" s="1067"/>
      <c r="F17" s="1067"/>
      <c r="G17" s="1067"/>
      <c r="H17" s="1067"/>
      <c r="I17" s="1067"/>
      <c r="K17" s="2105"/>
      <c r="L17" s="2105" t="s">
        <v>796</v>
      </c>
      <c r="M17" s="2105" t="s">
        <v>797</v>
      </c>
    </row>
    <row r="18" spans="1:36" ht="31.9" customHeight="1">
      <c r="A18" s="2494" t="s">
        <v>798</v>
      </c>
      <c r="B18" s="2495"/>
      <c r="C18" s="2496">
        <f>ROUND(C17/SUM(C17:D17),2)</f>
        <v>0.6</v>
      </c>
      <c r="D18" s="2496">
        <f>1-C18</f>
        <v>0.4</v>
      </c>
      <c r="E18" s="3774" t="s">
        <v>799</v>
      </c>
      <c r="F18" s="3775"/>
      <c r="G18" s="3775"/>
      <c r="H18" s="3775"/>
      <c r="I18" s="3775"/>
      <c r="K18" s="2105" t="s">
        <v>458</v>
      </c>
      <c r="L18" s="2105">
        <f>IF(C1="",'数据-汇总表'!E3,SUMIF(项目类型,C1,'数据-汇总表'!E17:E26)+SUMIF(项目类型,C1,'数据-汇总表'!I17:I26))</f>
        <v>58.3</v>
      </c>
      <c r="M18" s="2105">
        <f>IF(C1="",'数据-汇总表'!E3,SUMIF(项目类型,C1,'数据-汇总表'!E17:E26))</f>
        <v>58.3</v>
      </c>
    </row>
    <row r="19" spans="1:36" ht="15">
      <c r="A19" s="2497" t="s">
        <v>800</v>
      </c>
      <c r="B19" s="2498" t="s">
        <v>801</v>
      </c>
      <c r="C19" s="2499">
        <f ca="1">SUMIF(INDIRECT("'"&amp;C4&amp;"'"&amp;"!A:A"),结果表!B19,INDIRECT("'"&amp;C4&amp;"'"&amp;"!B:B"))</f>
        <v>56.0321</v>
      </c>
      <c r="D19" s="1507">
        <f ca="1">SUMIF(INDIRECT("'"&amp;D4&amp;"'"&amp;"!A:A"),结果表!B19,INDIRECT("'"&amp;D4&amp;"'"&amp;"!B:B"))</f>
        <v>63.328000000000003</v>
      </c>
      <c r="E19" s="2497" t="s">
        <v>802</v>
      </c>
      <c r="F19" s="2498" t="s">
        <v>801</v>
      </c>
      <c r="G19" s="2500">
        <f ca="1">ROUND(C19*$C$18+D19*$D$18,0)</f>
        <v>59</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9611</v>
      </c>
      <c r="D20" s="1842">
        <f ca="1">SUMIF(INDIRECT("'"&amp;D4&amp;"'"&amp;"!A:A"),结果表!B20,INDIRECT("'"&amp;D4&amp;"'"&amp;"!B:B"))</f>
        <v>10862</v>
      </c>
      <c r="E20" s="2502"/>
      <c r="F20" s="2503" t="s">
        <v>804</v>
      </c>
      <c r="G20" s="2504">
        <f ca="1">ROUND(C20*$C$18+D20*$D$18,0)</f>
        <v>10111</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0.13020929074584031</v>
      </c>
      <c r="E22" s="1067"/>
      <c r="F22" s="1067"/>
      <c r="G22" s="1067"/>
      <c r="H22" s="1067"/>
      <c r="I22" s="1067"/>
    </row>
    <row r="23" spans="1:36" ht="12.75">
      <c r="A23" s="2478"/>
      <c r="B23" s="2478"/>
      <c r="C23" s="2478"/>
      <c r="D23" s="2478"/>
      <c r="E23" s="1067"/>
      <c r="F23" s="1067"/>
      <c r="G23" s="1067"/>
      <c r="H23" s="1067"/>
      <c r="I23" s="1067"/>
    </row>
    <row r="24" spans="1:36" ht="14.25">
      <c r="A24" s="3694" t="s">
        <v>808</v>
      </c>
      <c r="B24" s="2498" t="s">
        <v>801</v>
      </c>
      <c r="C24" s="2500">
        <f>IF(B30=0,0,D30)</f>
        <v>0</v>
      </c>
      <c r="D24" s="2514"/>
      <c r="E24" s="1067"/>
      <c r="F24" s="1067"/>
      <c r="G24" s="1067"/>
      <c r="H24" s="1067"/>
      <c r="I24" s="1067"/>
    </row>
    <row r="25" spans="1:36" ht="14.25">
      <c r="A25" s="3695"/>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10111</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696" t="s">
        <v>823</v>
      </c>
      <c r="B36" s="2544" t="s">
        <v>824</v>
      </c>
      <c r="C36" s="2545"/>
      <c r="D36" s="2546"/>
      <c r="E36" s="2547"/>
      <c r="F36" s="2548"/>
      <c r="G36" s="1067"/>
      <c r="H36" s="1067"/>
      <c r="I36" s="1067"/>
    </row>
    <row r="37" spans="1:15" ht="15">
      <c r="A37" s="3697"/>
      <c r="B37" s="2549" t="s">
        <v>825</v>
      </c>
      <c r="C37" s="2550"/>
      <c r="D37" s="2551"/>
      <c r="E37" s="2551"/>
      <c r="F37" s="2548"/>
      <c r="G37" s="1067"/>
      <c r="H37" s="1067"/>
      <c r="I37" s="1067"/>
    </row>
    <row r="38" spans="1:15" ht="15">
      <c r="A38" s="3698"/>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776" t="s">
        <v>834</v>
      </c>
      <c r="B45" s="3777"/>
      <c r="C45" s="3778"/>
      <c r="D45" s="2104" t="e">
        <f ca="1">ROUND(H101*F45,0)</f>
        <v>#REF!</v>
      </c>
      <c r="E45" s="2570" t="s">
        <v>835</v>
      </c>
      <c r="F45" s="2571">
        <v>1</v>
      </c>
      <c r="G45" s="2572" t="s">
        <v>836</v>
      </c>
      <c r="H45" s="1067"/>
      <c r="I45" s="1067"/>
      <c r="J45" s="3765" t="s">
        <v>837</v>
      </c>
      <c r="K45" s="3765"/>
      <c r="L45" s="3765"/>
      <c r="M45" s="3765"/>
      <c r="N45" s="3765"/>
      <c r="O45" s="3765"/>
    </row>
    <row r="46" spans="1:15" ht="14.25" customHeight="1">
      <c r="A46" s="3779" t="s">
        <v>838</v>
      </c>
      <c r="B46" s="3780"/>
      <c r="C46" s="3780"/>
      <c r="D46" s="3780"/>
      <c r="E46" s="3780"/>
      <c r="F46" s="3780"/>
      <c r="G46" s="3781"/>
      <c r="H46" s="2573"/>
      <c r="I46" s="1068"/>
      <c r="J46" s="693">
        <v>1</v>
      </c>
      <c r="K46" s="3758" t="s">
        <v>839</v>
      </c>
      <c r="L46" s="3758"/>
      <c r="M46" s="3782"/>
      <c r="N46" s="3782"/>
      <c r="O46" s="3782"/>
    </row>
    <row r="47" spans="1:15" ht="12" customHeight="1">
      <c r="A47" s="2574" t="s">
        <v>840</v>
      </c>
      <c r="B47" s="2575"/>
      <c r="C47" s="2576"/>
      <c r="D47" s="2155" t="s">
        <v>841</v>
      </c>
      <c r="E47" s="2105" t="s">
        <v>842</v>
      </c>
      <c r="F47" s="2577" t="s">
        <v>843</v>
      </c>
      <c r="G47" s="2578" t="s">
        <v>844</v>
      </c>
      <c r="H47" s="2579"/>
      <c r="I47" s="1068"/>
      <c r="J47" s="693">
        <v>2</v>
      </c>
      <c r="K47" s="3758" t="s">
        <v>845</v>
      </c>
      <c r="L47" s="3758"/>
      <c r="M47" s="3762">
        <f>'数据-取费表'!B2</f>
        <v>39031</v>
      </c>
      <c r="N47" s="3762"/>
      <c r="O47" s="3762"/>
    </row>
    <row r="48" spans="1:15" ht="25.5">
      <c r="A48" s="3763" t="s">
        <v>846</v>
      </c>
      <c r="B48" s="3746"/>
      <c r="C48" s="3746"/>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758" t="s">
        <v>848</v>
      </c>
      <c r="L48" s="3758"/>
      <c r="M48" s="3764" t="e">
        <f ca="1">H101</f>
        <v>#REF!</v>
      </c>
      <c r="N48" s="3764"/>
      <c r="O48" s="3764"/>
    </row>
    <row r="49" spans="1:35" ht="25.5" customHeight="1">
      <c r="A49" s="2580" t="s">
        <v>849</v>
      </c>
      <c r="B49" s="3731" t="s">
        <v>850</v>
      </c>
      <c r="C49" s="3731"/>
      <c r="D49" s="2584">
        <v>0</v>
      </c>
      <c r="E49" s="2165" t="s">
        <v>851</v>
      </c>
      <c r="F49" s="2585" t="s">
        <v>124</v>
      </c>
      <c r="G49" s="3759"/>
      <c r="H49" s="2586" t="s">
        <v>852</v>
      </c>
      <c r="I49" s="2623"/>
      <c r="J49" s="693">
        <v>4</v>
      </c>
      <c r="K49" s="3758" t="str">
        <f>IF(项目基本情况!E8="房地产抵押价值","房地产抵押价值","抵押担保权已注销时的房地产抵押价值")</f>
        <v>抵押担保权已注销时的房地产抵押价值</v>
      </c>
      <c r="L49" s="3758"/>
      <c r="M49" s="3764" t="str">
        <f ca="1">IF(项目基本情况!E8="房地产抵押价值",H107,H109)</f>
        <v>——</v>
      </c>
      <c r="N49" s="3764"/>
      <c r="O49" s="3764"/>
    </row>
    <row r="50" spans="1:35" ht="25.5" customHeight="1">
      <c r="A50" s="2587"/>
      <c r="B50" s="3731" t="s">
        <v>853</v>
      </c>
      <c r="C50" s="3731"/>
      <c r="D50" s="2588"/>
      <c r="E50" s="2180"/>
      <c r="F50" s="2585"/>
      <c r="G50" s="3760"/>
      <c r="H50" s="2589" t="s">
        <v>854</v>
      </c>
      <c r="I50" s="2623"/>
      <c r="J50" s="3765" t="s">
        <v>855</v>
      </c>
      <c r="K50" s="3765"/>
      <c r="L50" s="3765"/>
      <c r="M50" s="3765"/>
      <c r="N50" s="3765"/>
      <c r="O50" s="3765"/>
    </row>
    <row r="51" spans="1:35" ht="20.45" customHeight="1">
      <c r="A51" s="2590"/>
      <c r="B51" s="3731" t="s">
        <v>856</v>
      </c>
      <c r="C51" s="3731"/>
      <c r="D51" s="2155"/>
      <c r="E51" s="2169"/>
      <c r="F51" s="2585"/>
      <c r="G51" s="3761"/>
      <c r="H51" s="2589" t="s">
        <v>857</v>
      </c>
      <c r="I51" s="2623"/>
      <c r="J51" s="2622" t="s">
        <v>858</v>
      </c>
      <c r="K51" s="3758" t="s">
        <v>859</v>
      </c>
      <c r="L51" s="3758"/>
      <c r="M51" s="2622" t="s">
        <v>860</v>
      </c>
      <c r="N51" s="2622" t="s">
        <v>861</v>
      </c>
      <c r="O51" s="2622" t="s">
        <v>862</v>
      </c>
    </row>
    <row r="52" spans="1:35" ht="24" customHeight="1">
      <c r="A52" s="2591" t="s">
        <v>863</v>
      </c>
      <c r="B52" s="3731" t="s">
        <v>864</v>
      </c>
      <c r="C52" s="3731"/>
      <c r="D52" s="2155" t="e">
        <f ca="1">ROUND(D45*'数据-取费表'!B41/(1+'数据-取费表'!C42),0)</f>
        <v>#REF!</v>
      </c>
      <c r="E52" s="2159" t="s">
        <v>865</v>
      </c>
      <c r="F52" s="2592">
        <f>'数据-取费表'!B41</f>
        <v>5.5000000000000007E-2</v>
      </c>
      <c r="G52" s="2593"/>
      <c r="H52" s="2274"/>
      <c r="I52" s="2624"/>
      <c r="J52" s="693">
        <v>1</v>
      </c>
      <c r="K52" s="3754" t="s">
        <v>866</v>
      </c>
      <c r="L52" s="3754"/>
      <c r="M52" s="2625" t="b">
        <f>D48</f>
        <v>0</v>
      </c>
      <c r="N52" s="693" t="str">
        <f>E48</f>
        <v>销售额×税（费）率</v>
      </c>
      <c r="O52" s="2626">
        <f>F48</f>
        <v>5.5000000000000007E-2</v>
      </c>
    </row>
    <row r="53" spans="1:35" ht="12" customHeight="1">
      <c r="A53" s="2591" t="s">
        <v>867</v>
      </c>
      <c r="B53" s="3730" t="s">
        <v>868</v>
      </c>
      <c r="C53" s="3750"/>
      <c r="D53" s="2155" t="e">
        <f ca="1">ROUND(D45*'数据-取费表'!B41/(1+'数据-取费表'!C42),0)</f>
        <v>#REF!</v>
      </c>
      <c r="E53" s="2159" t="s">
        <v>865</v>
      </c>
      <c r="F53" s="2592">
        <f>'数据-取费表'!B41</f>
        <v>5.5000000000000007E-2</v>
      </c>
      <c r="G53" s="2593"/>
      <c r="H53" s="2274"/>
      <c r="I53" s="2624"/>
      <c r="J53" s="693">
        <v>2</v>
      </c>
      <c r="K53" s="3754" t="s">
        <v>869</v>
      </c>
      <c r="L53" s="3754"/>
      <c r="M53" s="2625" t="e">
        <f t="shared" ref="M53:O54" ca="1" si="0">D55</f>
        <v>#REF!</v>
      </c>
      <c r="N53" s="693" t="str">
        <f t="shared" si="0"/>
        <v>销售额×税（费）率</v>
      </c>
      <c r="O53" s="2626" t="str">
        <f t="shared" si="0"/>
        <v>免征</v>
      </c>
    </row>
    <row r="54" spans="1:35" ht="12" customHeight="1">
      <c r="A54" s="2591" t="s">
        <v>870</v>
      </c>
      <c r="B54" s="3730" t="s">
        <v>871</v>
      </c>
      <c r="C54" s="3750"/>
      <c r="D54" s="2155" t="e">
        <f ca="1">C68</f>
        <v>#REF!</v>
      </c>
      <c r="E54" s="2169" t="s">
        <v>872</v>
      </c>
      <c r="F54" s="2592">
        <f>'数据-取费表'!B41</f>
        <v>5.5000000000000007E-2</v>
      </c>
      <c r="G54" s="2593"/>
      <c r="H54" s="2594"/>
      <c r="I54" s="2624"/>
      <c r="J54" s="693">
        <v>3</v>
      </c>
      <c r="K54" s="3754" t="s">
        <v>873</v>
      </c>
      <c r="L54" s="3754"/>
      <c r="M54" s="2625" t="e">
        <f t="shared" ca="1" si="0"/>
        <v>#REF!</v>
      </c>
      <c r="N54" s="693" t="str">
        <f t="shared" si="0"/>
        <v>增值额×税（费）率</v>
      </c>
      <c r="O54" s="2627" t="str">
        <f t="shared" si="0"/>
        <v>免征</v>
      </c>
    </row>
    <row r="55" spans="1:35" ht="24" customHeight="1">
      <c r="A55" s="3745" t="s">
        <v>874</v>
      </c>
      <c r="B55" s="3746"/>
      <c r="C55" s="3746"/>
      <c r="D55" s="2259" t="e">
        <f ca="1">IF(H55="个人住宅",0,ROUND(D45*I55,0))</f>
        <v>#REF!</v>
      </c>
      <c r="E55" s="2159" t="s">
        <v>875</v>
      </c>
      <c r="F55" s="2592" t="str">
        <f>IF(H55="正常",I55,"免征")</f>
        <v>免征</v>
      </c>
      <c r="G55" s="2593"/>
      <c r="H55" s="2583"/>
      <c r="I55" s="2628">
        <f>'数据-取费表'!B49</f>
        <v>5.0000000000000001E-4</v>
      </c>
      <c r="J55" s="693">
        <f>IF(H59="非个人房产","",4)</f>
        <v>4</v>
      </c>
      <c r="K55" s="3754" t="str">
        <f>IF(H59="非个人房产","——","个人所得税")</f>
        <v>个人所得税</v>
      </c>
      <c r="L55" s="3754"/>
      <c r="M55" s="2629" t="e">
        <f ca="1">D59</f>
        <v>#REF!</v>
      </c>
      <c r="N55" s="674" t="str">
        <f>E59</f>
        <v>差额计税</v>
      </c>
      <c r="O55" s="2630">
        <f>F59</f>
        <v>0.01</v>
      </c>
    </row>
    <row r="56" spans="1:35" ht="24.75">
      <c r="A56" s="3745" t="s">
        <v>876</v>
      </c>
      <c r="B56" s="3746"/>
      <c r="C56" s="3746"/>
      <c r="D56" s="2259" t="e">
        <f ca="1">IF(H56="个人住宅",D57,D58)</f>
        <v>#REF!</v>
      </c>
      <c r="E56" s="2159" t="s">
        <v>877</v>
      </c>
      <c r="F56" s="2592" t="str">
        <f>IF(H56="正常",F58,"免征")</f>
        <v>免征</v>
      </c>
      <c r="G56" s="2595" t="s">
        <v>878</v>
      </c>
      <c r="H56" s="2596"/>
      <c r="I56" s="2605"/>
      <c r="J56" s="693" t="str">
        <f>IF(项目基本情况!K6="上海银行",IF(J55="",4,J55+1),"")</f>
        <v/>
      </c>
      <c r="K56" s="3747" t="str">
        <f>IF(项目基本情况!K6="上海银行","其他处置费用","")</f>
        <v/>
      </c>
      <c r="L56" s="3748"/>
      <c r="M56" s="2625" t="str">
        <f>IF(项目基本情况!K6="上海银行",M69,"")</f>
        <v/>
      </c>
      <c r="N56" s="3747" t="str">
        <f>IF(项目基本情况!K6="上海银行","包含处置中涉及的律师、诉讼、拍卖、评估等费用","")</f>
        <v/>
      </c>
      <c r="O56" s="3749"/>
    </row>
    <row r="57" spans="1:35" ht="12.75">
      <c r="A57" s="2591" t="s">
        <v>849</v>
      </c>
      <c r="B57" s="3730" t="s">
        <v>879</v>
      </c>
      <c r="C57" s="3750"/>
      <c r="D57" s="2584">
        <v>0</v>
      </c>
      <c r="E57" s="2165" t="s">
        <v>851</v>
      </c>
      <c r="F57" s="2105"/>
      <c r="G57" s="2593"/>
      <c r="H57" s="2597"/>
      <c r="I57" s="2605"/>
      <c r="J57" s="3754">
        <f>IF(AND(J55="",J56=""),4,IF(项目基本情况!K6="上海银行",结果表!J56+1,结果表!J55+1))</f>
        <v>5</v>
      </c>
      <c r="K57" s="3754" t="s">
        <v>880</v>
      </c>
      <c r="L57" s="2631" t="s">
        <v>881</v>
      </c>
      <c r="M57" s="2632"/>
      <c r="N57" s="2633">
        <f ca="1">SUMIF(M52:M56,"&lt;9e307")</f>
        <v>0</v>
      </c>
      <c r="O57" s="2634"/>
      <c r="P57" s="2635" t="e">
        <f ca="1">N57/M49</f>
        <v>#VALUE!</v>
      </c>
    </row>
    <row r="58" spans="1:35" ht="24.75">
      <c r="A58" s="2591" t="s">
        <v>863</v>
      </c>
      <c r="B58" s="3730" t="s">
        <v>882</v>
      </c>
      <c r="C58" s="3731"/>
      <c r="D58" s="2259" t="e">
        <f ca="1">IF(H58="转让取得",C81,C97)</f>
        <v>#REF!</v>
      </c>
      <c r="E58" s="2159" t="s">
        <v>877</v>
      </c>
      <c r="F58" s="2105" t="s">
        <v>124</v>
      </c>
      <c r="G58" s="2593"/>
      <c r="H58" s="2596"/>
      <c r="I58" s="2605"/>
      <c r="J58" s="3754"/>
      <c r="K58" s="3754"/>
      <c r="L58" s="2631" t="s">
        <v>883</v>
      </c>
      <c r="M58" s="2636"/>
      <c r="N58" s="2637" t="str">
        <f ca="1">NUMBERSTRING(INT(N57*10000),2)&amp;"元整"</f>
        <v>零元整</v>
      </c>
      <c r="O58" s="2638"/>
    </row>
    <row r="59" spans="1:35" ht="24">
      <c r="A59" s="3751" t="s">
        <v>884</v>
      </c>
      <c r="B59" s="3752"/>
      <c r="C59" s="3752"/>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55">
        <f>J57+1</f>
        <v>6</v>
      </c>
      <c r="K59" s="3754" t="s">
        <v>886</v>
      </c>
      <c r="L59" s="693" t="s">
        <v>881</v>
      </c>
      <c r="M59" s="2640"/>
      <c r="N59" s="2641" t="e">
        <f ca="1">M49-N57</f>
        <v>#VALUE!</v>
      </c>
      <c r="O59" s="2642"/>
    </row>
    <row r="60" spans="1:35" ht="12" customHeight="1">
      <c r="A60" s="2603"/>
      <c r="B60" s="2478"/>
      <c r="C60" s="2478"/>
      <c r="D60" s="2478"/>
      <c r="E60" s="2604"/>
      <c r="F60" s="2605"/>
      <c r="G60" s="2605"/>
      <c r="H60" s="2606"/>
      <c r="I60" s="1067"/>
      <c r="J60" s="3756"/>
      <c r="K60" s="3754"/>
      <c r="L60" s="2631" t="s">
        <v>883</v>
      </c>
      <c r="M60" s="2636"/>
      <c r="N60" s="2637" t="e">
        <f ca="1">NUMBERSTRING(INT(N59*10000),2)&amp;"元整"</f>
        <v>#VALUE!</v>
      </c>
      <c r="O60" s="2638"/>
    </row>
    <row r="61" spans="1:35" ht="12.75">
      <c r="A61" s="3753" t="s">
        <v>887</v>
      </c>
      <c r="B61" s="3753"/>
      <c r="C61" s="3753"/>
      <c r="D61" s="3753"/>
      <c r="E61" s="3753"/>
      <c r="F61" s="2605"/>
      <c r="G61" s="2605"/>
      <c r="H61" s="2606"/>
      <c r="I61" s="1067"/>
      <c r="J61" s="693">
        <f>J59+1</f>
        <v>7</v>
      </c>
      <c r="K61" s="3754" t="s">
        <v>888</v>
      </c>
      <c r="L61" s="3754"/>
      <c r="M61" s="2643"/>
      <c r="N61" s="2644" t="e">
        <f ca="1">ROUND(N59*10000/'数据-汇总表'!E3,0)</f>
        <v>#VALUE!</v>
      </c>
      <c r="O61" s="2645"/>
    </row>
    <row r="62" spans="1:35" ht="12.75">
      <c r="A62" s="3728" t="s">
        <v>889</v>
      </c>
      <c r="B62" s="3729"/>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57"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57"/>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57"/>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57"/>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57"/>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57"/>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57"/>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26" t="s">
        <v>914</v>
      </c>
      <c r="B70" s="3727"/>
      <c r="C70" s="3727"/>
      <c r="D70" s="3727"/>
      <c r="E70" s="3727"/>
      <c r="F70" s="3727"/>
      <c r="G70" s="3727"/>
      <c r="H70" s="3727"/>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28" t="s">
        <v>889</v>
      </c>
      <c r="B71" s="3729"/>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730" t="s">
        <v>924</v>
      </c>
      <c r="F76" s="3731"/>
      <c r="G76" s="3731"/>
      <c r="H76" s="3732"/>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08" t="s">
        <v>929</v>
      </c>
      <c r="F78" s="3709"/>
      <c r="G78" s="3709"/>
      <c r="H78" s="3710"/>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26" t="s">
        <v>934</v>
      </c>
      <c r="B83" s="3727"/>
      <c r="C83" s="3727"/>
      <c r="D83" s="3727"/>
      <c r="E83" s="3727"/>
      <c r="F83" s="3727"/>
      <c r="G83" s="3727"/>
      <c r="H83" s="3727"/>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28" t="s">
        <v>889</v>
      </c>
      <c r="B84" s="3729"/>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43" t="s">
        <v>942</v>
      </c>
      <c r="H90" s="3744"/>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08" t="s">
        <v>946</v>
      </c>
      <c r="F91" s="3709"/>
      <c r="G91" s="3709"/>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08" t="s">
        <v>949</v>
      </c>
      <c r="F92" s="3709"/>
      <c r="G92" s="3709"/>
      <c r="H92" s="3710"/>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08" t="s">
        <v>929</v>
      </c>
      <c r="F93" s="3709"/>
      <c r="G93" s="3709"/>
      <c r="H93" s="3710"/>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711" t="s">
        <v>954</v>
      </c>
      <c r="F94" s="3712"/>
      <c r="G94" s="3712"/>
      <c r="H94" s="3713"/>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686" t="s">
        <v>956</v>
      </c>
      <c r="B100" s="3687"/>
      <c r="C100" s="3687"/>
      <c r="D100" s="3714"/>
      <c r="E100" s="3687" t="s">
        <v>957</v>
      </c>
      <c r="F100" s="3687"/>
      <c r="G100" s="3687"/>
      <c r="H100" s="3714"/>
      <c r="I100" s="1067"/>
    </row>
    <row r="101" spans="1:35" ht="18.75" customHeight="1">
      <c r="A101" s="3715" t="s">
        <v>958</v>
      </c>
      <c r="B101" s="3716"/>
      <c r="C101" s="2701" t="str">
        <f>C4</f>
        <v>比较法-住宅</v>
      </c>
      <c r="D101" s="2702" t="str">
        <f>D4</f>
        <v>成本法 (元)</v>
      </c>
      <c r="E101" s="3739" t="s">
        <v>959</v>
      </c>
      <c r="F101" s="3734"/>
      <c r="G101" s="2704" t="s">
        <v>960</v>
      </c>
      <c r="H101" s="2705" t="e">
        <f ca="1">H118</f>
        <v>#REF!</v>
      </c>
      <c r="I101" s="1067"/>
    </row>
    <row r="102" spans="1:35" ht="18.75" customHeight="1">
      <c r="A102" s="3699" t="s">
        <v>961</v>
      </c>
      <c r="B102" s="2706" t="s">
        <v>960</v>
      </c>
      <c r="C102" s="2701">
        <f ca="1">IF(D32="楼面单价",ROUND(C19,0),C19)</f>
        <v>56.0321</v>
      </c>
      <c r="D102" s="2702">
        <f ca="1">IF(D32="楼面单价",ROUND(D19,0),D19)</f>
        <v>63.328000000000003</v>
      </c>
      <c r="E102" s="3739"/>
      <c r="F102" s="3734"/>
      <c r="G102" s="2704" t="s">
        <v>99</v>
      </c>
      <c r="H102" s="2593" t="e">
        <f ca="1">I118</f>
        <v>#REF!</v>
      </c>
      <c r="I102" s="1067"/>
    </row>
    <row r="103" spans="1:35" ht="42.75" customHeight="1">
      <c r="A103" s="3699"/>
      <c r="B103" s="2706" t="s">
        <v>99</v>
      </c>
      <c r="C103" s="2707">
        <f ca="1">C20</f>
        <v>9611</v>
      </c>
      <c r="D103" s="2708">
        <f ca="1">D20</f>
        <v>10862</v>
      </c>
      <c r="E103" s="3717" t="s">
        <v>962</v>
      </c>
      <c r="F103" s="3718"/>
      <c r="G103" s="2709" t="s">
        <v>102</v>
      </c>
      <c r="H103" s="2705">
        <f>IF(D36="正常操作",H104+H105+H106,H105+H106)</f>
        <v>0</v>
      </c>
      <c r="I103" s="1067"/>
    </row>
    <row r="104" spans="1:35" ht="18.75" customHeight="1">
      <c r="A104" s="3699"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00"/>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33" t="str">
        <f>IF(项目基本情况!E8="已注销","——","3.房地产抵押价值")</f>
        <v>——</v>
      </c>
      <c r="F107" s="3734"/>
      <c r="G107" s="2704" t="s">
        <v>960</v>
      </c>
      <c r="H107" s="2705" t="str">
        <f>IF(E107="——","——",H101-H103)</f>
        <v>——</v>
      </c>
      <c r="I107" s="1067"/>
    </row>
    <row r="108" spans="1:35" ht="18.75" customHeight="1">
      <c r="A108" s="1067"/>
      <c r="B108" s="1067"/>
      <c r="C108" s="1067"/>
      <c r="D108" s="1067"/>
      <c r="E108" s="3733"/>
      <c r="F108" s="3734"/>
      <c r="G108" s="2704" t="s">
        <v>99</v>
      </c>
      <c r="H108" s="2593">
        <f ca="1">IF(H107=H101,H102,ROUND(H107*10000/'数据-汇总表'!E3,0))</f>
        <v>0</v>
      </c>
      <c r="I108" s="1067"/>
    </row>
    <row r="109" spans="1:35" ht="18.75" customHeight="1">
      <c r="A109" s="1067"/>
      <c r="B109" s="1067"/>
      <c r="C109" s="1067"/>
      <c r="D109" s="1067"/>
      <c r="E109" s="3733" t="str">
        <f>IF(项目基本情况!E8="已注销及未注销","4.抵押担保权已注销时的房地产抵押价值",IF(项目基本情况!E8="已注销","3.抵押担保权已注销时的房地产抵押价值","——"))</f>
        <v>3.抵押担保权已注销时的房地产抵押价值</v>
      </c>
      <c r="F109" s="3734"/>
      <c r="G109" s="2704" t="s">
        <v>960</v>
      </c>
      <c r="H109" s="2720" t="str">
        <f ca="1">IF(E109="——","——",H101-H105-H106)</f>
        <v>——</v>
      </c>
      <c r="I109" s="1067"/>
    </row>
    <row r="110" spans="1:35" ht="18.75" customHeight="1">
      <c r="A110" s="1067"/>
      <c r="B110" s="1067"/>
      <c r="C110" s="1067"/>
      <c r="D110" s="1067"/>
      <c r="E110" s="3733"/>
      <c r="F110" s="3734"/>
      <c r="G110" s="2704" t="s">
        <v>99</v>
      </c>
      <c r="H110" s="2593" t="str">
        <f ca="1">IF(H109="——","——",ROUND(H109*10000/'数据-汇总表'!E3,0))</f>
        <v>——</v>
      </c>
      <c r="I110" s="1067"/>
    </row>
    <row r="111" spans="1:35" ht="18.75" customHeight="1">
      <c r="A111" s="1067"/>
      <c r="B111" s="1067"/>
      <c r="C111" s="1067"/>
      <c r="D111" s="1067"/>
      <c r="E111" s="3735" t="str">
        <f>IF(项目基本情况!E9="抵押净值",IF(OR(项目基本情况!E8="已注销",项目基本情况!E8="房地产抵押价值"),"4.抵押净值","5.抵押净值"),"——")</f>
        <v>——</v>
      </c>
      <c r="F111" s="3736"/>
      <c r="G111" s="2704" t="s">
        <v>960</v>
      </c>
      <c r="H111" s="2705" t="str">
        <f>IF(E111="——","——",N59)</f>
        <v>——</v>
      </c>
      <c r="I111" s="1067"/>
    </row>
    <row r="112" spans="1:35" ht="18.75" customHeight="1">
      <c r="A112" s="1067"/>
      <c r="B112" s="1067"/>
      <c r="C112" s="1067"/>
      <c r="D112" s="1067"/>
      <c r="E112" s="3737"/>
      <c r="F112" s="3738"/>
      <c r="G112" s="2721" t="s">
        <v>99</v>
      </c>
      <c r="H112" s="2722" t="str">
        <f>IF(E111="——","——",N61)</f>
        <v>——</v>
      </c>
      <c r="I112" s="1067"/>
    </row>
    <row r="113" spans="1:27" ht="18.75" customHeight="1">
      <c r="A113" s="1067"/>
      <c r="B113" s="1067"/>
      <c r="C113" s="1067"/>
      <c r="D113" s="1067"/>
      <c r="E113" s="3719" t="s">
        <v>966</v>
      </c>
      <c r="F113" s="3719"/>
      <c r="G113" s="3719"/>
      <c r="H113" s="3719"/>
      <c r="I113" s="1067"/>
    </row>
    <row r="114" spans="1:27" ht="3.75" customHeight="1">
      <c r="A114" s="2478"/>
      <c r="B114" s="2478"/>
      <c r="C114" s="2478"/>
      <c r="D114" s="2478"/>
      <c r="E114" s="2603"/>
      <c r="F114" s="2603"/>
      <c r="G114" s="2603"/>
      <c r="H114" s="2603"/>
      <c r="I114" s="2478"/>
    </row>
    <row r="115" spans="1:27" ht="18.75" customHeight="1">
      <c r="A115" s="3720" t="s">
        <v>968</v>
      </c>
      <c r="B115" s="3721"/>
      <c r="C115" s="3721"/>
      <c r="D115" s="3721"/>
      <c r="E115" s="3721"/>
      <c r="F115" s="3721"/>
      <c r="G115" s="3721"/>
      <c r="H115" s="3721"/>
      <c r="I115" s="3722"/>
    </row>
    <row r="116" spans="1:27" ht="27" customHeight="1">
      <c r="A116" s="3693" t="s">
        <v>969</v>
      </c>
      <c r="B116" s="3702" t="s">
        <v>970</v>
      </c>
      <c r="C116" s="3702" t="s">
        <v>971</v>
      </c>
      <c r="D116" s="3723" t="s">
        <v>972</v>
      </c>
      <c r="E116" s="3724"/>
      <c r="F116" s="3725" t="s">
        <v>973</v>
      </c>
      <c r="G116" s="3725"/>
      <c r="H116" s="3693" t="s">
        <v>974</v>
      </c>
      <c r="I116" s="3693"/>
    </row>
    <row r="117" spans="1:27" ht="18.75" customHeight="1">
      <c r="A117" s="3693"/>
      <c r="B117" s="3703"/>
      <c r="C117" s="3703"/>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58.3</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693" t="s">
        <v>976</v>
      </c>
      <c r="B119" s="3693"/>
      <c r="C119" s="3693"/>
      <c r="D119" s="3705" t="e">
        <f ca="1">NUMBERSTRING(INT(D118*10000),2)&amp;"元整"</f>
        <v>#REF!</v>
      </c>
      <c r="E119" s="3707"/>
      <c r="F119" s="3705" t="e">
        <f ca="1">NUMBERSTRING(INT(F118*10000),2)&amp;"元整"</f>
        <v>#REF!</v>
      </c>
      <c r="G119" s="3707"/>
      <c r="H119" s="3705" t="e">
        <f ca="1">NUMBERSTRING(INT(H118*10000),2)&amp;"元整"</f>
        <v>#REF!</v>
      </c>
      <c r="I119" s="3707"/>
    </row>
    <row r="120" spans="1:27" ht="18.75" customHeight="1">
      <c r="A120" s="3740" t="str">
        <f>IF(项目基本情况!B9="房地产市场价值","",MID(E103,3,LEN(E103)-2))</f>
        <v/>
      </c>
      <c r="B120" s="3741"/>
      <c r="C120" s="3742"/>
      <c r="D120" s="3740">
        <f>H103</f>
        <v>0</v>
      </c>
      <c r="E120" s="3741"/>
      <c r="F120" s="3741"/>
      <c r="G120" s="3741"/>
      <c r="H120" s="3741"/>
      <c r="I120" s="3742"/>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05" t="s">
        <v>976</v>
      </c>
      <c r="B121" s="3706"/>
      <c r="C121" s="3707"/>
      <c r="D121" s="3705" t="str">
        <f>IF(D120=0,"零元整",NUMBERSTRING(INT(D120*10000),2)&amp;"元整")</f>
        <v>零元整</v>
      </c>
      <c r="E121" s="3706"/>
      <c r="F121" s="3706"/>
      <c r="G121" s="3706"/>
      <c r="H121" s="3706"/>
      <c r="I121" s="3707"/>
      <c r="AA121" s="1025"/>
    </row>
    <row r="122" spans="1:27" ht="18.75" customHeight="1">
      <c r="A122" s="3736" t="str">
        <f>IF(项目基本情况!B9="房地产市场价值","",MID(E107,3,LEN(E107)-2))</f>
        <v/>
      </c>
      <c r="B122" s="3736"/>
      <c r="C122" s="3736"/>
      <c r="D122" s="3740" t="str">
        <f>H107</f>
        <v>——</v>
      </c>
      <c r="E122" s="3741"/>
      <c r="F122" s="3741"/>
      <c r="G122" s="3741"/>
      <c r="H122" s="3741"/>
      <c r="I122" s="3742"/>
      <c r="AA122" s="1025"/>
    </row>
    <row r="123" spans="1:27" ht="18.75" customHeight="1">
      <c r="A123" s="3693" t="s">
        <v>976</v>
      </c>
      <c r="B123" s="3693"/>
      <c r="C123" s="3693"/>
      <c r="D123" s="3705" t="e">
        <f>NUMBERSTRING(INT(D122*10000),2)&amp;"元整"</f>
        <v>#VALUE!</v>
      </c>
      <c r="E123" s="3706"/>
      <c r="F123" s="3706"/>
      <c r="G123" s="3706"/>
      <c r="H123" s="3706"/>
      <c r="I123" s="3707"/>
      <c r="AA123" s="1025"/>
    </row>
    <row r="124" spans="1:27" ht="18.75" customHeight="1">
      <c r="A124" s="3736" t="str">
        <f>IF(项目基本情况!B9="房地产市场价值","",MID(E109,3,LEN(E109)-2))</f>
        <v/>
      </c>
      <c r="B124" s="3736"/>
      <c r="C124" s="3736"/>
      <c r="D124" s="3740" t="str">
        <f ca="1">H109</f>
        <v>——</v>
      </c>
      <c r="E124" s="3741"/>
      <c r="F124" s="3741"/>
      <c r="G124" s="3741"/>
      <c r="H124" s="3741"/>
      <c r="I124" s="3742"/>
      <c r="AA124" s="1025"/>
    </row>
    <row r="125" spans="1:27" ht="18.75" customHeight="1">
      <c r="A125" s="3693" t="s">
        <v>976</v>
      </c>
      <c r="B125" s="3693"/>
      <c r="C125" s="3693"/>
      <c r="D125" s="3705" t="e">
        <f ca="1">NUMBERSTRING(INT(D124*10000),2)&amp;"元整"</f>
        <v>#VALUE!</v>
      </c>
      <c r="E125" s="3706"/>
      <c r="F125" s="3706"/>
      <c r="G125" s="3706"/>
      <c r="H125" s="3706"/>
      <c r="I125" s="3707"/>
      <c r="AA125" s="1025"/>
    </row>
    <row r="126" spans="1:27" ht="18.75" customHeight="1">
      <c r="A126" s="3736" t="str">
        <f>IF(项目基本情况!B9="房地产市场价值","",MID(E111,3,LEN(E111)-2))</f>
        <v/>
      </c>
      <c r="B126" s="3736"/>
      <c r="C126" s="3736"/>
      <c r="D126" s="3740" t="str">
        <f>H111</f>
        <v>——</v>
      </c>
      <c r="E126" s="3741"/>
      <c r="F126" s="3741"/>
      <c r="G126" s="3741"/>
      <c r="H126" s="3741"/>
      <c r="I126" s="3742"/>
      <c r="AA126" s="1025"/>
    </row>
    <row r="127" spans="1:27" ht="18.75" customHeight="1">
      <c r="A127" s="3693" t="s">
        <v>976</v>
      </c>
      <c r="B127" s="3693"/>
      <c r="C127" s="3693"/>
      <c r="D127" s="3705" t="e">
        <f>NUMBERSTRING(INT(D126*10000),2)&amp;"元整"</f>
        <v>#VALUE!</v>
      </c>
      <c r="E127" s="3706"/>
      <c r="F127" s="3706"/>
      <c r="G127" s="3706"/>
      <c r="H127" s="3706"/>
      <c r="I127" s="3707"/>
      <c r="AA127" s="1025"/>
    </row>
    <row r="128" spans="1:27" ht="21.75" customHeight="1">
      <c r="A128" s="3692" t="s">
        <v>113</v>
      </c>
      <c r="B128" s="3692"/>
      <c r="C128" s="3692"/>
      <c r="D128" s="3692"/>
      <c r="E128" s="3692"/>
      <c r="F128" s="3692"/>
      <c r="G128" s="3692"/>
      <c r="H128" s="3692"/>
      <c r="I128" s="3692"/>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8</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1372</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58.3</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58.3</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5.0000000000000001E-4</v>
      </c>
      <c r="E27" s="493" t="s">
        <v>1028</v>
      </c>
      <c r="F27" s="507">
        <f ca="1">IF(B1="",'数据-取费表'!Q16,INDIRECT("'数据-取费表'!q"&amp;$G$1))</f>
        <v>0.05</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5.0000000000000001E-4</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9</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8</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58.3</v>
      </c>
      <c r="E37" s="510">
        <f>'数据-取费表'!B35</f>
        <v>120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786" t="s">
        <v>1064</v>
      </c>
    </row>
    <row r="43" spans="1:7" ht="13.5" customHeight="1">
      <c r="A43" s="497" t="s">
        <v>996</v>
      </c>
      <c r="B43" s="467" t="s">
        <v>1034</v>
      </c>
      <c r="C43" s="499">
        <f ca="1">ROUND(IF('数据-取费表'!B22&lt;=1,C39*F22*'数据-取费表'!B21/2,C39*(POWER((1+F22),'数据-取费表'!B21/2)-1)),0)</f>
        <v>0</v>
      </c>
      <c r="D43" s="499"/>
      <c r="E43" s="499"/>
      <c r="F43" s="500"/>
      <c r="G43" s="3787"/>
    </row>
    <row r="44" spans="1:7" ht="13.5" customHeight="1">
      <c r="A44" s="497" t="s">
        <v>998</v>
      </c>
      <c r="B44" s="467" t="s">
        <v>1036</v>
      </c>
      <c r="C44" s="499">
        <f>ROUND(IF('数据-取费表'!B22&lt;=1,C40*F22*'数据-取费表'!B21/2,C40*(POWER((1+F22),'数据-取费表'!B21/2)-1)),4)</f>
        <v>5.9999999999999995E-4</v>
      </c>
      <c r="D44" s="499"/>
      <c r="E44" s="499"/>
      <c r="F44" s="500"/>
      <c r="G44" s="3788"/>
    </row>
    <row r="45" spans="1:7" s="443" customFormat="1" ht="13.5" customHeight="1">
      <c r="A45" s="461" t="s">
        <v>1030</v>
      </c>
      <c r="B45" s="505" t="s">
        <v>1041</v>
      </c>
      <c r="C45" s="506">
        <f ca="1">C46</f>
        <v>0</v>
      </c>
      <c r="D45" s="492">
        <f ca="1">C47</f>
        <v>5.0000000000000001E-4</v>
      </c>
      <c r="E45" s="493" t="s">
        <v>1062</v>
      </c>
      <c r="F45" s="507">
        <f ca="1">F27</f>
        <v>0.05</v>
      </c>
      <c r="G45" s="508" t="s">
        <v>1065</v>
      </c>
    </row>
    <row r="46" spans="1:7" s="443" customFormat="1" ht="13.5" customHeight="1">
      <c r="A46" s="497" t="s">
        <v>994</v>
      </c>
      <c r="B46" s="509" t="s">
        <v>1066</v>
      </c>
      <c r="C46" s="510">
        <f ca="1">ROUND((C33+C39)*F27,0)</f>
        <v>0</v>
      </c>
      <c r="D46" s="523"/>
      <c r="E46" s="493"/>
      <c r="F46" s="507"/>
      <c r="G46" s="508"/>
    </row>
    <row r="47" spans="1:7" s="443" customFormat="1" ht="13.5" customHeight="1">
      <c r="A47" s="497" t="s">
        <v>996</v>
      </c>
      <c r="B47" s="509" t="s">
        <v>1067</v>
      </c>
      <c r="C47" s="499">
        <f ca="1">ROUND(C40*F27,4)</f>
        <v>5.0000000000000001E-4</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11</v>
      </c>
      <c r="D49" s="489"/>
      <c r="E49" s="489"/>
      <c r="F49" s="524"/>
      <c r="G49" s="494" t="s">
        <v>1070</v>
      </c>
    </row>
    <row r="50" spans="1:7" s="445" customFormat="1" ht="24">
      <c r="A50" s="461" t="s">
        <v>1071</v>
      </c>
      <c r="B50" s="462" t="s">
        <v>1072</v>
      </c>
      <c r="C50" s="489"/>
      <c r="D50" s="489"/>
      <c r="E50" s="489"/>
      <c r="F50" s="524">
        <f>IF('数据-取费表'!B24=0,'数据-取费表'!N16,1)</f>
        <v>0.6</v>
      </c>
      <c r="G50" s="508" t="s">
        <v>1073</v>
      </c>
    </row>
    <row r="51" spans="1:7" ht="16.5" customHeight="1">
      <c r="A51" s="461" t="s">
        <v>1074</v>
      </c>
      <c r="B51" s="462" t="s">
        <v>1075</v>
      </c>
      <c r="C51" s="489">
        <f ca="1">ROUND(C49*F50,0)</f>
        <v>7</v>
      </c>
      <c r="D51" s="489"/>
      <c r="E51" s="489"/>
      <c r="F51" s="524"/>
      <c r="G51" s="494" t="s">
        <v>1076</v>
      </c>
    </row>
    <row r="52" spans="1:7" s="442" customFormat="1" ht="15.75">
      <c r="A52" s="525" t="s">
        <v>1077</v>
      </c>
      <c r="B52" s="526"/>
      <c r="C52" s="527">
        <f ca="1">C31+C51</f>
        <v>8</v>
      </c>
      <c r="D52" s="526"/>
      <c r="E52" s="526"/>
      <c r="F52" s="526"/>
      <c r="G52" s="528"/>
    </row>
    <row r="55" spans="1:7" ht="15">
      <c r="B55" s="529" t="s">
        <v>1078</v>
      </c>
      <c r="C55" s="530"/>
    </row>
    <row r="56" spans="1:7">
      <c r="B56" s="531" t="s">
        <v>1079</v>
      </c>
      <c r="C56" s="533">
        <f ca="1">1-C57</f>
        <v>0.125</v>
      </c>
    </row>
    <row r="57" spans="1:7">
      <c r="B57" s="531" t="s">
        <v>1080</v>
      </c>
      <c r="C57" s="532">
        <f ca="1">ROUND(C51/C52,3)</f>
        <v>0.875</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03" t="str">
        <f>项目基本情况!B1</f>
        <v>北京市房地产市场价值预评估</v>
      </c>
      <c r="C37" s="3603"/>
      <c r="D37" s="3603"/>
      <c r="E37" s="3603"/>
      <c r="F37" s="3603"/>
      <c r="G37" s="3603"/>
      <c r="H37" s="3603"/>
      <c r="I37" s="3603"/>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2" sqref="H42"/>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63.328000000000003</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10862</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434966</v>
      </c>
      <c r="D5" s="463" t="s">
        <v>992</v>
      </c>
      <c r="E5" s="464" t="s">
        <v>993</v>
      </c>
      <c r="F5" s="464" t="s">
        <v>890</v>
      </c>
      <c r="G5" s="465"/>
    </row>
    <row r="6" spans="1:8" s="443" customFormat="1" ht="13.5" customHeight="1">
      <c r="A6" s="466" t="s">
        <v>994</v>
      </c>
      <c r="B6" s="467" t="s">
        <v>995</v>
      </c>
      <c r="C6" s="468">
        <f>'[2]2002基准地价'!$E$18</f>
        <v>422092</v>
      </c>
      <c r="D6" s="469"/>
      <c r="E6" s="470"/>
      <c r="F6" s="470"/>
      <c r="G6" s="471"/>
    </row>
    <row r="7" spans="1:8" s="443" customFormat="1" ht="13.5" customHeight="1">
      <c r="A7" s="466" t="s">
        <v>996</v>
      </c>
      <c r="B7" s="467" t="s">
        <v>997</v>
      </c>
      <c r="C7" s="472">
        <f>ROUND(C6*F7,0)</f>
        <v>12874</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9328</v>
      </c>
      <c r="D9" s="479">
        <f ca="1">IF(B1="",'数据-汇总表'!E5,IF(INDIRECT("'数据-取费表'!c"&amp;$G$1)="住宅",INDIRECT("'数据-取费表'!k"&amp;$G$1),0))</f>
        <v>58.3</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6996</v>
      </c>
      <c r="D19" s="487">
        <f ca="1">D9+D10</f>
        <v>58.3</v>
      </c>
      <c r="E19" s="463">
        <f>'数据-取费表'!B31</f>
        <v>120</v>
      </c>
      <c r="F19" s="488"/>
      <c r="G19" s="2465" t="s">
        <v>1083</v>
      </c>
    </row>
    <row r="20" spans="1:7" s="443" customFormat="1" ht="13.5" customHeight="1">
      <c r="A20" s="461" t="s">
        <v>1023</v>
      </c>
      <c r="B20" s="462" t="s">
        <v>1024</v>
      </c>
      <c r="C20" s="489">
        <f ca="1">ROUND((C5+C19)*F20,0)</f>
        <v>4420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57719</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56532</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909</v>
      </c>
      <c r="D24" s="499"/>
      <c r="E24" s="499"/>
      <c r="F24" s="500"/>
      <c r="G24" s="501" t="s">
        <v>1035</v>
      </c>
    </row>
    <row r="25" spans="1:7" s="443" customFormat="1" ht="24">
      <c r="A25" s="497" t="s">
        <v>998</v>
      </c>
      <c r="B25" s="467" t="s">
        <v>1036</v>
      </c>
      <c r="C25" s="2467">
        <f ca="1">ROUND(IF('数据-取费表'!B22&lt;=1,C20*F22*'数据-取费表'!B22/2,C20*(POWER((1+F22),'数据-取费表'!B22/2)-1)),0)</f>
        <v>278</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22319</v>
      </c>
      <c r="D27" s="492">
        <f ca="1">C29</f>
        <v>5.0000000000000001E-4</v>
      </c>
      <c r="E27" s="493" t="s">
        <v>1028</v>
      </c>
      <c r="F27" s="507">
        <f ca="1">IF(B1="",'数据-取费表'!Q16,INDIRECT("'数据-取费表'!q"&amp;$G$1))</f>
        <v>0.05</v>
      </c>
      <c r="G27" s="508" t="s">
        <v>1042</v>
      </c>
    </row>
    <row r="28" spans="1:7" s="443" customFormat="1" ht="13.5" customHeight="1">
      <c r="A28" s="497" t="s">
        <v>994</v>
      </c>
      <c r="B28" s="509" t="s">
        <v>1043</v>
      </c>
      <c r="C28" s="510">
        <f ca="1">ROUND((C5+C19+C20)*F27,0)</f>
        <v>22319</v>
      </c>
      <c r="D28" s="492"/>
      <c r="E28" s="493"/>
      <c r="F28" s="507"/>
      <c r="G28" s="508"/>
    </row>
    <row r="29" spans="1:7" s="443" customFormat="1" ht="13.5" customHeight="1">
      <c r="A29" s="497" t="s">
        <v>996</v>
      </c>
      <c r="B29" s="509" t="s">
        <v>1044</v>
      </c>
      <c r="C29" s="499">
        <f ca="1">ROUND(C21*F27,4)</f>
        <v>5.0000000000000001E-4</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563679</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96370</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81620</v>
      </c>
      <c r="D34" s="469"/>
      <c r="E34" s="472"/>
      <c r="F34" s="518"/>
      <c r="G34" s="471"/>
    </row>
    <row r="35" spans="1:7" ht="13.5" customHeight="1">
      <c r="A35" s="497" t="s">
        <v>996</v>
      </c>
      <c r="B35" s="467" t="s">
        <v>1054</v>
      </c>
      <c r="C35" s="472">
        <f ca="1">ROUND(C34*F35,0)</f>
        <v>2449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4081</v>
      </c>
      <c r="D36" s="472"/>
      <c r="E36" s="472"/>
      <c r="F36" s="519">
        <f>'数据-取费表'!B34</f>
        <v>0.05</v>
      </c>
      <c r="G36" s="520" t="s">
        <v>1057</v>
      </c>
    </row>
    <row r="37" spans="1:7" s="445" customFormat="1" ht="13.5" customHeight="1">
      <c r="A37" s="497" t="s">
        <v>1038</v>
      </c>
      <c r="B37" s="467" t="s">
        <v>1058</v>
      </c>
      <c r="C37" s="510">
        <f ca="1">ROUND(E37*D37,0)</f>
        <v>6996</v>
      </c>
      <c r="D37" s="469">
        <f ca="1">D19</f>
        <v>58.3</v>
      </c>
      <c r="E37" s="510">
        <f>'数据-取费表'!B35</f>
        <v>120</v>
      </c>
      <c r="F37" s="519"/>
      <c r="G37" s="521"/>
    </row>
    <row r="38" spans="1:7" ht="13.5" customHeight="1">
      <c r="A38" s="497" t="s">
        <v>1060</v>
      </c>
      <c r="B38" s="467" t="s">
        <v>926</v>
      </c>
      <c r="C38" s="472">
        <f ca="1">ROUND(C34*F38,0)</f>
        <v>1224</v>
      </c>
      <c r="D38" s="472"/>
      <c r="E38" s="472"/>
      <c r="F38" s="519">
        <f>'数据-取费表'!B36</f>
        <v>1.4999999999999999E-2</v>
      </c>
      <c r="G38" s="471" t="s">
        <v>1055</v>
      </c>
    </row>
    <row r="39" spans="1:7" s="443" customFormat="1" ht="13.5" customHeight="1">
      <c r="A39" s="461" t="s">
        <v>1021</v>
      </c>
      <c r="B39" s="462" t="s">
        <v>1024</v>
      </c>
      <c r="C39" s="489">
        <f ca="1">ROUND(C33*F20,0)</f>
        <v>964</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6132</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6071</v>
      </c>
      <c r="D42" s="499"/>
      <c r="E42" s="499"/>
      <c r="F42" s="500"/>
      <c r="G42" s="3786" t="s">
        <v>1086</v>
      </c>
    </row>
    <row r="43" spans="1:7" ht="13.5" customHeight="1">
      <c r="A43" s="497" t="s">
        <v>996</v>
      </c>
      <c r="B43" s="467" t="s">
        <v>1034</v>
      </c>
      <c r="C43" s="499">
        <f ca="1">ROUND(IF('数据-取费表'!B22&lt;=1,C39*F22*'数据-取费表'!B20/2,C39*(POWER((1+F22),'数据-取费表'!B20/2)-1)),0)</f>
        <v>61</v>
      </c>
      <c r="D43" s="499"/>
      <c r="E43" s="499"/>
      <c r="F43" s="500"/>
      <c r="G43" s="3787"/>
    </row>
    <row r="44" spans="1:7" ht="13.5" customHeight="1">
      <c r="A44" s="497" t="s">
        <v>998</v>
      </c>
      <c r="B44" s="467" t="s">
        <v>1036</v>
      </c>
      <c r="C44" s="499">
        <f>ROUND(IF('数据-取费表'!B22&lt;=1,C40*F22*'数据-取费表'!B20/2,C40*(POWER((1+F22),'数据-取费表'!B20/2)-1)),4)</f>
        <v>5.9999999999999995E-4</v>
      </c>
      <c r="D44" s="499"/>
      <c r="E44" s="499"/>
      <c r="F44" s="500"/>
      <c r="G44" s="3788"/>
    </row>
    <row r="45" spans="1:7" s="443" customFormat="1" ht="13.5" customHeight="1">
      <c r="A45" s="461" t="s">
        <v>1030</v>
      </c>
      <c r="B45" s="505" t="s">
        <v>1041</v>
      </c>
      <c r="C45" s="506">
        <f ca="1">C46</f>
        <v>4867</v>
      </c>
      <c r="D45" s="492">
        <f ca="1">C47</f>
        <v>5.0000000000000001E-4</v>
      </c>
      <c r="E45" s="493" t="s">
        <v>1062</v>
      </c>
      <c r="F45" s="507">
        <f ca="1">F27</f>
        <v>0.05</v>
      </c>
      <c r="G45" s="508" t="s">
        <v>1065</v>
      </c>
    </row>
    <row r="46" spans="1:7" s="443" customFormat="1" ht="13.5" customHeight="1">
      <c r="A46" s="497" t="s">
        <v>994</v>
      </c>
      <c r="B46" s="509" t="s">
        <v>1066</v>
      </c>
      <c r="C46" s="510">
        <f ca="1">ROUND((C33+C39)*F27,0)</f>
        <v>4867</v>
      </c>
      <c r="D46" s="523"/>
      <c r="E46" s="493"/>
      <c r="F46" s="507"/>
      <c r="G46" s="508"/>
    </row>
    <row r="47" spans="1:7" s="443" customFormat="1" ht="13.5" customHeight="1">
      <c r="A47" s="497" t="s">
        <v>996</v>
      </c>
      <c r="B47" s="509" t="s">
        <v>1067</v>
      </c>
      <c r="C47" s="499">
        <f ca="1">ROUND(C40*F27,4)</f>
        <v>5.0000000000000001E-4</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116001</v>
      </c>
      <c r="D49" s="489"/>
      <c r="E49" s="489"/>
      <c r="F49" s="524"/>
      <c r="G49" s="494" t="s">
        <v>1070</v>
      </c>
    </row>
    <row r="50" spans="1:7" s="445" customFormat="1">
      <c r="A50" s="461" t="s">
        <v>1071</v>
      </c>
      <c r="B50" s="462" t="s">
        <v>1072</v>
      </c>
      <c r="C50" s="489"/>
      <c r="D50" s="489"/>
      <c r="E50" s="489"/>
      <c r="F50" s="524">
        <f>IF('数据-取费表'!B24=0,'数据-取费表'!N16,1)</f>
        <v>0.6</v>
      </c>
      <c r="G50" s="508"/>
    </row>
    <row r="51" spans="1:7" ht="16.5" customHeight="1">
      <c r="A51" s="461" t="s">
        <v>1074</v>
      </c>
      <c r="B51" s="462" t="s">
        <v>1088</v>
      </c>
      <c r="C51" s="489">
        <f ca="1">ROUND(C49*F50,0)</f>
        <v>69601</v>
      </c>
      <c r="D51" s="489"/>
      <c r="E51" s="489"/>
      <c r="F51" s="524"/>
      <c r="G51" s="494" t="s">
        <v>1076</v>
      </c>
    </row>
    <row r="52" spans="1:7" s="442" customFormat="1" ht="15.75">
      <c r="A52" s="525" t="s">
        <v>1077</v>
      </c>
      <c r="B52" s="526"/>
      <c r="C52" s="527">
        <f ca="1">C31+C51</f>
        <v>633280</v>
      </c>
      <c r="D52" s="526"/>
      <c r="E52" s="526"/>
      <c r="F52" s="526"/>
      <c r="G52" s="528"/>
    </row>
    <row r="55" spans="1:7" ht="15">
      <c r="B55" s="529" t="s">
        <v>1078</v>
      </c>
      <c r="C55" s="530"/>
    </row>
    <row r="56" spans="1:7">
      <c r="B56" s="531" t="s">
        <v>1079</v>
      </c>
      <c r="C56" s="533">
        <f ca="1">1-C57</f>
        <v>0.89</v>
      </c>
    </row>
    <row r="57" spans="1:7">
      <c r="B57" s="531" t="s">
        <v>1080</v>
      </c>
      <c r="C57" s="532">
        <f ca="1">ROUND(C51/C52,3)</f>
        <v>0.11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-172</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58.3</v>
      </c>
      <c r="E14" s="1078">
        <f>'数据-取费表'!B35</f>
        <v>120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58.3</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58.3</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6.3E-2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0.05</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791" t="s">
        <v>1156</v>
      </c>
      <c r="C6" s="2103">
        <f ca="1">ROUND(F6*F8*F7*(1-F9)/10000,0)</f>
        <v>0</v>
      </c>
      <c r="D6" s="2104" t="s">
        <v>1157</v>
      </c>
      <c r="E6" s="2105" t="s">
        <v>1158</v>
      </c>
      <c r="F6" s="2106">
        <f ca="1">INDIRECT("'数据-取费表'!u"&amp;$G$1)</f>
        <v>0</v>
      </c>
      <c r="G6" s="836"/>
      <c r="H6" s="2102" t="s">
        <v>895</v>
      </c>
      <c r="I6" s="3791" t="s">
        <v>1156</v>
      </c>
      <c r="J6" s="2177">
        <f ca="1">ROUND(M6*M8*M7*(1-M9)/10000,0)</f>
        <v>0</v>
      </c>
      <c r="K6" s="2104" t="s">
        <v>1159</v>
      </c>
      <c r="L6" s="2105" t="s">
        <v>1158</v>
      </c>
      <c r="M6" s="2106">
        <f ca="1">INDIRECT("'数据-取费表'!z"&amp;$G$1)</f>
        <v>0</v>
      </c>
    </row>
    <row r="7" spans="1:37" ht="18" customHeight="1">
      <c r="A7" s="2107"/>
      <c r="B7" s="3792"/>
      <c r="C7" s="2108"/>
      <c r="D7" s="2109"/>
      <c r="E7" s="2110" t="s">
        <v>1160</v>
      </c>
      <c r="F7" s="2106">
        <f ca="1">IF(INDIRECT("'数据-取费表'!ah"&amp;$G$1)="",INDIRECT("'数据-取费表'!k"&amp;$G$1),INDIRECT("'数据-取费表'!ah"&amp;$G$1))</f>
        <v>0</v>
      </c>
      <c r="G7" s="836"/>
      <c r="H7" s="2111"/>
      <c r="I7" s="3792"/>
      <c r="J7" s="2112"/>
      <c r="K7" s="2109"/>
      <c r="L7" s="2105" t="s">
        <v>1160</v>
      </c>
      <c r="M7" s="2106">
        <f ca="1">F7</f>
        <v>0</v>
      </c>
    </row>
    <row r="8" spans="1:37" ht="18" customHeight="1">
      <c r="A8" s="2111"/>
      <c r="B8" s="3792"/>
      <c r="C8" s="2112"/>
      <c r="D8" s="2109"/>
      <c r="E8" s="2105" t="s">
        <v>1161</v>
      </c>
      <c r="F8" s="2106">
        <f ca="1">INDIRECT("'数据-取费表'!ai"&amp;$G$1)</f>
        <v>0</v>
      </c>
      <c r="G8" s="836"/>
      <c r="H8" s="2111"/>
      <c r="I8" s="3792"/>
      <c r="J8" s="2112"/>
      <c r="K8" s="2109"/>
      <c r="L8" s="2105" t="s">
        <v>1161</v>
      </c>
      <c r="M8" s="2106">
        <f ca="1">INDIRECT("'数据-取费表'!ai"&amp;$G$1)</f>
        <v>0</v>
      </c>
    </row>
    <row r="9" spans="1:37" ht="18" customHeight="1">
      <c r="A9" s="2111"/>
      <c r="B9" s="3793"/>
      <c r="C9" s="2112"/>
      <c r="D9" s="2109"/>
      <c r="E9" s="2105" t="s">
        <v>1162</v>
      </c>
      <c r="F9" s="2113">
        <f ca="1">INDIRECT("'数据-取费表'!w"&amp;$G$1)</f>
        <v>0</v>
      </c>
      <c r="G9" s="836"/>
      <c r="H9" s="2111"/>
      <c r="I9" s="3793"/>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789" t="s">
        <v>1280</v>
      </c>
      <c r="L53" s="3790"/>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791" t="s">
        <v>1156</v>
      </c>
      <c r="C6" s="2103">
        <f ca="1">ROUND(F6*F8*F7*(1-F9),0)</f>
        <v>0</v>
      </c>
      <c r="D6" s="2104" t="s">
        <v>1330</v>
      </c>
      <c r="E6" s="2105" t="s">
        <v>1158</v>
      </c>
      <c r="F6" s="2106">
        <f ca="1">INDIRECT("'数据-取费表'!u"&amp;$G$1)</f>
        <v>0</v>
      </c>
      <c r="G6" s="836"/>
      <c r="H6" s="2102" t="s">
        <v>895</v>
      </c>
      <c r="I6" s="3791" t="s">
        <v>1156</v>
      </c>
      <c r="J6" s="2177">
        <f ca="1">ROUND(M6*M8*M7*(1-M9),0)</f>
        <v>0</v>
      </c>
      <c r="K6" s="2250" t="s">
        <v>1331</v>
      </c>
      <c r="L6" s="2105" t="s">
        <v>1158</v>
      </c>
      <c r="M6" s="2106">
        <f ca="1">INDIRECT("'数据-取费表'!z"&amp;$G$1)</f>
        <v>0</v>
      </c>
    </row>
    <row r="7" spans="1:37" ht="18" customHeight="1">
      <c r="A7" s="2107"/>
      <c r="B7" s="3792"/>
      <c r="C7" s="2108"/>
      <c r="D7" s="2109"/>
      <c r="E7" s="2110" t="s">
        <v>1160</v>
      </c>
      <c r="F7" s="2106">
        <f ca="1">IF(INDIRECT("'数据-取费表'!ah"&amp;$G$1)="",INDIRECT("'数据-取费表'!k"&amp;$G$1),INDIRECT("'数据-取费表'!ah"&amp;$G$1))</f>
        <v>0</v>
      </c>
      <c r="G7" s="836"/>
      <c r="H7" s="2111"/>
      <c r="I7" s="3792"/>
      <c r="J7" s="2112"/>
      <c r="K7" s="2109"/>
      <c r="L7" s="2105" t="s">
        <v>1160</v>
      </c>
      <c r="M7" s="2106">
        <f ca="1">F7</f>
        <v>0</v>
      </c>
    </row>
    <row r="8" spans="1:37" ht="18" customHeight="1">
      <c r="A8" s="2111"/>
      <c r="B8" s="3792"/>
      <c r="C8" s="2112"/>
      <c r="D8" s="2109"/>
      <c r="E8" s="2105" t="s">
        <v>1161</v>
      </c>
      <c r="F8" s="2106">
        <f ca="1">INDIRECT("'数据-取费表'!ai"&amp;$G$1)</f>
        <v>0</v>
      </c>
      <c r="G8" s="836"/>
      <c r="H8" s="2111"/>
      <c r="I8" s="3792"/>
      <c r="J8" s="2112"/>
      <c r="K8" s="2109"/>
      <c r="L8" s="2105" t="s">
        <v>1161</v>
      </c>
      <c r="M8" s="2106">
        <f ca="1">INDIRECT("'数据-取费表'!ai"&amp;$G$1)</f>
        <v>0</v>
      </c>
    </row>
    <row r="9" spans="1:37" ht="18" customHeight="1">
      <c r="A9" s="2111"/>
      <c r="B9" s="3793"/>
      <c r="C9" s="2112"/>
      <c r="D9" s="2109"/>
      <c r="E9" s="2105" t="s">
        <v>1162</v>
      </c>
      <c r="F9" s="2113">
        <f ca="1">INDIRECT("'数据-取费表'!w"&amp;$G$1)</f>
        <v>0</v>
      </c>
      <c r="G9" s="836"/>
      <c r="H9" s="2111"/>
      <c r="I9" s="3793"/>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789" t="s">
        <v>1280</v>
      </c>
      <c r="L53" s="3790"/>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806" t="s">
        <v>1344</v>
      </c>
      <c r="K2" s="3807"/>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800" t="s">
        <v>1352</v>
      </c>
      <c r="K3" s="3801"/>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800" t="s">
        <v>1354</v>
      </c>
      <c r="K4" s="3801"/>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810" t="s">
        <v>1358</v>
      </c>
      <c r="B6" s="3811"/>
      <c r="C6" s="3812"/>
      <c r="D6" s="1923"/>
      <c r="E6" s="1924"/>
      <c r="F6" s="1925"/>
      <c r="G6" s="1926"/>
      <c r="H6" s="1914"/>
      <c r="I6" s="2011"/>
      <c r="J6" s="3794">
        <v>1</v>
      </c>
      <c r="K6" s="3797"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794"/>
      <c r="K7" s="3798"/>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808" t="s">
        <v>1372</v>
      </c>
      <c r="C8" s="3809"/>
      <c r="D8" s="1937" t="s">
        <v>1373</v>
      </c>
      <c r="E8" s="1938" t="s">
        <v>1374</v>
      </c>
      <c r="F8" s="1939" t="s">
        <v>1375</v>
      </c>
      <c r="G8" s="1940"/>
      <c r="H8" s="1914"/>
      <c r="I8" s="2011"/>
      <c r="J8" s="3794"/>
      <c r="K8" s="3798"/>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808" t="s">
        <v>1378</v>
      </c>
      <c r="C9" s="3809"/>
      <c r="D9" s="1937">
        <f>ROUND(D6*E9,0)</f>
        <v>0</v>
      </c>
      <c r="E9" s="1941"/>
      <c r="F9" s="1942" t="s">
        <v>1379</v>
      </c>
      <c r="G9" s="1926"/>
      <c r="H9" s="1914"/>
      <c r="I9" s="2011"/>
      <c r="J9" s="3794"/>
      <c r="K9" s="3798"/>
      <c r="L9" s="2021" t="s">
        <v>1380</v>
      </c>
      <c r="M9" s="2022"/>
      <c r="N9" s="1919"/>
      <c r="O9" s="2023"/>
      <c r="P9" s="2023"/>
      <c r="Q9" s="1952">
        <v>365</v>
      </c>
      <c r="R9" s="2057">
        <f t="shared" si="0"/>
        <v>0</v>
      </c>
      <c r="S9" s="2050"/>
      <c r="T9" s="2050"/>
      <c r="U9" s="2050"/>
      <c r="V9" s="2011"/>
    </row>
    <row r="10" spans="1:22" s="1895" customFormat="1" ht="13.15" customHeight="1">
      <c r="A10" s="1934">
        <v>2</v>
      </c>
      <c r="B10" s="3808" t="s">
        <v>1381</v>
      </c>
      <c r="C10" s="3809"/>
      <c r="D10" s="1937">
        <f>ROUND(D6*E10,0)</f>
        <v>0</v>
      </c>
      <c r="E10" s="1941"/>
      <c r="F10" s="1942" t="s">
        <v>1382</v>
      </c>
      <c r="G10" s="1926"/>
      <c r="H10" s="1914"/>
      <c r="I10" s="2011"/>
      <c r="J10" s="3794"/>
      <c r="K10" s="3798"/>
      <c r="L10" s="2021" t="s">
        <v>1383</v>
      </c>
      <c r="M10" s="2022"/>
      <c r="N10" s="1919"/>
      <c r="O10" s="2023"/>
      <c r="P10" s="2023"/>
      <c r="Q10" s="1952">
        <v>365</v>
      </c>
      <c r="R10" s="2057">
        <f t="shared" si="0"/>
        <v>0</v>
      </c>
      <c r="S10" s="2050"/>
      <c r="T10" s="2050"/>
      <c r="U10" s="2050"/>
      <c r="V10" s="2011"/>
    </row>
    <row r="11" spans="1:22" s="1895" customFormat="1" ht="13.15" customHeight="1">
      <c r="A11" s="1934">
        <v>3</v>
      </c>
      <c r="B11" s="3808" t="s">
        <v>1384</v>
      </c>
      <c r="C11" s="3809"/>
      <c r="D11" s="1937">
        <f>D12+D14+D15+D16</f>
        <v>0</v>
      </c>
      <c r="E11" s="1943" t="e">
        <f>D11/D6</f>
        <v>#DIV/0!</v>
      </c>
      <c r="F11" s="1939"/>
      <c r="G11" s="1940"/>
      <c r="H11" s="1914"/>
      <c r="I11" s="2011"/>
      <c r="J11" s="3794"/>
      <c r="K11" s="3798"/>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802" t="s">
        <v>1387</v>
      </c>
      <c r="C12" s="3803"/>
      <c r="D12" s="1947">
        <f>ROUND(D13*1.2%*(1-30%),0)</f>
        <v>0</v>
      </c>
      <c r="E12" s="1948">
        <v>1.2E-2</v>
      </c>
      <c r="F12" s="1939" t="s">
        <v>1388</v>
      </c>
      <c r="G12" s="1940"/>
      <c r="H12" s="1914"/>
      <c r="I12" s="2011"/>
      <c r="J12" s="3794"/>
      <c r="K12" s="3798"/>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794"/>
      <c r="K13" s="3798"/>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802" t="s">
        <v>1393</v>
      </c>
      <c r="C14" s="3803"/>
      <c r="D14" s="1947">
        <f>ROUND(E14*B5/10000,0)</f>
        <v>0</v>
      </c>
      <c r="E14" s="1952"/>
      <c r="F14" s="1939" t="s">
        <v>1394</v>
      </c>
      <c r="G14" s="1940"/>
      <c r="H14" s="1914"/>
      <c r="I14" s="2011"/>
      <c r="J14" s="3794"/>
      <c r="K14" s="3799"/>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802" t="s">
        <v>1397</v>
      </c>
      <c r="C15" s="3803"/>
      <c r="D15" s="1947">
        <f>ROUND(D6*E15,0)</f>
        <v>0</v>
      </c>
      <c r="E15" s="1948">
        <v>5.5E-2</v>
      </c>
      <c r="F15" s="1939" t="s">
        <v>1398</v>
      </c>
      <c r="G15" s="1926"/>
      <c r="H15" s="1914"/>
      <c r="I15" s="2011"/>
      <c r="J15" s="3794">
        <v>2</v>
      </c>
      <c r="K15" s="3797"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802" t="s">
        <v>1405</v>
      </c>
      <c r="C16" s="3803"/>
      <c r="D16" s="1953">
        <f>D6*E16</f>
        <v>0</v>
      </c>
      <c r="E16" s="1954"/>
      <c r="F16" s="1942" t="s">
        <v>1406</v>
      </c>
      <c r="G16" s="1926"/>
      <c r="H16" s="1914"/>
      <c r="I16" s="2011"/>
      <c r="J16" s="3794"/>
      <c r="K16" s="3798"/>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804" t="s">
        <v>1408</v>
      </c>
      <c r="C17" s="3805"/>
      <c r="D17" s="1956">
        <f>ROUND(D6*E17,0)</f>
        <v>0</v>
      </c>
      <c r="E17" s="1957"/>
      <c r="F17" s="1958" t="s">
        <v>1409</v>
      </c>
      <c r="G17" s="1926"/>
      <c r="H17" s="1914"/>
      <c r="I17" s="2011"/>
      <c r="J17" s="3794"/>
      <c r="K17" s="3798"/>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794"/>
      <c r="K18" s="3798"/>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794"/>
      <c r="K19" s="3799"/>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794">
        <v>3</v>
      </c>
      <c r="K20" s="3797"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794"/>
      <c r="K21" s="3798"/>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794"/>
      <c r="K22" s="3798"/>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794"/>
      <c r="K23" s="3798"/>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794"/>
      <c r="K24" s="3799"/>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795">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796"/>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806" t="s">
        <v>1344</v>
      </c>
      <c r="K32" s="3807"/>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800" t="s">
        <v>1352</v>
      </c>
      <c r="K33" s="3801"/>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800" t="s">
        <v>1354</v>
      </c>
      <c r="K34" s="3801"/>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794">
        <v>1</v>
      </c>
      <c r="K36" s="3797"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794"/>
      <c r="K37" s="3798"/>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794"/>
      <c r="K38" s="3798"/>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794"/>
      <c r="K39" s="3798"/>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794"/>
      <c r="K40" s="3799"/>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795">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796"/>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813" t="s">
        <v>1459</v>
      </c>
      <c r="C5" s="3814"/>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7" zoomScale="85" zoomScaleNormal="85" zoomScaleSheetLayoutView="70" zoomScalePageLayoutView="40" workbookViewId="0">
      <selection activeCell="G54" sqref="G54"/>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3823</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56.0321</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9611</v>
      </c>
      <c r="C3" s="1536" t="s">
        <v>1468</v>
      </c>
      <c r="D3" s="1537">
        <f>IF(D1="",'数据-汇总表'!E3,SUMIF('数据-汇总表'!$C19:$C33,D1,'数据-汇总表'!$E19:$E33))</f>
        <v>58.3</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853" t="s">
        <v>1470</v>
      </c>
      <c r="D4" s="3854"/>
      <c r="E4" s="3855" t="s">
        <v>1471</v>
      </c>
      <c r="F4" s="3856"/>
      <c r="G4" s="3853" t="s">
        <v>1472</v>
      </c>
      <c r="H4" s="3854"/>
      <c r="I4" s="3853" t="s">
        <v>1473</v>
      </c>
      <c r="J4" s="3854"/>
      <c r="K4" s="1798"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15" t="s">
        <v>1472</v>
      </c>
      <c r="AC4" s="3815" t="s">
        <v>1473</v>
      </c>
    </row>
    <row r="5" spans="1:29" ht="15">
      <c r="A5" s="1165"/>
      <c r="B5" s="1166"/>
      <c r="C5" s="3857" t="s">
        <v>3102</v>
      </c>
      <c r="D5" s="3858"/>
      <c r="E5" s="3859" t="str">
        <f>三义庙!F8</f>
        <v>双榆树东里</v>
      </c>
      <c r="F5" s="3860"/>
      <c r="G5" s="3859" t="str">
        <f>三义庙!F13</f>
        <v>双榆树北里</v>
      </c>
      <c r="H5" s="3860"/>
      <c r="I5" s="3857" t="str">
        <f>三义庙!F14</f>
        <v>双榆树西里</v>
      </c>
      <c r="J5" s="3858"/>
      <c r="K5" s="1799"/>
      <c r="L5" s="1311"/>
      <c r="M5" s="1312"/>
      <c r="N5" s="1312"/>
      <c r="O5" s="1312"/>
      <c r="P5" s="3820"/>
      <c r="Q5" s="3821"/>
      <c r="R5" s="3826"/>
      <c r="S5" s="3827"/>
      <c r="T5" s="3826"/>
      <c r="U5" s="3827"/>
      <c r="V5" s="3830"/>
      <c r="W5" s="3830"/>
      <c r="X5" s="1354"/>
      <c r="Y5" s="3826"/>
      <c r="Z5" s="3827"/>
      <c r="AA5" s="3816"/>
      <c r="AB5" s="3816"/>
      <c r="AC5" s="3816"/>
    </row>
    <row r="6" spans="1:29" ht="15">
      <c r="A6" s="1167"/>
      <c r="B6" s="1168"/>
      <c r="C6" s="3848" t="s">
        <v>1477</v>
      </c>
      <c r="D6" s="3849"/>
      <c r="E6" s="3850" t="s">
        <v>1477</v>
      </c>
      <c r="F6" s="3851"/>
      <c r="G6" s="3848" t="s">
        <v>1477</v>
      </c>
      <c r="H6" s="3849"/>
      <c r="I6" s="3848" t="s">
        <v>1477</v>
      </c>
      <c r="J6" s="3849"/>
      <c r="K6" s="1799" t="s">
        <v>1478</v>
      </c>
      <c r="L6" s="1311"/>
      <c r="M6" s="1312"/>
      <c r="N6" s="1312"/>
      <c r="O6" s="1312"/>
      <c r="P6" s="3822"/>
      <c r="Q6" s="3823"/>
      <c r="R6" s="3826"/>
      <c r="S6" s="3827"/>
      <c r="T6" s="3828"/>
      <c r="U6" s="3829"/>
      <c r="V6" s="3830"/>
      <c r="W6" s="3830"/>
      <c r="X6" s="1354"/>
      <c r="Y6" s="3828"/>
      <c r="Z6" s="3829"/>
      <c r="AA6" s="3817"/>
      <c r="AB6" s="3817"/>
      <c r="AC6" s="3817"/>
    </row>
    <row r="7" spans="1:29" s="1144" customFormat="1" ht="15">
      <c r="A7" s="1169" t="s">
        <v>1479</v>
      </c>
      <c r="B7" s="1170"/>
      <c r="C7" s="1171">
        <f>'数据-取费表'!B2</f>
        <v>39031</v>
      </c>
      <c r="D7" s="1172">
        <v>100</v>
      </c>
      <c r="E7" s="1173">
        <f>三义庙!BG8</f>
        <v>38936</v>
      </c>
      <c r="F7" s="1174">
        <f>SUMIF(58:58,YEAR(E7)&amp;"-"&amp;MONTH(E7),59:59)</f>
        <v>100</v>
      </c>
      <c r="G7" s="1173">
        <f>三义庙!BG13</f>
        <v>39006</v>
      </c>
      <c r="H7" s="1172">
        <f>SUMIF(58:58,YEAR(G7)&amp;"-"&amp;MONTH(G7),59:59)</f>
        <v>100</v>
      </c>
      <c r="I7" s="1173">
        <f>三义庙!BG14</f>
        <v>39001</v>
      </c>
      <c r="J7" s="1172">
        <f>SUMIF(58:58,YEAR(I7)&amp;"-"&amp;MONTH(I7),59:59)</f>
        <v>100</v>
      </c>
      <c r="K7" s="1800"/>
      <c r="L7" s="1314"/>
      <c r="M7" s="1315"/>
      <c r="N7" s="1315"/>
      <c r="O7" s="1315"/>
      <c r="P7" s="3836" t="s">
        <v>1480</v>
      </c>
      <c r="Q7" s="3852"/>
      <c r="R7" s="1355" t="s">
        <v>1481</v>
      </c>
      <c r="S7" s="1356">
        <f t="shared" ref="S7:S15" si="0">F7</f>
        <v>100</v>
      </c>
      <c r="T7" s="1355" t="s">
        <v>1481</v>
      </c>
      <c r="U7" s="1356">
        <f t="shared" ref="U7:U15" si="1">H7</f>
        <v>100</v>
      </c>
      <c r="V7" s="1355" t="s">
        <v>1481</v>
      </c>
      <c r="W7" s="1356">
        <f t="shared" ref="W7:W15" si="2">J7</f>
        <v>100</v>
      </c>
      <c r="X7" s="1357"/>
      <c r="Y7" s="3836" t="s">
        <v>1480</v>
      </c>
      <c r="Z7" s="3837"/>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36" t="s">
        <v>1484</v>
      </c>
      <c r="Q8" s="3837"/>
      <c r="R8" s="1355" t="s">
        <v>1481</v>
      </c>
      <c r="S8" s="1356">
        <f t="shared" si="0"/>
        <v>100</v>
      </c>
      <c r="T8" s="1355" t="s">
        <v>1481</v>
      </c>
      <c r="U8" s="1356">
        <f t="shared" si="1"/>
        <v>100</v>
      </c>
      <c r="V8" s="1355" t="s">
        <v>1481</v>
      </c>
      <c r="W8" s="1356">
        <f t="shared" si="2"/>
        <v>100</v>
      </c>
      <c r="X8" s="1357"/>
      <c r="Y8" s="3836" t="s">
        <v>1484</v>
      </c>
      <c r="Z8" s="3837"/>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38"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38"/>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38"/>
      <c r="Q11" s="1359" t="str">
        <f t="shared" si="6"/>
        <v>容积率</v>
      </c>
      <c r="R11" s="1355" t="s">
        <v>1481</v>
      </c>
      <c r="S11" s="1356">
        <f t="shared" si="0"/>
        <v>100</v>
      </c>
      <c r="T11" s="1355" t="s">
        <v>1481</v>
      </c>
      <c r="U11" s="1356">
        <f t="shared" si="1"/>
        <v>100</v>
      </c>
      <c r="V11" s="1355" t="s">
        <v>1481</v>
      </c>
      <c r="W11" s="1356">
        <f t="shared" si="2"/>
        <v>100</v>
      </c>
      <c r="X11" s="1357"/>
      <c r="Y11" s="3701"/>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38"/>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38"/>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38"/>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39" t="s">
        <v>1493</v>
      </c>
      <c r="Q15" s="739" t="str">
        <f t="shared" si="6"/>
        <v>居住社区成熟度</v>
      </c>
      <c r="R15" s="1360" t="s">
        <v>1481</v>
      </c>
      <c r="S15" s="1361">
        <f t="shared" si="0"/>
        <v>100</v>
      </c>
      <c r="T15" s="1360" t="s">
        <v>1481</v>
      </c>
      <c r="U15" s="1361">
        <f t="shared" si="1"/>
        <v>100</v>
      </c>
      <c r="V15" s="1360" t="s">
        <v>1481</v>
      </c>
      <c r="W15" s="1361">
        <f t="shared" si="2"/>
        <v>100</v>
      </c>
      <c r="X15" s="1354"/>
      <c r="Y15" s="3844"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40"/>
      <c r="Q16" s="739"/>
      <c r="R16" s="1360"/>
      <c r="S16" s="1361"/>
      <c r="T16" s="1360"/>
      <c r="U16" s="1361"/>
      <c r="V16" s="1360"/>
      <c r="W16" s="1361"/>
      <c r="X16" s="1354"/>
      <c r="Y16" s="3845"/>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40"/>
      <c r="Q17" s="739" t="str">
        <f>B17</f>
        <v>交通便捷度</v>
      </c>
      <c r="R17" s="1360" t="s">
        <v>1481</v>
      </c>
      <c r="S17" s="1361">
        <f>F17</f>
        <v>100</v>
      </c>
      <c r="T17" s="1360" t="s">
        <v>1481</v>
      </c>
      <c r="U17" s="1361">
        <f>H17</f>
        <v>100</v>
      </c>
      <c r="V17" s="1360" t="s">
        <v>1481</v>
      </c>
      <c r="W17" s="1361">
        <f>J17</f>
        <v>100</v>
      </c>
      <c r="X17" s="1354"/>
      <c r="Y17" s="3845"/>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40"/>
      <c r="Q18" s="739"/>
      <c r="R18" s="1360"/>
      <c r="S18" s="1361"/>
      <c r="T18" s="1360"/>
      <c r="U18" s="1361"/>
      <c r="V18" s="1360"/>
      <c r="W18" s="1361"/>
      <c r="X18" s="1354"/>
      <c r="Y18" s="3845"/>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40"/>
      <c r="Q19" s="739" t="str">
        <f>B19</f>
        <v>公共配套设施</v>
      </c>
      <c r="R19" s="1360" t="s">
        <v>1481</v>
      </c>
      <c r="S19" s="1361">
        <f>F19</f>
        <v>100</v>
      </c>
      <c r="T19" s="1360" t="s">
        <v>1481</v>
      </c>
      <c r="U19" s="1361">
        <f>H19</f>
        <v>100</v>
      </c>
      <c r="V19" s="1360" t="s">
        <v>1481</v>
      </c>
      <c r="W19" s="1361">
        <f>J19</f>
        <v>100</v>
      </c>
      <c r="X19" s="1354"/>
      <c r="Y19" s="3845"/>
      <c r="Z19" s="1344" t="str">
        <f>Q19</f>
        <v>公共配套设施</v>
      </c>
      <c r="AA19" s="1371">
        <f t="shared" si="3"/>
        <v>1</v>
      </c>
      <c r="AB19" s="1371">
        <f t="shared" si="4"/>
        <v>1</v>
      </c>
      <c r="AC19" s="1371">
        <f t="shared" si="5"/>
        <v>1</v>
      </c>
    </row>
    <row r="20" spans="1:29" ht="15">
      <c r="A20" s="1185"/>
      <c r="B20" s="1233"/>
      <c r="C20" s="1205" t="s">
        <v>1494</v>
      </c>
      <c r="D20" s="1206"/>
      <c r="E20" s="1327" t="s">
        <v>1494</v>
      </c>
      <c r="F20" s="1206"/>
      <c r="G20" s="1214" t="s">
        <v>1494</v>
      </c>
      <c r="H20" s="1206"/>
      <c r="I20" s="1214" t="s">
        <v>1494</v>
      </c>
      <c r="J20" s="1206"/>
      <c r="K20" s="1804"/>
      <c r="L20" s="1324"/>
      <c r="M20" s="1312"/>
      <c r="N20" s="1312"/>
      <c r="O20" s="1312"/>
      <c r="P20" s="3840"/>
      <c r="Q20" s="739"/>
      <c r="R20" s="1360"/>
      <c r="S20" s="1361"/>
      <c r="T20" s="1360"/>
      <c r="U20" s="1361"/>
      <c r="V20" s="1360"/>
      <c r="W20" s="1361"/>
      <c r="X20" s="1354"/>
      <c r="Y20" s="3845"/>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40"/>
      <c r="Q21" s="739" t="str">
        <f>B21</f>
        <v>基础设施水平</v>
      </c>
      <c r="R21" s="1360" t="s">
        <v>1481</v>
      </c>
      <c r="S21" s="1361">
        <f>F21</f>
        <v>100</v>
      </c>
      <c r="T21" s="1360" t="s">
        <v>1481</v>
      </c>
      <c r="U21" s="1361">
        <f>H21</f>
        <v>100</v>
      </c>
      <c r="V21" s="1360" t="s">
        <v>1481</v>
      </c>
      <c r="W21" s="1361">
        <f>J21</f>
        <v>100</v>
      </c>
      <c r="X21" s="1354"/>
      <c r="Y21" s="3845"/>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40"/>
      <c r="Q22" s="739"/>
      <c r="R22" s="1360"/>
      <c r="S22" s="1361"/>
      <c r="T22" s="1360"/>
      <c r="U22" s="1361"/>
      <c r="V22" s="1360"/>
      <c r="W22" s="1361"/>
      <c r="X22" s="1354"/>
      <c r="Y22" s="3845"/>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40"/>
      <c r="Q23" s="739" t="str">
        <f>B23</f>
        <v>自然及人文环境</v>
      </c>
      <c r="R23" s="1360" t="s">
        <v>1481</v>
      </c>
      <c r="S23" s="1361">
        <f>F23</f>
        <v>100</v>
      </c>
      <c r="T23" s="1360" t="s">
        <v>1481</v>
      </c>
      <c r="U23" s="1361">
        <f>H23</f>
        <v>100</v>
      </c>
      <c r="V23" s="1360" t="s">
        <v>1481</v>
      </c>
      <c r="W23" s="1361">
        <f>J23</f>
        <v>100</v>
      </c>
      <c r="X23" s="1354"/>
      <c r="Y23" s="3845"/>
      <c r="Z23" s="1344" t="str">
        <f>Q23</f>
        <v>自然及人文环境</v>
      </c>
      <c r="AA23" s="1371">
        <f>D23/F23</f>
        <v>1</v>
      </c>
      <c r="AB23" s="1371">
        <f>D23/H23</f>
        <v>1</v>
      </c>
      <c r="AC23" s="1371">
        <f>D23/J23</f>
        <v>1</v>
      </c>
    </row>
    <row r="24" spans="1:29" ht="15">
      <c r="A24" s="1185"/>
      <c r="B24" s="1233"/>
      <c r="C24" s="1205" t="s">
        <v>1494</v>
      </c>
      <c r="D24" s="1206"/>
      <c r="E24" s="1327" t="s">
        <v>1494</v>
      </c>
      <c r="F24" s="1206"/>
      <c r="G24" s="1214" t="s">
        <v>1494</v>
      </c>
      <c r="H24" s="1206"/>
      <c r="I24" s="1214" t="s">
        <v>1494</v>
      </c>
      <c r="J24" s="1206"/>
      <c r="K24" s="1804"/>
      <c r="L24" s="1324"/>
      <c r="M24" s="1312"/>
      <c r="N24" s="1312"/>
      <c r="O24" s="1312"/>
      <c r="P24" s="3840"/>
      <c r="Q24" s="739"/>
      <c r="R24" s="1360"/>
      <c r="S24" s="1361"/>
      <c r="T24" s="1360"/>
      <c r="U24" s="1361"/>
      <c r="V24" s="1360"/>
      <c r="W24" s="1361"/>
      <c r="X24" s="1354"/>
      <c r="Y24" s="3845"/>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40"/>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45"/>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1546</v>
      </c>
      <c r="D26" s="1194">
        <v>100</v>
      </c>
      <c r="E26" s="1237" t="s">
        <v>1502</v>
      </c>
      <c r="F26" s="1194">
        <f>SUMIF(88:88,E26,89:89)-SUMIF(88:88,C26,89:89)+100</f>
        <v>99.5</v>
      </c>
      <c r="G26" s="1785" t="s">
        <v>1546</v>
      </c>
      <c r="H26" s="1194">
        <f>SUMIF(88:88,G26,89:89)-SUMIF(88:88,C26,89:89)+100</f>
        <v>100</v>
      </c>
      <c r="I26" s="1785" t="s">
        <v>1552</v>
      </c>
      <c r="J26" s="1194">
        <f>SUMIF(88:88,I26,89:89)-SUMIF(88:88,C26,89:89)+100</f>
        <v>96</v>
      </c>
      <c r="K26" s="1801">
        <v>0.5</v>
      </c>
      <c r="L26" s="1324"/>
      <c r="M26" s="1312"/>
      <c r="N26" s="1312"/>
      <c r="O26" s="1312"/>
      <c r="P26" s="3840"/>
      <c r="Q26" s="739" t="str">
        <f t="shared" si="11"/>
        <v>朝向</v>
      </c>
      <c r="R26" s="1360" t="s">
        <v>1481</v>
      </c>
      <c r="S26" s="1361">
        <f t="shared" si="12"/>
        <v>99.5</v>
      </c>
      <c r="T26" s="1360" t="s">
        <v>1481</v>
      </c>
      <c r="U26" s="1361">
        <f t="shared" si="13"/>
        <v>100</v>
      </c>
      <c r="V26" s="1360" t="s">
        <v>1481</v>
      </c>
      <c r="W26" s="1361">
        <f t="shared" si="14"/>
        <v>96</v>
      </c>
      <c r="X26" s="1354"/>
      <c r="Y26" s="3845"/>
      <c r="Z26" s="1344" t="str">
        <f>Q26</f>
        <v>朝向</v>
      </c>
      <c r="AA26" s="1371">
        <f t="shared" si="15"/>
        <v>1.0050251256281406</v>
      </c>
      <c r="AB26" s="1371">
        <f t="shared" si="16"/>
        <v>1</v>
      </c>
      <c r="AC26" s="1371">
        <f t="shared" si="17"/>
        <v>1.0416666666666667</v>
      </c>
    </row>
    <row r="27" spans="1:29" s="1144" customFormat="1" ht="15">
      <c r="A27" s="1188"/>
      <c r="B27" s="1786" t="s">
        <v>1505</v>
      </c>
      <c r="C27" s="1490" t="s">
        <v>3596</v>
      </c>
      <c r="D27" s="1661">
        <v>100</v>
      </c>
      <c r="E27" s="1490" t="s">
        <v>3597</v>
      </c>
      <c r="F27" s="1661">
        <f>SUMIF(90:90,E27,91:91)-SUMIF(90:90,C27,91:91)+100</f>
        <v>102</v>
      </c>
      <c r="G27" s="1491" t="s">
        <v>3815</v>
      </c>
      <c r="H27" s="1661">
        <f>SUMIF(90:90,G27,91:91)-SUMIF(90:90,C27,91:91)+100</f>
        <v>102</v>
      </c>
      <c r="I27" s="1491" t="s">
        <v>3816</v>
      </c>
      <c r="J27" s="1661">
        <f>SUMIF(90:90,I27,91:91)-SUMIF(90:90,C27,91:91)+100</f>
        <v>101</v>
      </c>
      <c r="K27" s="1802"/>
      <c r="L27" s="1314"/>
      <c r="M27" s="1315"/>
      <c r="N27" s="1315"/>
      <c r="O27" s="1315"/>
      <c r="P27" s="3840"/>
      <c r="Q27" s="1359" t="str">
        <f t="shared" si="11"/>
        <v>楼层</v>
      </c>
      <c r="R27" s="1355" t="s">
        <v>1481</v>
      </c>
      <c r="S27" s="1356">
        <f t="shared" si="12"/>
        <v>102</v>
      </c>
      <c r="T27" s="1355" t="s">
        <v>1481</v>
      </c>
      <c r="U27" s="1356">
        <f t="shared" si="13"/>
        <v>102</v>
      </c>
      <c r="V27" s="1355" t="s">
        <v>1481</v>
      </c>
      <c r="W27" s="1356">
        <f t="shared" si="14"/>
        <v>101</v>
      </c>
      <c r="X27" s="1357"/>
      <c r="Y27" s="3845"/>
      <c r="Z27" s="1370" t="str">
        <f>Q27</f>
        <v>楼层</v>
      </c>
      <c r="AA27" s="1371">
        <f t="shared" si="15"/>
        <v>0.98039215686274506</v>
      </c>
      <c r="AB27" s="1371">
        <f t="shared" si="16"/>
        <v>0.98039215686274506</v>
      </c>
      <c r="AC27" s="1371">
        <f t="shared" si="17"/>
        <v>0.99009900990099009</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40"/>
      <c r="Q28" s="739">
        <f t="shared" si="11"/>
        <v>111</v>
      </c>
      <c r="R28" s="1360" t="s">
        <v>1481</v>
      </c>
      <c r="S28" s="1361">
        <f t="shared" si="12"/>
        <v>100</v>
      </c>
      <c r="T28" s="1360" t="s">
        <v>1481</v>
      </c>
      <c r="U28" s="1361">
        <f t="shared" si="13"/>
        <v>100</v>
      </c>
      <c r="V28" s="1360" t="s">
        <v>1481</v>
      </c>
      <c r="W28" s="1361">
        <f t="shared" si="14"/>
        <v>100</v>
      </c>
      <c r="X28" s="1354"/>
      <c r="Y28" s="3845"/>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40"/>
      <c r="Q29" s="739">
        <f t="shared" si="11"/>
        <v>111</v>
      </c>
      <c r="R29" s="1360" t="s">
        <v>1481</v>
      </c>
      <c r="S29" s="1361">
        <f t="shared" si="12"/>
        <v>100</v>
      </c>
      <c r="T29" s="1360" t="s">
        <v>1481</v>
      </c>
      <c r="U29" s="1361">
        <f t="shared" si="13"/>
        <v>100</v>
      </c>
      <c r="V29" s="1360" t="s">
        <v>1481</v>
      </c>
      <c r="W29" s="1361">
        <f t="shared" si="14"/>
        <v>100</v>
      </c>
      <c r="X29" s="1354"/>
      <c r="Y29" s="3845"/>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40"/>
      <c r="Q30" s="739">
        <f t="shared" si="11"/>
        <v>111</v>
      </c>
      <c r="R30" s="1360" t="s">
        <v>1481</v>
      </c>
      <c r="S30" s="1361">
        <f t="shared" si="12"/>
        <v>100</v>
      </c>
      <c r="T30" s="1360" t="s">
        <v>1481</v>
      </c>
      <c r="U30" s="1361">
        <f t="shared" si="13"/>
        <v>100</v>
      </c>
      <c r="V30" s="1360" t="s">
        <v>1481</v>
      </c>
      <c r="W30" s="1361">
        <f t="shared" si="14"/>
        <v>100</v>
      </c>
      <c r="X30" s="1354"/>
      <c r="Y30" s="3845"/>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40"/>
      <c r="Q31" s="739">
        <f t="shared" si="11"/>
        <v>111</v>
      </c>
      <c r="R31" s="1360" t="s">
        <v>1481</v>
      </c>
      <c r="S31" s="1361">
        <f t="shared" si="12"/>
        <v>100</v>
      </c>
      <c r="T31" s="1360" t="s">
        <v>1481</v>
      </c>
      <c r="U31" s="1361">
        <f t="shared" si="13"/>
        <v>100</v>
      </c>
      <c r="V31" s="1360" t="s">
        <v>1481</v>
      </c>
      <c r="W31" s="1361">
        <f t="shared" si="14"/>
        <v>100</v>
      </c>
      <c r="X31" s="1354"/>
      <c r="Y31" s="3845"/>
      <c r="Z31" s="1344">
        <f t="shared" si="18"/>
        <v>111</v>
      </c>
      <c r="AA31" s="1371">
        <f t="shared" si="15"/>
        <v>1</v>
      </c>
      <c r="AB31" s="1371">
        <f t="shared" si="16"/>
        <v>1</v>
      </c>
      <c r="AC31" s="1371">
        <f t="shared" si="17"/>
        <v>1</v>
      </c>
    </row>
    <row r="32" spans="1:29" ht="15">
      <c r="A32" s="1199" t="s">
        <v>1506</v>
      </c>
      <c r="B32" s="1178" t="s">
        <v>1507</v>
      </c>
      <c r="C32" s="1724" t="s">
        <v>1553</v>
      </c>
      <c r="D32" s="1235">
        <v>100</v>
      </c>
      <c r="E32" s="1787" t="s">
        <v>1553</v>
      </c>
      <c r="F32" s="1549">
        <f>SUMIF(100:100,E32,101:101)-SUMIF(100:100,C32,101:101)+100</f>
        <v>100</v>
      </c>
      <c r="G32" s="1724" t="s">
        <v>1553</v>
      </c>
      <c r="H32" s="1235">
        <f>SUMIF(100:100,G32,101:101)-SUMIF(100:100,C32,101:101)+100</f>
        <v>100</v>
      </c>
      <c r="I32" s="1787" t="s">
        <v>1508</v>
      </c>
      <c r="J32" s="1194">
        <f>SUMIF(100:100,I32,101:101)-SUMIF(100:100,C32,101:101)+100</f>
        <v>98.5</v>
      </c>
      <c r="K32" s="1801">
        <v>1.5</v>
      </c>
      <c r="L32" s="1324"/>
      <c r="M32" s="1312"/>
      <c r="N32" s="1312"/>
      <c r="O32" s="1312"/>
      <c r="P32" s="3841" t="s">
        <v>1509</v>
      </c>
      <c r="Q32" s="739" t="str">
        <f t="shared" si="11"/>
        <v>建筑类型</v>
      </c>
      <c r="R32" s="1360" t="s">
        <v>1481</v>
      </c>
      <c r="S32" s="1361">
        <f t="shared" si="12"/>
        <v>100</v>
      </c>
      <c r="T32" s="1360" t="s">
        <v>1481</v>
      </c>
      <c r="U32" s="1361">
        <f t="shared" si="13"/>
        <v>100</v>
      </c>
      <c r="V32" s="1360" t="s">
        <v>1481</v>
      </c>
      <c r="W32" s="1361">
        <f t="shared" si="14"/>
        <v>98.5</v>
      </c>
      <c r="X32" s="1354"/>
      <c r="Y32" s="3846" t="s">
        <v>1509</v>
      </c>
      <c r="Z32" s="1344" t="str">
        <f t="shared" si="18"/>
        <v>建筑类型</v>
      </c>
      <c r="AA32" s="1371">
        <f t="shared" si="15"/>
        <v>1</v>
      </c>
      <c r="AB32" s="1371">
        <f t="shared" si="16"/>
        <v>1</v>
      </c>
      <c r="AC32" s="1371">
        <f t="shared" si="17"/>
        <v>1.015228426395939</v>
      </c>
    </row>
    <row r="33" spans="1:29" s="1146" customFormat="1" ht="15">
      <c r="A33" s="1241"/>
      <c r="B33" s="1182" t="s">
        <v>1510</v>
      </c>
      <c r="C33" s="1543">
        <v>58.3</v>
      </c>
      <c r="D33" s="1184">
        <v>100</v>
      </c>
      <c r="E33" s="1187">
        <f>三义庙!L8</f>
        <v>53.1</v>
      </c>
      <c r="F33" s="1542">
        <f>LOOKUP(E33,103:103,104:104)-LOOKUP(C33,103:103,104:104)+100</f>
        <v>100</v>
      </c>
      <c r="G33" s="1186">
        <f>三义庙!L13</f>
        <v>57.1</v>
      </c>
      <c r="H33" s="1184">
        <f>LOOKUP(G33,103:103,104:104)-LOOKUP(C33,103:103,104:104)+100</f>
        <v>100</v>
      </c>
      <c r="I33" s="1187">
        <f>三义庙!L14</f>
        <v>70.23</v>
      </c>
      <c r="J33" s="1184">
        <f>LOOKUP(I33,103:103,104:104)-LOOKUP(C33,103:103,104:104)+100</f>
        <v>100</v>
      </c>
      <c r="K33" s="1802"/>
      <c r="L33" s="1322"/>
      <c r="M33" s="1331"/>
      <c r="N33" s="1331"/>
      <c r="O33" s="1331"/>
      <c r="P33" s="3842"/>
      <c r="Q33" s="1588" t="str">
        <f t="shared" si="11"/>
        <v>项目建筑规模</v>
      </c>
      <c r="R33" s="1362" t="s">
        <v>1481</v>
      </c>
      <c r="S33" s="1363">
        <f t="shared" si="12"/>
        <v>100</v>
      </c>
      <c r="T33" s="1362" t="s">
        <v>1481</v>
      </c>
      <c r="U33" s="1363">
        <f t="shared" si="13"/>
        <v>100</v>
      </c>
      <c r="V33" s="1362" t="s">
        <v>1481</v>
      </c>
      <c r="W33" s="1363">
        <f t="shared" si="14"/>
        <v>100</v>
      </c>
      <c r="X33" s="1364"/>
      <c r="Y33" s="3846"/>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1512</v>
      </c>
      <c r="J34" s="1194">
        <f>SUMIF(105:105,I34,106:106)-SUMIF(105:105,C34,106:106)+100</f>
        <v>103</v>
      </c>
      <c r="K34" s="1801">
        <v>3</v>
      </c>
      <c r="L34" s="1324"/>
      <c r="M34" s="1312"/>
      <c r="N34" s="1312"/>
      <c r="O34" s="1312"/>
      <c r="P34" s="3842"/>
      <c r="Q34" s="739" t="str">
        <f t="shared" si="11"/>
        <v>建筑结构</v>
      </c>
      <c r="R34" s="1360" t="s">
        <v>1481</v>
      </c>
      <c r="S34" s="1361">
        <f t="shared" si="12"/>
        <v>100</v>
      </c>
      <c r="T34" s="1360" t="s">
        <v>1481</v>
      </c>
      <c r="U34" s="1361">
        <f t="shared" si="13"/>
        <v>100</v>
      </c>
      <c r="V34" s="1360" t="s">
        <v>1481</v>
      </c>
      <c r="W34" s="1361">
        <f t="shared" si="14"/>
        <v>103</v>
      </c>
      <c r="X34" s="1354"/>
      <c r="Y34" s="3846"/>
      <c r="Z34" s="1344" t="str">
        <f t="shared" si="18"/>
        <v>建筑结构</v>
      </c>
      <c r="AA34" s="1371">
        <f t="shared" si="15"/>
        <v>1</v>
      </c>
      <c r="AB34" s="1371">
        <f t="shared" si="16"/>
        <v>1</v>
      </c>
      <c r="AC34" s="1371">
        <f t="shared" si="17"/>
        <v>0.970873786407767</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42"/>
      <c r="Q35" s="739" t="str">
        <f t="shared" si="11"/>
        <v>建筑品质</v>
      </c>
      <c r="R35" s="1360" t="s">
        <v>1481</v>
      </c>
      <c r="S35" s="1361">
        <f t="shared" si="12"/>
        <v>100</v>
      </c>
      <c r="T35" s="1360" t="s">
        <v>1481</v>
      </c>
      <c r="U35" s="1361">
        <f t="shared" si="13"/>
        <v>100</v>
      </c>
      <c r="V35" s="1360" t="s">
        <v>1481</v>
      </c>
      <c r="W35" s="1361">
        <f t="shared" si="14"/>
        <v>100</v>
      </c>
      <c r="X35" s="1354"/>
      <c r="Y35" s="3846"/>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42"/>
      <c r="Q36" s="739" t="str">
        <f t="shared" si="11"/>
        <v>公共部分装修</v>
      </c>
      <c r="R36" s="1360" t="s">
        <v>1481</v>
      </c>
      <c r="S36" s="1361">
        <f t="shared" si="12"/>
        <v>100</v>
      </c>
      <c r="T36" s="1360" t="s">
        <v>1481</v>
      </c>
      <c r="U36" s="1361">
        <f t="shared" si="13"/>
        <v>100</v>
      </c>
      <c r="V36" s="1360" t="s">
        <v>1481</v>
      </c>
      <c r="W36" s="1361">
        <f t="shared" si="14"/>
        <v>100</v>
      </c>
      <c r="X36" s="1354"/>
      <c r="Y36" s="3846"/>
      <c r="Z36" s="1344" t="str">
        <f t="shared" si="18"/>
        <v>公共部分装修</v>
      </c>
      <c r="AA36" s="1371">
        <f t="shared" si="15"/>
        <v>1</v>
      </c>
      <c r="AB36" s="1371">
        <f t="shared" si="16"/>
        <v>1</v>
      </c>
      <c r="AC36" s="1371">
        <f t="shared" si="17"/>
        <v>1</v>
      </c>
    </row>
    <row r="37" spans="1:29" s="1144" customFormat="1" ht="15">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42"/>
      <c r="Q37" s="1359" t="str">
        <f t="shared" si="11"/>
        <v>成新度</v>
      </c>
      <c r="R37" s="1355" t="s">
        <v>1481</v>
      </c>
      <c r="S37" s="1356">
        <f t="shared" si="12"/>
        <v>100</v>
      </c>
      <c r="T37" s="1355" t="s">
        <v>1481</v>
      </c>
      <c r="U37" s="1356">
        <f t="shared" si="13"/>
        <v>100</v>
      </c>
      <c r="V37" s="1355" t="s">
        <v>1481</v>
      </c>
      <c r="W37" s="1356">
        <f t="shared" si="14"/>
        <v>100</v>
      </c>
      <c r="X37" s="1357"/>
      <c r="Y37" s="3846"/>
      <c r="Z37" s="1370" t="str">
        <f t="shared" si="18"/>
        <v>成新度</v>
      </c>
      <c r="AA37" s="1369">
        <f t="shared" si="15"/>
        <v>1</v>
      </c>
      <c r="AB37" s="1369">
        <f t="shared" si="16"/>
        <v>1</v>
      </c>
      <c r="AC37" s="1369">
        <f t="shared" si="17"/>
        <v>1</v>
      </c>
    </row>
    <row r="38" spans="1:29" ht="15">
      <c r="A38" s="1236"/>
      <c r="B38" s="1182" t="s">
        <v>1516</v>
      </c>
      <c r="C38" s="1237" t="s">
        <v>1518</v>
      </c>
      <c r="D38" s="1194">
        <v>100</v>
      </c>
      <c r="E38" s="1785" t="s">
        <v>1518</v>
      </c>
      <c r="F38" s="1549">
        <f>SUMIF(114:114,E38,115:115)-SUMIF(114:114,C38,115:115)+100</f>
        <v>100</v>
      </c>
      <c r="G38" s="1237" t="s">
        <v>1518</v>
      </c>
      <c r="H38" s="1194">
        <f>SUMIF(114:114,G38,115:115)-SUMIF(114:114,C38,115:115)+100</f>
        <v>100</v>
      </c>
      <c r="I38" s="1785" t="s">
        <v>1518</v>
      </c>
      <c r="J38" s="1194">
        <f>SUMIF(114:114,I38,115:115)-SUMIF(114:114,C38,115:115)+100</f>
        <v>100</v>
      </c>
      <c r="K38" s="1801">
        <v>1</v>
      </c>
      <c r="L38" s="1324"/>
      <c r="M38" s="1312"/>
      <c r="N38" s="1312"/>
      <c r="O38" s="1312"/>
      <c r="P38" s="3842" t="s">
        <v>1509</v>
      </c>
      <c r="Q38" s="739" t="str">
        <f t="shared" si="11"/>
        <v>物业管理</v>
      </c>
      <c r="R38" s="1360" t="s">
        <v>1481</v>
      </c>
      <c r="S38" s="1361">
        <f t="shared" si="12"/>
        <v>100</v>
      </c>
      <c r="T38" s="1360" t="s">
        <v>1481</v>
      </c>
      <c r="U38" s="1361">
        <f t="shared" si="13"/>
        <v>100</v>
      </c>
      <c r="V38" s="1360" t="s">
        <v>1481</v>
      </c>
      <c r="W38" s="1361">
        <f t="shared" si="14"/>
        <v>100</v>
      </c>
      <c r="X38" s="1354"/>
      <c r="Y38" s="3846" t="s">
        <v>1509</v>
      </c>
      <c r="Z38" s="1344" t="str">
        <f t="shared" si="18"/>
        <v>物业管理</v>
      </c>
      <c r="AA38" s="1371">
        <f t="shared" si="15"/>
        <v>1</v>
      </c>
      <c r="AB38" s="1371">
        <f t="shared" si="16"/>
        <v>1</v>
      </c>
      <c r="AC38" s="1371">
        <f t="shared" si="17"/>
        <v>1</v>
      </c>
    </row>
    <row r="39" spans="1:29" ht="15">
      <c r="A39" s="1236"/>
      <c r="B39" s="1182" t="s">
        <v>1519</v>
      </c>
      <c r="C39" s="1237" t="s">
        <v>236</v>
      </c>
      <c r="D39" s="1194">
        <v>100</v>
      </c>
      <c r="E39" s="1785" t="s">
        <v>236</v>
      </c>
      <c r="F39" s="1549">
        <f>SUMIF(116:116,E39,117:117)-SUMIF(116:116,C39,117:117)+100</f>
        <v>100</v>
      </c>
      <c r="G39" s="1237" t="s">
        <v>236</v>
      </c>
      <c r="H39" s="1194">
        <f>SUMIF(116:116,G39,117:117)-SUMIF(116:116,C39,117:117)+100</f>
        <v>100</v>
      </c>
      <c r="I39" s="1785" t="s">
        <v>236</v>
      </c>
      <c r="J39" s="1194">
        <f>SUMIF(116:116,I39,117:117)-SUMIF(116:116,C39,117:117)+100</f>
        <v>100</v>
      </c>
      <c r="K39" s="1801"/>
      <c r="L39" s="1324"/>
      <c r="M39" s="1312"/>
      <c r="N39" s="1312"/>
      <c r="O39" s="1312"/>
      <c r="P39" s="3842"/>
      <c r="Q39" s="739" t="str">
        <f t="shared" si="11"/>
        <v>市政基础设施</v>
      </c>
      <c r="R39" s="1360" t="s">
        <v>1481</v>
      </c>
      <c r="S39" s="1361">
        <f t="shared" si="12"/>
        <v>100</v>
      </c>
      <c r="T39" s="1360" t="s">
        <v>1481</v>
      </c>
      <c r="U39" s="1361">
        <f t="shared" si="13"/>
        <v>100</v>
      </c>
      <c r="V39" s="1360" t="s">
        <v>1481</v>
      </c>
      <c r="W39" s="1361">
        <f t="shared" si="14"/>
        <v>100</v>
      </c>
      <c r="X39" s="1354"/>
      <c r="Y39" s="3846"/>
      <c r="Z39" s="1344" t="str">
        <f t="shared" si="18"/>
        <v>市政基础设施</v>
      </c>
      <c r="AA39" s="1371">
        <f t="shared" si="15"/>
        <v>1</v>
      </c>
      <c r="AB39" s="1371">
        <f t="shared" si="16"/>
        <v>1</v>
      </c>
      <c r="AC39" s="1371">
        <f t="shared" si="17"/>
        <v>1</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42"/>
      <c r="Q40" s="739" t="str">
        <f t="shared" si="11"/>
        <v>房型</v>
      </c>
      <c r="R40" s="1360" t="s">
        <v>1481</v>
      </c>
      <c r="S40" s="1361">
        <f t="shared" si="12"/>
        <v>100</v>
      </c>
      <c r="T40" s="1360" t="s">
        <v>1481</v>
      </c>
      <c r="U40" s="1361">
        <f t="shared" si="13"/>
        <v>100</v>
      </c>
      <c r="V40" s="1360" t="s">
        <v>1481</v>
      </c>
      <c r="W40" s="1361">
        <f t="shared" si="14"/>
        <v>100</v>
      </c>
      <c r="X40" s="1354"/>
      <c r="Y40" s="3846"/>
      <c r="Z40" s="1344" t="str">
        <f t="shared" si="18"/>
        <v>房型</v>
      </c>
      <c r="AA40" s="1371">
        <f t="shared" si="15"/>
        <v>1</v>
      </c>
      <c r="AB40" s="1371">
        <f t="shared" si="16"/>
        <v>1</v>
      </c>
      <c r="AC40" s="1371">
        <f t="shared" si="17"/>
        <v>1</v>
      </c>
    </row>
    <row r="41" spans="1:29" s="1146" customFormat="1" ht="28.5">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42"/>
      <c r="Q41" s="1588" t="str">
        <f t="shared" si="11"/>
        <v>单套/主力户型建筑面积</v>
      </c>
      <c r="R41" s="1362" t="s">
        <v>1481</v>
      </c>
      <c r="S41" s="1363">
        <f t="shared" si="12"/>
        <v>100</v>
      </c>
      <c r="T41" s="1362" t="s">
        <v>1481</v>
      </c>
      <c r="U41" s="1363">
        <f t="shared" si="13"/>
        <v>100</v>
      </c>
      <c r="V41" s="1362" t="s">
        <v>1481</v>
      </c>
      <c r="W41" s="1363">
        <f t="shared" si="14"/>
        <v>100</v>
      </c>
      <c r="X41" s="1364"/>
      <c r="Y41" s="3846"/>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1515</v>
      </c>
      <c r="F42" s="1549">
        <f>SUMIF(122:122,E42,123:123)-SUMIF(122:122,C42,123:123)+100</f>
        <v>100</v>
      </c>
      <c r="G42" s="1237" t="s">
        <v>1515</v>
      </c>
      <c r="H42" s="1194">
        <f>SUMIF(122:122,G42,123:123)-SUMIF(122:122,C42,123:123)+100</f>
        <v>100</v>
      </c>
      <c r="I42" s="1785" t="s">
        <v>1515</v>
      </c>
      <c r="J42" s="1194">
        <f>SUMIF(122:122,I42,123:123)-SUMIF(122:122,C42,123:123)+100</f>
        <v>100</v>
      </c>
      <c r="K42" s="1801">
        <v>2</v>
      </c>
      <c r="L42" s="1324"/>
      <c r="M42" s="1312"/>
      <c r="N42" s="1312"/>
      <c r="O42" s="1312"/>
      <c r="P42" s="3842"/>
      <c r="Q42" s="739" t="str">
        <f t="shared" si="11"/>
        <v>内部装修</v>
      </c>
      <c r="R42" s="1360" t="s">
        <v>1481</v>
      </c>
      <c r="S42" s="1361">
        <f t="shared" si="12"/>
        <v>100</v>
      </c>
      <c r="T42" s="1360" t="s">
        <v>1481</v>
      </c>
      <c r="U42" s="1361">
        <f t="shared" si="13"/>
        <v>100</v>
      </c>
      <c r="V42" s="1360" t="s">
        <v>1481</v>
      </c>
      <c r="W42" s="1361">
        <f t="shared" si="14"/>
        <v>100</v>
      </c>
      <c r="X42" s="1354"/>
      <c r="Y42" s="3846"/>
      <c r="Z42" s="1344" t="str">
        <f t="shared" si="18"/>
        <v>内部装修</v>
      </c>
      <c r="AA42" s="1371">
        <f t="shared" si="15"/>
        <v>1</v>
      </c>
      <c r="AB42" s="1371">
        <f t="shared" si="16"/>
        <v>1</v>
      </c>
      <c r="AC42" s="1371">
        <f t="shared" si="17"/>
        <v>1</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42"/>
      <c r="Q43" s="739" t="str">
        <f t="shared" si="11"/>
        <v>内部装修维护情况</v>
      </c>
      <c r="R43" s="1360" t="s">
        <v>1481</v>
      </c>
      <c r="S43" s="1361">
        <f t="shared" si="12"/>
        <v>100</v>
      </c>
      <c r="T43" s="1360" t="s">
        <v>1481</v>
      </c>
      <c r="U43" s="1361">
        <f t="shared" si="13"/>
        <v>100</v>
      </c>
      <c r="V43" s="1360" t="s">
        <v>1481</v>
      </c>
      <c r="W43" s="1361">
        <f t="shared" si="14"/>
        <v>100</v>
      </c>
      <c r="X43" s="1354"/>
      <c r="Y43" s="3846"/>
      <c r="Z43" s="1344" t="str">
        <f t="shared" si="18"/>
        <v>内部装修维护情况</v>
      </c>
      <c r="AA43" s="1371">
        <f t="shared" si="15"/>
        <v>1</v>
      </c>
      <c r="AB43" s="1371">
        <f t="shared" si="16"/>
        <v>1</v>
      </c>
      <c r="AC43" s="1371">
        <f t="shared" si="17"/>
        <v>1</v>
      </c>
    </row>
    <row r="44" spans="1:29" s="1144" customFormat="1" ht="15">
      <c r="A44" s="1238"/>
      <c r="B44" s="1786" t="s">
        <v>3595</v>
      </c>
      <c r="C44" s="1789">
        <v>1982</v>
      </c>
      <c r="D44" s="1184">
        <v>100</v>
      </c>
      <c r="E44" s="1789">
        <v>1985</v>
      </c>
      <c r="F44" s="1542">
        <f>SUMIF(126:126,E44,127:127)-SUMIF(126:126,C44,127:127)+100</f>
        <v>101.5</v>
      </c>
      <c r="G44" s="1789">
        <v>1988</v>
      </c>
      <c r="H44" s="1184">
        <f>SUMIF(126:126,G44,127:127)-SUMIF(126:126,C44,127:127)+100</f>
        <v>103</v>
      </c>
      <c r="I44" s="1789">
        <v>1988</v>
      </c>
      <c r="J44" s="1184">
        <f>SUMIF(126:126,I44,127:127)-SUMIF(126:126,C44,127:127)+100</f>
        <v>103</v>
      </c>
      <c r="K44" s="1802"/>
      <c r="L44" s="1314"/>
      <c r="M44" s="1315"/>
      <c r="N44" s="1315"/>
      <c r="O44" s="1315"/>
      <c r="P44" s="3842"/>
      <c r="Q44" s="1359" t="str">
        <f t="shared" si="11"/>
        <v>建成年代</v>
      </c>
      <c r="R44" s="1355" t="s">
        <v>1481</v>
      </c>
      <c r="S44" s="1356">
        <f t="shared" si="12"/>
        <v>101.5</v>
      </c>
      <c r="T44" s="1355" t="s">
        <v>1481</v>
      </c>
      <c r="U44" s="1356">
        <f t="shared" si="13"/>
        <v>103</v>
      </c>
      <c r="V44" s="1355" t="s">
        <v>1481</v>
      </c>
      <c r="W44" s="1356">
        <f t="shared" si="14"/>
        <v>103</v>
      </c>
      <c r="X44" s="1357"/>
      <c r="Y44" s="3846"/>
      <c r="Z44" s="1370" t="str">
        <f t="shared" si="18"/>
        <v>建成年代</v>
      </c>
      <c r="AA44" s="1369">
        <f t="shared" si="15"/>
        <v>0.98522167487684731</v>
      </c>
      <c r="AB44" s="1369">
        <f t="shared" si="16"/>
        <v>0.970873786407767</v>
      </c>
      <c r="AC44" s="1369">
        <f t="shared" si="17"/>
        <v>0.970873786407767</v>
      </c>
    </row>
    <row r="45" spans="1:29" ht="15">
      <c r="A45" s="1236"/>
      <c r="B45" s="3948" t="s">
        <v>3818</v>
      </c>
      <c r="C45" s="3949" t="s">
        <v>3819</v>
      </c>
      <c r="D45" s="1194">
        <v>100</v>
      </c>
      <c r="E45" s="3949" t="s">
        <v>3819</v>
      </c>
      <c r="F45" s="1549">
        <f>SUMIF(128:128,E45,129:129)-SUMIF(128:128,C45,129:129)+100</f>
        <v>100</v>
      </c>
      <c r="G45" s="3949" t="s">
        <v>3819</v>
      </c>
      <c r="H45" s="1194">
        <f>SUMIF(128:128,G45,129:129)-SUMIF(128:128,C45,129:129)+100</f>
        <v>100</v>
      </c>
      <c r="I45" s="3949" t="s">
        <v>3820</v>
      </c>
      <c r="J45" s="1194">
        <f>SUMIF(128:128,I45,129:129)-SUMIF(128:128,C45,129:129)+100</f>
        <v>102</v>
      </c>
      <c r="K45" s="1802"/>
      <c r="L45" s="1324"/>
      <c r="M45" s="1312"/>
      <c r="N45" s="1312"/>
      <c r="O45" s="1312"/>
      <c r="P45" s="3842"/>
      <c r="Q45" s="739" t="str">
        <f t="shared" si="11"/>
        <v>电梯</v>
      </c>
      <c r="R45" s="1360" t="s">
        <v>1481</v>
      </c>
      <c r="S45" s="1361">
        <f t="shared" si="12"/>
        <v>100</v>
      </c>
      <c r="T45" s="1360" t="s">
        <v>1481</v>
      </c>
      <c r="U45" s="1361">
        <f t="shared" si="13"/>
        <v>100</v>
      </c>
      <c r="V45" s="1360" t="s">
        <v>1481</v>
      </c>
      <c r="W45" s="1361">
        <f t="shared" si="14"/>
        <v>102</v>
      </c>
      <c r="X45" s="1354"/>
      <c r="Y45" s="3846"/>
      <c r="Z45" s="1344" t="str">
        <f t="shared" si="18"/>
        <v>电梯</v>
      </c>
      <c r="AA45" s="1371">
        <f t="shared" si="15"/>
        <v>1</v>
      </c>
      <c r="AB45" s="1371">
        <f t="shared" si="16"/>
        <v>1</v>
      </c>
      <c r="AC45" s="1371">
        <f t="shared" si="17"/>
        <v>0.98039215686274506</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43"/>
      <c r="Q46" s="739">
        <f t="shared" si="11"/>
        <v>111</v>
      </c>
      <c r="R46" s="1360" t="s">
        <v>1481</v>
      </c>
      <c r="S46" s="1361">
        <f t="shared" si="12"/>
        <v>100</v>
      </c>
      <c r="T46" s="1360" t="s">
        <v>1481</v>
      </c>
      <c r="U46" s="1361">
        <f t="shared" si="13"/>
        <v>100</v>
      </c>
      <c r="V46" s="1360" t="s">
        <v>1481</v>
      </c>
      <c r="W46" s="1361">
        <f t="shared" si="14"/>
        <v>100</v>
      </c>
      <c r="X46" s="1354"/>
      <c r="Y46" s="3847"/>
      <c r="Z46" s="1344">
        <f t="shared" si="18"/>
        <v>111</v>
      </c>
      <c r="AA46" s="1371">
        <f t="shared" si="15"/>
        <v>1</v>
      </c>
      <c r="AB46" s="1371">
        <f t="shared" si="16"/>
        <v>1</v>
      </c>
      <c r="AC46" s="1371">
        <f t="shared" si="17"/>
        <v>1</v>
      </c>
    </row>
    <row r="47" spans="1:29" ht="15">
      <c r="A47" s="1243" t="s">
        <v>1525</v>
      </c>
      <c r="B47" s="1563"/>
      <c r="C47" s="1564" t="s">
        <v>124</v>
      </c>
      <c r="D47" s="1565"/>
      <c r="E47" s="1566">
        <f>三义庙!R8</f>
        <v>9981</v>
      </c>
      <c r="F47" s="1567"/>
      <c r="G47" s="1568">
        <f>三义庙!R13</f>
        <v>9982</v>
      </c>
      <c r="H47" s="1569"/>
      <c r="I47" s="1566">
        <f>三义庙!R14</f>
        <v>9967</v>
      </c>
      <c r="J47" s="1569"/>
      <c r="K47" s="1806"/>
      <c r="L47" s="1336"/>
      <c r="M47" s="1260"/>
      <c r="N47" s="1312"/>
      <c r="O47" s="1260"/>
      <c r="P47" s="3831" t="str">
        <f>A47</f>
        <v>成交单价（元/平方米）</v>
      </c>
      <c r="Q47" s="3831"/>
      <c r="R47" s="3832">
        <f>E47</f>
        <v>9981</v>
      </c>
      <c r="S47" s="3832"/>
      <c r="T47" s="3832">
        <f>G47</f>
        <v>9982</v>
      </c>
      <c r="U47" s="3832"/>
      <c r="V47" s="3832">
        <f>I47</f>
        <v>9967</v>
      </c>
      <c r="W47" s="3832"/>
      <c r="X47" s="1300"/>
      <c r="Y47" s="1373"/>
      <c r="Z47" s="1300"/>
      <c r="AA47" s="1300"/>
      <c r="AB47" s="1300"/>
      <c r="AC47" s="1300"/>
    </row>
    <row r="48" spans="1:29" ht="15">
      <c r="A48" s="1251" t="s">
        <v>1526</v>
      </c>
      <c r="B48" s="1570"/>
      <c r="C48" s="1571">
        <f>R49</f>
        <v>9611</v>
      </c>
      <c r="D48" s="1254" t="s">
        <v>1527</v>
      </c>
      <c r="E48" s="1572">
        <f>R48</f>
        <v>9689</v>
      </c>
      <c r="F48" s="1255"/>
      <c r="G48" s="1571">
        <f>T48</f>
        <v>9501</v>
      </c>
      <c r="H48" s="1255"/>
      <c r="I48" s="1572">
        <f>V48</f>
        <v>9644</v>
      </c>
      <c r="J48" s="1255"/>
      <c r="K48" s="1807">
        <f>F48+H48+J48</f>
        <v>0</v>
      </c>
      <c r="L48" s="1336"/>
      <c r="M48" s="1260"/>
      <c r="N48" s="1260"/>
      <c r="O48" s="1260"/>
      <c r="P48" s="3831" t="str">
        <f>A48</f>
        <v>比较价值（元/平方米）</v>
      </c>
      <c r="Q48" s="3831"/>
      <c r="R48" s="3832">
        <f>IF(F1="售价",ROUND(PRODUCT(R47,AA7:AA46),0),ROUND(PRODUCT(R47,AA7:AA46),1))</f>
        <v>9689</v>
      </c>
      <c r="S48" s="3832"/>
      <c r="T48" s="3832">
        <f>IF(F1="售价",ROUND(PRODUCT(T47,AB7:AB46),0),ROUND(PRODUCT(T47,AB7:AB46),1))</f>
        <v>9501</v>
      </c>
      <c r="U48" s="3832"/>
      <c r="V48" s="3832">
        <f>IF(F1="售价",ROUND(PRODUCT(V47,AC7:AC46),0),ROUND(PRODUCT(V47,AC7:AC46),1))</f>
        <v>9644</v>
      </c>
      <c r="W48" s="3832"/>
      <c r="X48" s="1300"/>
      <c r="Y48" s="1300"/>
      <c r="Z48" s="1300"/>
      <c r="AA48" s="1300"/>
      <c r="AB48" s="1300"/>
      <c r="AC48" s="1300"/>
    </row>
    <row r="49" spans="1:29" ht="15">
      <c r="A49" s="1257" t="s">
        <v>1528</v>
      </c>
      <c r="B49" s="1258"/>
      <c r="C49" s="1790">
        <f>R49</f>
        <v>9611</v>
      </c>
      <c r="D49" s="1573"/>
      <c r="E49" s="1573"/>
      <c r="F49" s="1573"/>
      <c r="G49" s="1573"/>
      <c r="H49" s="1573"/>
      <c r="I49" s="1573"/>
      <c r="J49" s="1573"/>
      <c r="K49" s="1808"/>
      <c r="L49" s="1336"/>
      <c r="M49" s="1260"/>
      <c r="N49" s="1260"/>
      <c r="O49" s="1260"/>
      <c r="P49" s="3833" t="str">
        <f>A49</f>
        <v>估价对象XX用房的比较价值（楼面单价，元/平方米）</v>
      </c>
      <c r="Q49" s="3834"/>
      <c r="R49" s="3835">
        <f>IF(F1="售价",ROUND(IF(D48="简单平均",AVERAGE(R48:V48),R48*F48+T48*H48+V48*J48),0),ROUND(IF(D48="简单平均",AVERAGE(R48:V48),R48*F48+T48*H48+V48*J48),1))</f>
        <v>9611</v>
      </c>
      <c r="S49" s="3835"/>
      <c r="T49" s="3835"/>
      <c r="U49" s="3835"/>
      <c r="V49" s="3835"/>
      <c r="W49" s="3835"/>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3.0137269068015282E-2</v>
      </c>
      <c r="F52" s="1264" t="str">
        <f>IF(OR(E52&gt;=0.3,E52&lt;=-0.3),"超过30%","")</f>
        <v/>
      </c>
      <c r="G52" s="1263">
        <f>IF(G47&lt;G48,G48/G47-1,G47/G48-1)</f>
        <v>5.0626249868434892E-2</v>
      </c>
      <c r="H52" s="1264" t="str">
        <f>IF(OR(G52&gt;=0.3,G52&lt;=-0.3),"超过30%","")</f>
        <v/>
      </c>
      <c r="I52" s="1263">
        <f>IF(I47&lt;I48,I48/I47-1,I47/I48-1)</f>
        <v>3.3492326835337982E-2</v>
      </c>
      <c r="J52" s="1264" t="str">
        <f>IF(OR(I52&gt;=0.3,I52&lt;=-0.3),"超过30%","")</f>
        <v/>
      </c>
      <c r="K52" s="1340"/>
      <c r="L52" s="1341"/>
      <c r="M52" s="1260"/>
      <c r="N52" s="1260"/>
      <c r="O52" s="1260"/>
    </row>
    <row r="53" spans="1:29" ht="13.5" customHeight="1">
      <c r="A53" s="1260"/>
      <c r="B53" s="1260"/>
      <c r="C53" s="1262" t="s">
        <v>1530</v>
      </c>
      <c r="D53" s="782"/>
      <c r="E53" s="1263">
        <f>IF(E48&lt;G48,G48/E48-1,E48/G48-1)</f>
        <v>1.9787390800968252E-2</v>
      </c>
      <c r="F53" s="1264" t="str">
        <f>IF(OR(E53&gt;=0.2,E53&lt;=-0.2),"超过20%","")</f>
        <v/>
      </c>
      <c r="G53" s="1263">
        <f>IF(G48&lt;I48,I48/G48-1,G48/I48-1)</f>
        <v>1.5051047258183292E-2</v>
      </c>
      <c r="H53" s="1264" t="str">
        <f>IF(OR(G53&gt;=0.2,G53&lt;=-0.2),"超过20%","")</f>
        <v/>
      </c>
      <c r="I53" s="1263">
        <f>IF(I48&lt;E48,E48/I48-1,I48/E48-1)</f>
        <v>4.6661136457901708E-3</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1.0019036168729123E-4</v>
      </c>
      <c r="F54" s="1264" t="str">
        <f>IF(OR(E54&gt;=0.3,E54&lt;=-0.3),"超过30%","")</f>
        <v/>
      </c>
      <c r="G54" s="1263">
        <f>IF(G47&lt;I47,I47/G47-1,G47/I47-1)</f>
        <v>1.5049663890840392E-3</v>
      </c>
      <c r="H54" s="1264" t="str">
        <f>IF(OR(G54&gt;=0.3,G54&lt;=-0.3),"超过30%","")</f>
        <v/>
      </c>
      <c r="I54" s="1263">
        <f>IF(I47&lt;E47,E47/I47-1,I47/E47-1)</f>
        <v>1.4046352964782738E-3</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2006-11</v>
      </c>
      <c r="D58" s="1578">
        <f>EDATE(C58,-1)</f>
        <v>38991</v>
      </c>
      <c r="E58" s="1578">
        <f>EDATE(D58,-1)</f>
        <v>38961</v>
      </c>
      <c r="F58" s="1578">
        <f t="shared" ref="F58:O58" si="19">EDATE(E58,-1)</f>
        <v>38930</v>
      </c>
      <c r="G58" s="1578">
        <f t="shared" si="19"/>
        <v>38899</v>
      </c>
      <c r="H58" s="1578">
        <f t="shared" si="19"/>
        <v>38869</v>
      </c>
      <c r="I58" s="1578">
        <f t="shared" si="19"/>
        <v>38838</v>
      </c>
      <c r="J58" s="1578">
        <f t="shared" si="19"/>
        <v>38808</v>
      </c>
      <c r="K58" s="1578">
        <f t="shared" si="19"/>
        <v>38777</v>
      </c>
      <c r="L58" s="1578">
        <f t="shared" si="19"/>
        <v>38749</v>
      </c>
      <c r="M58" s="1578">
        <f t="shared" si="19"/>
        <v>38718</v>
      </c>
      <c r="N58" s="1578">
        <f t="shared" si="19"/>
        <v>38687</v>
      </c>
      <c r="O58" s="1578">
        <f t="shared" si="19"/>
        <v>38657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1504</v>
      </c>
      <c r="K88" s="1818" t="s">
        <v>1552</v>
      </c>
      <c r="L88" s="1818" t="s">
        <v>1503</v>
      </c>
      <c r="M88" s="1594"/>
      <c r="N88" s="1686"/>
      <c r="O88" s="1686"/>
      <c r="P88" s="1814"/>
      <c r="Q88" s="1683"/>
    </row>
    <row r="89" spans="1:17" s="1144" customFormat="1" ht="15">
      <c r="A89" s="1415"/>
      <c r="B89" s="1397"/>
      <c r="C89" s="1416">
        <v>100</v>
      </c>
      <c r="D89" s="1398">
        <f t="shared" ref="D89:M89" si="24">C89-$K26</f>
        <v>99.5</v>
      </c>
      <c r="E89" s="1398">
        <f t="shared" si="24"/>
        <v>99</v>
      </c>
      <c r="F89" s="1398">
        <f t="shared" si="24"/>
        <v>98.5</v>
      </c>
      <c r="G89" s="1398">
        <f t="shared" si="24"/>
        <v>98</v>
      </c>
      <c r="H89" s="1398">
        <f t="shared" si="24"/>
        <v>97.5</v>
      </c>
      <c r="I89" s="1398">
        <f t="shared" si="24"/>
        <v>97</v>
      </c>
      <c r="J89" s="1398">
        <f t="shared" si="24"/>
        <v>96.5</v>
      </c>
      <c r="K89" s="1398">
        <f t="shared" si="24"/>
        <v>96</v>
      </c>
      <c r="L89" s="1398">
        <f t="shared" si="24"/>
        <v>95.5</v>
      </c>
      <c r="M89" s="1398">
        <f t="shared" si="24"/>
        <v>95</v>
      </c>
      <c r="N89" s="1690"/>
      <c r="O89" s="1690"/>
      <c r="P89" s="1814"/>
      <c r="Q89" s="1683"/>
    </row>
    <row r="90" spans="1:17" s="1146" customFormat="1" ht="15">
      <c r="A90" s="1402"/>
      <c r="B90" s="1395" t="str">
        <f>B27</f>
        <v>楼层</v>
      </c>
      <c r="C90" s="1820" t="str">
        <f>C27</f>
        <v>5/6</v>
      </c>
      <c r="D90" s="1820" t="str">
        <f>E27</f>
        <v>4/6</v>
      </c>
      <c r="E90" s="1820" t="str">
        <f>G27</f>
        <v>2/6</v>
      </c>
      <c r="F90" s="1820" t="str">
        <f>I27</f>
        <v>3/16</v>
      </c>
      <c r="G90" s="1820"/>
      <c r="H90" s="1821"/>
      <c r="I90" s="1821"/>
      <c r="J90" s="1821"/>
      <c r="K90" s="1821"/>
      <c r="L90" s="1828"/>
      <c r="M90" s="1829"/>
      <c r="N90" s="1691"/>
      <c r="O90" s="1691"/>
      <c r="P90" s="1824"/>
      <c r="Q90" s="1693"/>
    </row>
    <row r="91" spans="1:17" s="1146" customFormat="1" ht="15">
      <c r="A91" s="1402"/>
      <c r="B91" s="1397"/>
      <c r="C91" s="1405">
        <v>100</v>
      </c>
      <c r="D91" s="1405">
        <v>102</v>
      </c>
      <c r="E91" s="1405">
        <v>102</v>
      </c>
      <c r="F91" s="1405">
        <v>101</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1506</v>
      </c>
      <c r="B100" s="1391" t="s">
        <v>1507</v>
      </c>
      <c r="C100" s="1822" t="s">
        <v>1553</v>
      </c>
      <c r="D100" s="1822" t="s">
        <v>3817</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98.5</v>
      </c>
      <c r="E101" s="1398">
        <f t="shared" si="25"/>
        <v>97</v>
      </c>
      <c r="F101" s="1398">
        <f t="shared" si="25"/>
        <v>95.5</v>
      </c>
      <c r="G101" s="1398">
        <f t="shared" si="25"/>
        <v>94</v>
      </c>
      <c r="H101" s="1398">
        <f t="shared" si="25"/>
        <v>92.5</v>
      </c>
      <c r="I101" s="1398">
        <f t="shared" si="25"/>
        <v>91</v>
      </c>
      <c r="J101" s="1398">
        <f t="shared" si="25"/>
        <v>89.5</v>
      </c>
      <c r="K101" s="1398">
        <f t="shared" si="25"/>
        <v>88</v>
      </c>
      <c r="L101" s="1398">
        <f t="shared" si="25"/>
        <v>86.5</v>
      </c>
      <c r="M101" s="1398">
        <f t="shared" si="25"/>
        <v>85</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420"/>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1403"/>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100</v>
      </c>
      <c r="E117" s="1398">
        <f>D117-$K39</f>
        <v>100</v>
      </c>
      <c r="F117" s="1398">
        <f>E117-$K39</f>
        <v>100</v>
      </c>
      <c r="G117" s="1398">
        <f>F117-$K39</f>
        <v>100</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98</v>
      </c>
      <c r="E123" s="1398">
        <f t="shared" si="32"/>
        <v>96</v>
      </c>
      <c r="F123" s="1398">
        <f t="shared" si="32"/>
        <v>94</v>
      </c>
      <c r="G123" s="1398">
        <f t="shared" si="32"/>
        <v>92</v>
      </c>
      <c r="H123" s="1398">
        <f t="shared" si="32"/>
        <v>90</v>
      </c>
      <c r="I123" s="1398">
        <f t="shared" si="32"/>
        <v>88</v>
      </c>
      <c r="J123" s="1398">
        <f t="shared" si="32"/>
        <v>86</v>
      </c>
      <c r="K123" s="1398">
        <f t="shared" si="32"/>
        <v>84</v>
      </c>
      <c r="L123" s="1398">
        <f t="shared" si="32"/>
        <v>82</v>
      </c>
      <c r="M123" s="1398">
        <f t="shared" si="32"/>
        <v>80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1982</v>
      </c>
      <c r="D126" s="1818">
        <v>1985</v>
      </c>
      <c r="E126" s="1403">
        <v>1988</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101.5</v>
      </c>
      <c r="E127" s="1394">
        <v>103</v>
      </c>
      <c r="F127" s="1394"/>
      <c r="G127" s="1405"/>
      <c r="H127" s="1406"/>
      <c r="I127" s="1406"/>
      <c r="J127" s="1406"/>
      <c r="K127" s="1406"/>
      <c r="L127" s="1406"/>
      <c r="M127" s="1456"/>
      <c r="N127" s="1691"/>
      <c r="O127" s="1691"/>
      <c r="P127" s="1824"/>
      <c r="Q127" s="1693"/>
    </row>
    <row r="128" spans="1:17">
      <c r="A128" s="1426"/>
      <c r="B128" s="1395" t="str">
        <f>B45</f>
        <v>电梯</v>
      </c>
      <c r="C128" s="3950" t="s">
        <v>3821</v>
      </c>
      <c r="D128" s="3950" t="s">
        <v>3822</v>
      </c>
      <c r="E128" s="1403"/>
      <c r="F128" s="1403"/>
      <c r="G128" s="1420"/>
      <c r="H128" s="1420"/>
      <c r="I128" s="1420"/>
      <c r="J128" s="1420"/>
      <c r="K128" s="1471"/>
      <c r="L128" s="1472"/>
      <c r="M128" s="1473"/>
      <c r="N128" s="1688"/>
      <c r="O128" s="1688"/>
      <c r="P128" s="1814"/>
      <c r="Q128" s="1683"/>
    </row>
    <row r="129" spans="1:17" ht="15">
      <c r="A129" s="1392"/>
      <c r="B129" s="1397"/>
      <c r="C129" s="1405">
        <v>100</v>
      </c>
      <c r="D129" s="1405">
        <v>98</v>
      </c>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58.3</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853" t="s">
        <v>1470</v>
      </c>
      <c r="D4" s="3854"/>
      <c r="E4" s="3855" t="s">
        <v>1471</v>
      </c>
      <c r="F4" s="3856"/>
      <c r="G4" s="3853" t="s">
        <v>1472</v>
      </c>
      <c r="H4" s="3854"/>
      <c r="I4" s="3853" t="s">
        <v>1473</v>
      </c>
      <c r="J4" s="3854"/>
      <c r="K4" s="1310"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30" t="s">
        <v>1472</v>
      </c>
      <c r="AC4" s="3815" t="s">
        <v>1473</v>
      </c>
    </row>
    <row r="5" spans="1:29" ht="15">
      <c r="A5" s="1165"/>
      <c r="B5" s="1166"/>
      <c r="C5" s="3861" t="s">
        <v>1476</v>
      </c>
      <c r="D5" s="3858"/>
      <c r="E5" s="3862" t="s">
        <v>1783</v>
      </c>
      <c r="F5" s="3860"/>
      <c r="G5" s="3861" t="s">
        <v>1784</v>
      </c>
      <c r="H5" s="3858"/>
      <c r="I5" s="3861" t="s">
        <v>1785</v>
      </c>
      <c r="J5" s="3858"/>
      <c r="K5" s="1310"/>
      <c r="L5" s="1311"/>
      <c r="M5" s="1312"/>
      <c r="N5" s="1312"/>
      <c r="O5" s="1312"/>
      <c r="P5" s="3820"/>
      <c r="Q5" s="3821"/>
      <c r="R5" s="3826"/>
      <c r="S5" s="3827"/>
      <c r="T5" s="3826"/>
      <c r="U5" s="3827"/>
      <c r="V5" s="3830"/>
      <c r="W5" s="3830"/>
      <c r="X5" s="1354"/>
      <c r="Y5" s="3826"/>
      <c r="Z5" s="3827"/>
      <c r="AA5" s="3816"/>
      <c r="AB5" s="3830"/>
      <c r="AC5" s="3816"/>
    </row>
    <row r="6" spans="1:29" ht="15">
      <c r="A6" s="1167"/>
      <c r="B6" s="1168"/>
      <c r="C6" s="3848" t="s">
        <v>1477</v>
      </c>
      <c r="D6" s="3849"/>
      <c r="E6" s="3850" t="s">
        <v>1477</v>
      </c>
      <c r="F6" s="3851"/>
      <c r="G6" s="3848" t="s">
        <v>1477</v>
      </c>
      <c r="H6" s="3849"/>
      <c r="I6" s="3848" t="s">
        <v>1477</v>
      </c>
      <c r="J6" s="3849"/>
      <c r="K6" s="1310" t="s">
        <v>1478</v>
      </c>
      <c r="L6" s="1311"/>
      <c r="M6" s="1312"/>
      <c r="N6" s="1312"/>
      <c r="O6" s="1312"/>
      <c r="P6" s="3822"/>
      <c r="Q6" s="3823"/>
      <c r="R6" s="3826"/>
      <c r="S6" s="3827"/>
      <c r="T6" s="3828"/>
      <c r="U6" s="3829"/>
      <c r="V6" s="3830"/>
      <c r="W6" s="3830"/>
      <c r="X6" s="1354"/>
      <c r="Y6" s="3828"/>
      <c r="Z6" s="3829"/>
      <c r="AA6" s="3817"/>
      <c r="AB6" s="3830"/>
      <c r="AC6" s="3817"/>
    </row>
    <row r="7" spans="1:29" s="1144" customFormat="1" ht="15">
      <c r="A7" s="1169" t="s">
        <v>1479</v>
      </c>
      <c r="B7" s="1170"/>
      <c r="C7" s="1171">
        <f>'数据-取费表'!B2</f>
        <v>39031</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36" t="s">
        <v>1480</v>
      </c>
      <c r="Q7" s="3852"/>
      <c r="R7" s="1355" t="s">
        <v>1481</v>
      </c>
      <c r="S7" s="1356">
        <f t="shared" ref="S7:S15" si="0">F7</f>
        <v>0</v>
      </c>
      <c r="T7" s="1355" t="s">
        <v>1481</v>
      </c>
      <c r="U7" s="1356">
        <f t="shared" ref="U7:U15" si="1">H7</f>
        <v>0</v>
      </c>
      <c r="V7" s="1355" t="s">
        <v>1481</v>
      </c>
      <c r="W7" s="1356">
        <f t="shared" ref="W7:W15" si="2">J7</f>
        <v>0</v>
      </c>
      <c r="X7" s="1357"/>
      <c r="Y7" s="3836" t="s">
        <v>1480</v>
      </c>
      <c r="Z7" s="3837"/>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36" t="s">
        <v>1484</v>
      </c>
      <c r="Q8" s="3837"/>
      <c r="R8" s="1355" t="s">
        <v>1481</v>
      </c>
      <c r="S8" s="1356">
        <f t="shared" si="0"/>
        <v>100</v>
      </c>
      <c r="T8" s="1355" t="s">
        <v>1481</v>
      </c>
      <c r="U8" s="1356">
        <f t="shared" si="1"/>
        <v>100</v>
      </c>
      <c r="V8" s="1355" t="s">
        <v>1481</v>
      </c>
      <c r="W8" s="1356">
        <f t="shared" si="2"/>
        <v>100</v>
      </c>
      <c r="X8" s="1357"/>
      <c r="Y8" s="3836" t="s">
        <v>1484</v>
      </c>
      <c r="Z8" s="3837"/>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38"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38"/>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38"/>
      <c r="Q11" s="1359" t="str">
        <f t="shared" si="6"/>
        <v>容积率</v>
      </c>
      <c r="R11" s="1355" t="s">
        <v>1481</v>
      </c>
      <c r="S11" s="1356" t="e">
        <f t="shared" si="0"/>
        <v>#N/A</v>
      </c>
      <c r="T11" s="1355" t="s">
        <v>1481</v>
      </c>
      <c r="U11" s="1356" t="e">
        <f t="shared" si="1"/>
        <v>#N/A</v>
      </c>
      <c r="V11" s="1355" t="s">
        <v>1481</v>
      </c>
      <c r="W11" s="1356" t="e">
        <f t="shared" si="2"/>
        <v>#N/A</v>
      </c>
      <c r="X11" s="1357"/>
      <c r="Y11" s="3701"/>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38"/>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38"/>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38"/>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39" t="s">
        <v>1493</v>
      </c>
      <c r="Q15" s="739" t="str">
        <f t="shared" si="6"/>
        <v>商业繁华度</v>
      </c>
      <c r="R15" s="1360" t="s">
        <v>1481</v>
      </c>
      <c r="S15" s="1361">
        <f t="shared" si="0"/>
        <v>100</v>
      </c>
      <c r="T15" s="1360" t="s">
        <v>1481</v>
      </c>
      <c r="U15" s="1361">
        <f t="shared" si="1"/>
        <v>100</v>
      </c>
      <c r="V15" s="1360" t="s">
        <v>1481</v>
      </c>
      <c r="W15" s="1361">
        <f t="shared" si="2"/>
        <v>100</v>
      </c>
      <c r="X15" s="1354"/>
      <c r="Y15" s="3844"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40"/>
      <c r="Q16" s="739"/>
      <c r="R16" s="1360"/>
      <c r="S16" s="1361"/>
      <c r="T16" s="1360"/>
      <c r="U16" s="1361"/>
      <c r="V16" s="1360"/>
      <c r="W16" s="1361"/>
      <c r="X16" s="1354"/>
      <c r="Y16" s="3845"/>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40"/>
      <c r="Q17" s="739" t="str">
        <f>B17</f>
        <v>交通便捷度</v>
      </c>
      <c r="R17" s="1360" t="s">
        <v>1481</v>
      </c>
      <c r="S17" s="1361">
        <f>F17</f>
        <v>100</v>
      </c>
      <c r="T17" s="1360" t="s">
        <v>1481</v>
      </c>
      <c r="U17" s="1361">
        <f>H17</f>
        <v>100</v>
      </c>
      <c r="V17" s="1360" t="s">
        <v>1481</v>
      </c>
      <c r="W17" s="1361">
        <f>J17</f>
        <v>100</v>
      </c>
      <c r="X17" s="1354"/>
      <c r="Y17" s="3845"/>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40"/>
      <c r="Q18" s="739"/>
      <c r="R18" s="1360"/>
      <c r="S18" s="1361"/>
      <c r="T18" s="1360"/>
      <c r="U18" s="1361"/>
      <c r="V18" s="1360"/>
      <c r="W18" s="1361"/>
      <c r="X18" s="1354"/>
      <c r="Y18" s="3845"/>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40"/>
      <c r="Q19" s="739" t="str">
        <f>B19</f>
        <v>公共配套设施</v>
      </c>
      <c r="R19" s="1360" t="s">
        <v>1481</v>
      </c>
      <c r="S19" s="1361">
        <f>F19</f>
        <v>100</v>
      </c>
      <c r="T19" s="1360" t="s">
        <v>1481</v>
      </c>
      <c r="U19" s="1361">
        <f>H19</f>
        <v>100</v>
      </c>
      <c r="V19" s="1360" t="s">
        <v>1481</v>
      </c>
      <c r="W19" s="1361">
        <f>J19</f>
        <v>100</v>
      </c>
      <c r="X19" s="1354"/>
      <c r="Y19" s="3845"/>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40"/>
      <c r="Q20" s="739"/>
      <c r="R20" s="1360"/>
      <c r="S20" s="1361"/>
      <c r="T20" s="1360"/>
      <c r="U20" s="1361"/>
      <c r="V20" s="1360"/>
      <c r="W20" s="1361"/>
      <c r="X20" s="1354"/>
      <c r="Y20" s="3845"/>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40"/>
      <c r="Q21" s="739" t="str">
        <f>B21</f>
        <v>基础设施水平</v>
      </c>
      <c r="R21" s="1360" t="s">
        <v>1481</v>
      </c>
      <c r="S21" s="1361">
        <f>F21</f>
        <v>100</v>
      </c>
      <c r="T21" s="1360" t="s">
        <v>1481</v>
      </c>
      <c r="U21" s="1361">
        <f>H21</f>
        <v>100</v>
      </c>
      <c r="V21" s="1360" t="s">
        <v>1481</v>
      </c>
      <c r="W21" s="1361">
        <f>J21</f>
        <v>100</v>
      </c>
      <c r="X21" s="1354"/>
      <c r="Y21" s="3845"/>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40"/>
      <c r="Q22" s="739"/>
      <c r="R22" s="1360"/>
      <c r="S22" s="1361"/>
      <c r="T22" s="1360"/>
      <c r="U22" s="1361"/>
      <c r="V22" s="1360"/>
      <c r="W22" s="1361"/>
      <c r="X22" s="1354"/>
      <c r="Y22" s="3845"/>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40"/>
      <c r="Q23" s="739" t="str">
        <f>B23</f>
        <v>自然及人文环境</v>
      </c>
      <c r="R23" s="1360" t="s">
        <v>1481</v>
      </c>
      <c r="S23" s="1361">
        <f>F23</f>
        <v>100</v>
      </c>
      <c r="T23" s="1360" t="s">
        <v>1481</v>
      </c>
      <c r="U23" s="1361">
        <f>H23</f>
        <v>100</v>
      </c>
      <c r="V23" s="1360" t="s">
        <v>1481</v>
      </c>
      <c r="W23" s="1361">
        <f>J23</f>
        <v>100</v>
      </c>
      <c r="X23" s="1354"/>
      <c r="Y23" s="3845"/>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40"/>
      <c r="Q24" s="739"/>
      <c r="R24" s="1360"/>
      <c r="S24" s="1361"/>
      <c r="T24" s="1360"/>
      <c r="U24" s="1361"/>
      <c r="V24" s="1360"/>
      <c r="W24" s="1361"/>
      <c r="X24" s="1354"/>
      <c r="Y24" s="3845"/>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40"/>
      <c r="Q25" s="739" t="str">
        <f t="shared" ref="Q25:Q46" si="11">B25</f>
        <v>临街状况</v>
      </c>
      <c r="R25" s="1360" t="s">
        <v>1481</v>
      </c>
      <c r="S25" s="1361">
        <f>F25</f>
        <v>100</v>
      </c>
      <c r="T25" s="1360" t="s">
        <v>1481</v>
      </c>
      <c r="U25" s="1361">
        <f>H25</f>
        <v>100</v>
      </c>
      <c r="V25" s="1360" t="s">
        <v>1481</v>
      </c>
      <c r="W25" s="1361">
        <f>J25</f>
        <v>100</v>
      </c>
      <c r="X25" s="1354"/>
      <c r="Y25" s="3845"/>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40"/>
      <c r="Q26" s="739" t="str">
        <f t="shared" si="11"/>
        <v>平面位置/可视性</v>
      </c>
      <c r="R26" s="1360" t="s">
        <v>1481</v>
      </c>
      <c r="S26" s="1361">
        <f>F26</f>
        <v>100</v>
      </c>
      <c r="T26" s="1360" t="s">
        <v>1481</v>
      </c>
      <c r="U26" s="1361">
        <f>H26</f>
        <v>100</v>
      </c>
      <c r="V26" s="1360" t="s">
        <v>1481</v>
      </c>
      <c r="W26" s="1361">
        <f>J26</f>
        <v>100</v>
      </c>
      <c r="X26" s="1354"/>
      <c r="Y26" s="3845"/>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40"/>
      <c r="Q27" s="1359" t="str">
        <f t="shared" si="11"/>
        <v>人流量</v>
      </c>
      <c r="R27" s="1355" t="s">
        <v>1481</v>
      </c>
      <c r="S27" s="1356">
        <f>F27</f>
        <v>100</v>
      </c>
      <c r="T27" s="1355" t="s">
        <v>1481</v>
      </c>
      <c r="U27" s="1356">
        <f>H27</f>
        <v>100</v>
      </c>
      <c r="V27" s="1355" t="s">
        <v>1481</v>
      </c>
      <c r="W27" s="1356">
        <f>J27</f>
        <v>100</v>
      </c>
      <c r="X27" s="1357"/>
      <c r="Y27" s="3845"/>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40"/>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45"/>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40"/>
      <c r="Q29" s="739">
        <f t="shared" si="11"/>
        <v>111</v>
      </c>
      <c r="R29" s="1360" t="s">
        <v>1481</v>
      </c>
      <c r="S29" s="1361">
        <f t="shared" si="12"/>
        <v>100</v>
      </c>
      <c r="T29" s="1360" t="s">
        <v>1481</v>
      </c>
      <c r="U29" s="1361">
        <f t="shared" si="13"/>
        <v>100</v>
      </c>
      <c r="V29" s="1360" t="s">
        <v>1481</v>
      </c>
      <c r="W29" s="1361">
        <f t="shared" si="14"/>
        <v>100</v>
      </c>
      <c r="X29" s="1354"/>
      <c r="Y29" s="3845"/>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40"/>
      <c r="Q30" s="739">
        <f t="shared" si="11"/>
        <v>111</v>
      </c>
      <c r="R30" s="1360" t="s">
        <v>1481</v>
      </c>
      <c r="S30" s="1361">
        <f t="shared" si="12"/>
        <v>100</v>
      </c>
      <c r="T30" s="1360" t="s">
        <v>1481</v>
      </c>
      <c r="U30" s="1361">
        <f t="shared" si="13"/>
        <v>100</v>
      </c>
      <c r="V30" s="1360" t="s">
        <v>1481</v>
      </c>
      <c r="W30" s="1361">
        <f t="shared" si="14"/>
        <v>100</v>
      </c>
      <c r="X30" s="1354"/>
      <c r="Y30" s="3845"/>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40"/>
      <c r="Q31" s="739">
        <f t="shared" si="11"/>
        <v>111</v>
      </c>
      <c r="R31" s="1360" t="s">
        <v>1481</v>
      </c>
      <c r="S31" s="1361">
        <f t="shared" si="12"/>
        <v>100</v>
      </c>
      <c r="T31" s="1360" t="s">
        <v>1481</v>
      </c>
      <c r="U31" s="1361">
        <f t="shared" si="13"/>
        <v>100</v>
      </c>
      <c r="V31" s="1360" t="s">
        <v>1481</v>
      </c>
      <c r="W31" s="1361">
        <f t="shared" si="14"/>
        <v>100</v>
      </c>
      <c r="X31" s="1354"/>
      <c r="Y31" s="3845"/>
      <c r="Z31" s="1344">
        <f t="shared" si="15"/>
        <v>111</v>
      </c>
      <c r="AA31" s="1371">
        <f t="shared" si="3"/>
        <v>1</v>
      </c>
      <c r="AB31" s="1371">
        <f t="shared" si="4"/>
        <v>1</v>
      </c>
      <c r="AC31" s="1371">
        <f t="shared" si="5"/>
        <v>1</v>
      </c>
    </row>
    <row r="32" spans="1:29" ht="15">
      <c r="A32" s="1199" t="s">
        <v>1506</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41" t="s">
        <v>1509</v>
      </c>
      <c r="Q32" s="739" t="str">
        <f t="shared" si="11"/>
        <v>商业类型</v>
      </c>
      <c r="R32" s="1360" t="s">
        <v>1481</v>
      </c>
      <c r="S32" s="1361">
        <f t="shared" si="12"/>
        <v>100</v>
      </c>
      <c r="T32" s="1360" t="s">
        <v>1481</v>
      </c>
      <c r="U32" s="1361">
        <f t="shared" si="13"/>
        <v>100</v>
      </c>
      <c r="V32" s="1360" t="s">
        <v>1481</v>
      </c>
      <c r="W32" s="1361">
        <f t="shared" si="14"/>
        <v>100</v>
      </c>
      <c r="X32" s="1354"/>
      <c r="Y32" s="3846"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42"/>
      <c r="Q33" s="1588" t="str">
        <f t="shared" si="11"/>
        <v>项目建筑规模</v>
      </c>
      <c r="R33" s="1362" t="s">
        <v>1481</v>
      </c>
      <c r="S33" s="1363" t="e">
        <f t="shared" si="12"/>
        <v>#N/A</v>
      </c>
      <c r="T33" s="1362" t="s">
        <v>1481</v>
      </c>
      <c r="U33" s="1363" t="e">
        <f t="shared" si="13"/>
        <v>#N/A</v>
      </c>
      <c r="V33" s="1362" t="s">
        <v>1481</v>
      </c>
      <c r="W33" s="1363" t="e">
        <f t="shared" si="14"/>
        <v>#N/A</v>
      </c>
      <c r="X33" s="1364"/>
      <c r="Y33" s="3846"/>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42"/>
      <c r="Q34" s="739" t="str">
        <f t="shared" si="11"/>
        <v>建筑结构</v>
      </c>
      <c r="R34" s="1360" t="s">
        <v>1481</v>
      </c>
      <c r="S34" s="1361">
        <f t="shared" si="12"/>
        <v>100</v>
      </c>
      <c r="T34" s="1360" t="s">
        <v>1481</v>
      </c>
      <c r="U34" s="1361">
        <f t="shared" si="13"/>
        <v>100</v>
      </c>
      <c r="V34" s="1360" t="s">
        <v>1481</v>
      </c>
      <c r="W34" s="1361">
        <f t="shared" si="14"/>
        <v>100</v>
      </c>
      <c r="X34" s="1354"/>
      <c r="Y34" s="3846"/>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42"/>
      <c r="Q35" s="739" t="str">
        <f t="shared" si="11"/>
        <v>公共部分装修</v>
      </c>
      <c r="R35" s="1360" t="s">
        <v>1481</v>
      </c>
      <c r="S35" s="1361">
        <f t="shared" si="12"/>
        <v>100</v>
      </c>
      <c r="T35" s="1360" t="s">
        <v>1481</v>
      </c>
      <c r="U35" s="1361">
        <f t="shared" si="13"/>
        <v>100</v>
      </c>
      <c r="V35" s="1360" t="s">
        <v>1481</v>
      </c>
      <c r="W35" s="1361">
        <f t="shared" si="14"/>
        <v>100</v>
      </c>
      <c r="X35" s="1354"/>
      <c r="Y35" s="3846"/>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42"/>
      <c r="Q36" s="739" t="str">
        <f t="shared" si="11"/>
        <v>成新度</v>
      </c>
      <c r="R36" s="1360" t="s">
        <v>1481</v>
      </c>
      <c r="S36" s="1361" t="e">
        <f t="shared" si="12"/>
        <v>#N/A</v>
      </c>
      <c r="T36" s="1360" t="s">
        <v>1481</v>
      </c>
      <c r="U36" s="1361" t="e">
        <f t="shared" si="13"/>
        <v>#N/A</v>
      </c>
      <c r="V36" s="1360" t="s">
        <v>1481</v>
      </c>
      <c r="W36" s="1361" t="e">
        <f t="shared" si="14"/>
        <v>#N/A</v>
      </c>
      <c r="X36" s="1354"/>
      <c r="Y36" s="3846"/>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42"/>
      <c r="Q37" s="1359" t="str">
        <f t="shared" si="11"/>
        <v>市政基础设施</v>
      </c>
      <c r="R37" s="1355" t="s">
        <v>1481</v>
      </c>
      <c r="S37" s="1356">
        <f t="shared" si="12"/>
        <v>100</v>
      </c>
      <c r="T37" s="1355" t="s">
        <v>1481</v>
      </c>
      <c r="U37" s="1356">
        <f t="shared" si="13"/>
        <v>100</v>
      </c>
      <c r="V37" s="1355" t="s">
        <v>1481</v>
      </c>
      <c r="W37" s="1356">
        <f t="shared" si="14"/>
        <v>100</v>
      </c>
      <c r="X37" s="1357"/>
      <c r="Y37" s="3846"/>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42" t="s">
        <v>1509</v>
      </c>
      <c r="Q38" s="739" t="str">
        <f t="shared" si="11"/>
        <v>业态</v>
      </c>
      <c r="R38" s="1360" t="s">
        <v>1481</v>
      </c>
      <c r="S38" s="1361">
        <f t="shared" si="12"/>
        <v>100</v>
      </c>
      <c r="T38" s="1360" t="s">
        <v>1481</v>
      </c>
      <c r="U38" s="1361">
        <f t="shared" si="13"/>
        <v>100</v>
      </c>
      <c r="V38" s="1360" t="s">
        <v>1481</v>
      </c>
      <c r="W38" s="1361">
        <f t="shared" si="14"/>
        <v>100</v>
      </c>
      <c r="X38" s="1354"/>
      <c r="Y38" s="3846"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42"/>
      <c r="Q39" s="739" t="str">
        <f t="shared" si="11"/>
        <v>层高</v>
      </c>
      <c r="R39" s="1360" t="s">
        <v>1481</v>
      </c>
      <c r="S39" s="1361">
        <f t="shared" si="12"/>
        <v>100</v>
      </c>
      <c r="T39" s="1360" t="s">
        <v>1481</v>
      </c>
      <c r="U39" s="1361">
        <f t="shared" si="13"/>
        <v>100</v>
      </c>
      <c r="V39" s="1360" t="s">
        <v>1481</v>
      </c>
      <c r="W39" s="1361">
        <f t="shared" si="14"/>
        <v>100</v>
      </c>
      <c r="X39" s="1354"/>
      <c r="Y39" s="3846"/>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42"/>
      <c r="Q40" s="739" t="str">
        <f t="shared" si="11"/>
        <v>单套建筑面积</v>
      </c>
      <c r="R40" s="1360" t="s">
        <v>1481</v>
      </c>
      <c r="S40" s="1361">
        <f t="shared" si="12"/>
        <v>100</v>
      </c>
      <c r="T40" s="1360" t="s">
        <v>1481</v>
      </c>
      <c r="U40" s="1361">
        <f t="shared" si="13"/>
        <v>100</v>
      </c>
      <c r="V40" s="1360" t="s">
        <v>1481</v>
      </c>
      <c r="W40" s="1361">
        <f t="shared" si="14"/>
        <v>100</v>
      </c>
      <c r="X40" s="1354"/>
      <c r="Y40" s="3846"/>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42"/>
      <c r="Q41" s="1588" t="str">
        <f t="shared" si="11"/>
        <v>进深比</v>
      </c>
      <c r="R41" s="1362" t="s">
        <v>1481</v>
      </c>
      <c r="S41" s="1363">
        <f t="shared" si="12"/>
        <v>100</v>
      </c>
      <c r="T41" s="1362" t="s">
        <v>1481</v>
      </c>
      <c r="U41" s="1363">
        <f t="shared" si="13"/>
        <v>100</v>
      </c>
      <c r="V41" s="1362" t="s">
        <v>1481</v>
      </c>
      <c r="W41" s="1363">
        <f t="shared" si="14"/>
        <v>100</v>
      </c>
      <c r="X41" s="1364"/>
      <c r="Y41" s="3846"/>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42"/>
      <c r="Q42" s="739" t="str">
        <f t="shared" si="11"/>
        <v>内部装修</v>
      </c>
      <c r="R42" s="1360" t="s">
        <v>1481</v>
      </c>
      <c r="S42" s="1361">
        <f t="shared" si="12"/>
        <v>100</v>
      </c>
      <c r="T42" s="1360" t="s">
        <v>1481</v>
      </c>
      <c r="U42" s="1361">
        <f t="shared" si="13"/>
        <v>100</v>
      </c>
      <c r="V42" s="1360" t="s">
        <v>1481</v>
      </c>
      <c r="W42" s="1361">
        <f t="shared" si="14"/>
        <v>100</v>
      </c>
      <c r="X42" s="1354"/>
      <c r="Y42" s="3846"/>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42"/>
      <c r="Q43" s="739" t="str">
        <f t="shared" si="11"/>
        <v>内部装修维护情况</v>
      </c>
      <c r="R43" s="1360" t="s">
        <v>1481</v>
      </c>
      <c r="S43" s="1361">
        <f t="shared" si="12"/>
        <v>100</v>
      </c>
      <c r="T43" s="1360" t="s">
        <v>1481</v>
      </c>
      <c r="U43" s="1361">
        <f t="shared" si="13"/>
        <v>100</v>
      </c>
      <c r="V43" s="1360" t="s">
        <v>1481</v>
      </c>
      <c r="W43" s="1361">
        <f t="shared" si="14"/>
        <v>100</v>
      </c>
      <c r="X43" s="1354"/>
      <c r="Y43" s="3846"/>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42"/>
      <c r="Q44" s="1359">
        <f t="shared" si="11"/>
        <v>111</v>
      </c>
      <c r="R44" s="1355" t="s">
        <v>1481</v>
      </c>
      <c r="S44" s="1356">
        <f t="shared" si="12"/>
        <v>100</v>
      </c>
      <c r="T44" s="1355" t="s">
        <v>1481</v>
      </c>
      <c r="U44" s="1356">
        <f t="shared" si="13"/>
        <v>100</v>
      </c>
      <c r="V44" s="1355" t="s">
        <v>1481</v>
      </c>
      <c r="W44" s="1356">
        <f t="shared" si="14"/>
        <v>100</v>
      </c>
      <c r="X44" s="1357"/>
      <c r="Y44" s="3846"/>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42"/>
      <c r="Q45" s="739">
        <f t="shared" si="11"/>
        <v>111</v>
      </c>
      <c r="R45" s="1360" t="s">
        <v>1481</v>
      </c>
      <c r="S45" s="1361">
        <f t="shared" si="12"/>
        <v>100</v>
      </c>
      <c r="T45" s="1360" t="s">
        <v>1481</v>
      </c>
      <c r="U45" s="1361">
        <f t="shared" si="13"/>
        <v>100</v>
      </c>
      <c r="V45" s="1360" t="s">
        <v>1481</v>
      </c>
      <c r="W45" s="1361">
        <f t="shared" si="14"/>
        <v>100</v>
      </c>
      <c r="X45" s="1354"/>
      <c r="Y45" s="3846"/>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43"/>
      <c r="Q46" s="739">
        <f t="shared" si="11"/>
        <v>111</v>
      </c>
      <c r="R46" s="1360" t="s">
        <v>1481</v>
      </c>
      <c r="S46" s="1361">
        <f t="shared" si="12"/>
        <v>100</v>
      </c>
      <c r="T46" s="1360" t="s">
        <v>1481</v>
      </c>
      <c r="U46" s="1361">
        <f t="shared" si="13"/>
        <v>100</v>
      </c>
      <c r="V46" s="1360" t="s">
        <v>1481</v>
      </c>
      <c r="W46" s="1361">
        <f t="shared" si="14"/>
        <v>100</v>
      </c>
      <c r="X46" s="1354"/>
      <c r="Y46" s="3847"/>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31" t="str">
        <f>A47</f>
        <v>成交单价（元/平方米）</v>
      </c>
      <c r="Q47" s="3831"/>
      <c r="R47" s="3830">
        <f>E47</f>
        <v>0</v>
      </c>
      <c r="S47" s="3830"/>
      <c r="T47" s="3830">
        <f>G47</f>
        <v>0</v>
      </c>
      <c r="U47" s="3830"/>
      <c r="V47" s="3830">
        <f>I47</f>
        <v>0</v>
      </c>
      <c r="W47" s="3830"/>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31" t="str">
        <f>A48</f>
        <v>比较价值（元/平方米）</v>
      </c>
      <c r="Q48" s="3831"/>
      <c r="R48" s="3832" t="e">
        <f>IF(F1="售价",ROUND(PRODUCT(R47,AA7:AA46),0),ROUND(PRODUCT(R47,AA7:AA46),1))</f>
        <v>#DIV/0!</v>
      </c>
      <c r="S48" s="3832"/>
      <c r="T48" s="3832" t="e">
        <f>IF(F1="售价",ROUND(PRODUCT(T47,AB7:AB46),0),ROUND(PRODUCT(T47,AB7:AB46),1))</f>
        <v>#DIV/0!</v>
      </c>
      <c r="U48" s="3832"/>
      <c r="V48" s="3832" t="e">
        <f>IF(F1="售价",ROUND(PRODUCT(V47,AC7:AC46),0),ROUND(PRODUCT(V47,AC7:AC46),1))</f>
        <v>#DIV/0!</v>
      </c>
      <c r="W48" s="3832"/>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33" t="str">
        <f>A49</f>
        <v>估价对象XX用房的比较价值（楼面单价，元/平方米）</v>
      </c>
      <c r="Q49" s="3834"/>
      <c r="R49" s="3835" t="e">
        <f>IF(F1="售价",ROUND(IF(D48="简单平均",AVERAGE(R48:V48),R48*F48+T48*H48+V48*J48),0),ROUND(IF(D48="简单平均",AVERAGE(R48:V48),R48*F48+T48*H48+V48*J48),1))</f>
        <v>#DIV/0!</v>
      </c>
      <c r="S49" s="3835"/>
      <c r="T49" s="3835"/>
      <c r="U49" s="3835"/>
      <c r="V49" s="3835"/>
      <c r="W49" s="3835"/>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2006-11</v>
      </c>
      <c r="D58" s="1578">
        <f>EDATE(C58,-1)</f>
        <v>38991</v>
      </c>
      <c r="E58" s="1578">
        <f t="shared" ref="E58:O58" si="16">EDATE(D58,-1)</f>
        <v>38961</v>
      </c>
      <c r="F58" s="1578">
        <f t="shared" si="16"/>
        <v>38930</v>
      </c>
      <c r="G58" s="1578">
        <f t="shared" si="16"/>
        <v>38899</v>
      </c>
      <c r="H58" s="1578">
        <f t="shared" si="16"/>
        <v>38869</v>
      </c>
      <c r="I58" s="1578">
        <f t="shared" si="16"/>
        <v>38838</v>
      </c>
      <c r="J58" s="1578">
        <f t="shared" si="16"/>
        <v>38808</v>
      </c>
      <c r="K58" s="1578">
        <f t="shared" si="16"/>
        <v>38777</v>
      </c>
      <c r="L58" s="1578">
        <f t="shared" si="16"/>
        <v>38749</v>
      </c>
      <c r="M58" s="1578">
        <f t="shared" si="16"/>
        <v>38718</v>
      </c>
      <c r="N58" s="1578">
        <f t="shared" si="16"/>
        <v>38687</v>
      </c>
      <c r="O58" s="1578">
        <f t="shared" si="16"/>
        <v>38657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1506</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58.3</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853" t="s">
        <v>1470</v>
      </c>
      <c r="D4" s="3854"/>
      <c r="E4" s="3855" t="s">
        <v>1471</v>
      </c>
      <c r="F4" s="3856"/>
      <c r="G4" s="3853" t="s">
        <v>1472</v>
      </c>
      <c r="H4" s="3854"/>
      <c r="I4" s="3853" t="s">
        <v>1473</v>
      </c>
      <c r="J4" s="3854"/>
      <c r="K4" s="1310" t="s">
        <v>1474</v>
      </c>
      <c r="L4" s="1311"/>
      <c r="M4" s="1312"/>
      <c r="N4" s="1312"/>
      <c r="O4" s="1312"/>
      <c r="P4" s="3867" t="s">
        <v>1475</v>
      </c>
      <c r="Q4" s="3868"/>
      <c r="R4" s="3871" t="s">
        <v>1471</v>
      </c>
      <c r="S4" s="3872"/>
      <c r="T4" s="3871" t="s">
        <v>1472</v>
      </c>
      <c r="U4" s="3872"/>
      <c r="V4" s="3873" t="s">
        <v>1473</v>
      </c>
      <c r="W4" s="3873"/>
      <c r="X4" s="1712"/>
      <c r="Y4" s="3871" t="s">
        <v>1475</v>
      </c>
      <c r="Z4" s="3872"/>
      <c r="AA4" s="3863" t="s">
        <v>1471</v>
      </c>
      <c r="AB4" s="3863" t="s">
        <v>1472</v>
      </c>
      <c r="AC4" s="3864" t="s">
        <v>1473</v>
      </c>
    </row>
    <row r="5" spans="1:29" ht="15">
      <c r="A5" s="1165"/>
      <c r="B5" s="1166"/>
      <c r="C5" s="3861" t="s">
        <v>1476</v>
      </c>
      <c r="D5" s="3858"/>
      <c r="E5" s="3862" t="s">
        <v>1783</v>
      </c>
      <c r="F5" s="3860"/>
      <c r="G5" s="3861" t="s">
        <v>1784</v>
      </c>
      <c r="H5" s="3858"/>
      <c r="I5" s="3861" t="s">
        <v>1785</v>
      </c>
      <c r="J5" s="3858"/>
      <c r="K5" s="1310"/>
      <c r="L5" s="1311"/>
      <c r="M5" s="1312"/>
      <c r="N5" s="1312"/>
      <c r="O5" s="1312"/>
      <c r="P5" s="3869"/>
      <c r="Q5" s="3821"/>
      <c r="R5" s="3826"/>
      <c r="S5" s="3827"/>
      <c r="T5" s="3826"/>
      <c r="U5" s="3827"/>
      <c r="V5" s="3830"/>
      <c r="W5" s="3830"/>
      <c r="X5" s="1354"/>
      <c r="Y5" s="3826"/>
      <c r="Z5" s="3827"/>
      <c r="AA5" s="3816"/>
      <c r="AB5" s="3816"/>
      <c r="AC5" s="3865"/>
    </row>
    <row r="6" spans="1:29" ht="15">
      <c r="A6" s="1167"/>
      <c r="B6" s="1168"/>
      <c r="C6" s="3848" t="s">
        <v>1477</v>
      </c>
      <c r="D6" s="3849"/>
      <c r="E6" s="3850" t="s">
        <v>1477</v>
      </c>
      <c r="F6" s="3851"/>
      <c r="G6" s="3848" t="s">
        <v>1477</v>
      </c>
      <c r="H6" s="3849"/>
      <c r="I6" s="3848" t="s">
        <v>1477</v>
      </c>
      <c r="J6" s="3849"/>
      <c r="K6" s="1310" t="s">
        <v>1478</v>
      </c>
      <c r="L6" s="1311"/>
      <c r="M6" s="1312"/>
      <c r="N6" s="1312"/>
      <c r="O6" s="1312"/>
      <c r="P6" s="3870"/>
      <c r="Q6" s="3823"/>
      <c r="R6" s="3826"/>
      <c r="S6" s="3827"/>
      <c r="T6" s="3828"/>
      <c r="U6" s="3829"/>
      <c r="V6" s="3830"/>
      <c r="W6" s="3830"/>
      <c r="X6" s="1354"/>
      <c r="Y6" s="3828"/>
      <c r="Z6" s="3829"/>
      <c r="AA6" s="3817"/>
      <c r="AB6" s="3817"/>
      <c r="AC6" s="3866"/>
    </row>
    <row r="7" spans="1:29" s="1144" customFormat="1" ht="15">
      <c r="A7" s="1169" t="s">
        <v>1479</v>
      </c>
      <c r="B7" s="1170"/>
      <c r="C7" s="1171">
        <f>'数据-取费表'!B2</f>
        <v>39031</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77" t="s">
        <v>1480</v>
      </c>
      <c r="Q7" s="3852"/>
      <c r="R7" s="1355" t="s">
        <v>1481</v>
      </c>
      <c r="S7" s="1356">
        <f t="shared" ref="S7:S15" si="0">F7</f>
        <v>0</v>
      </c>
      <c r="T7" s="1355" t="s">
        <v>1481</v>
      </c>
      <c r="U7" s="1356">
        <f t="shared" ref="U7:U15" si="1">H7</f>
        <v>0</v>
      </c>
      <c r="V7" s="1355" t="s">
        <v>1481</v>
      </c>
      <c r="W7" s="1356">
        <f t="shared" ref="W7:W15" si="2">J7</f>
        <v>0</v>
      </c>
      <c r="X7" s="1357"/>
      <c r="Y7" s="3836" t="s">
        <v>1480</v>
      </c>
      <c r="Z7" s="3837"/>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77" t="s">
        <v>1484</v>
      </c>
      <c r="Q8" s="3837"/>
      <c r="R8" s="1355" t="s">
        <v>1481</v>
      </c>
      <c r="S8" s="1356">
        <f t="shared" si="0"/>
        <v>100</v>
      </c>
      <c r="T8" s="1355" t="s">
        <v>1481</v>
      </c>
      <c r="U8" s="1356">
        <f t="shared" si="1"/>
        <v>100</v>
      </c>
      <c r="V8" s="1355" t="s">
        <v>1481</v>
      </c>
      <c r="W8" s="1356">
        <f t="shared" si="2"/>
        <v>100</v>
      </c>
      <c r="X8" s="1357"/>
      <c r="Y8" s="3836" t="s">
        <v>1484</v>
      </c>
      <c r="Z8" s="3837"/>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38"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38"/>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38"/>
      <c r="Q11" s="1359" t="str">
        <f t="shared" si="6"/>
        <v>容积率</v>
      </c>
      <c r="R11" s="1355" t="s">
        <v>1481</v>
      </c>
      <c r="S11" s="1356">
        <f t="shared" si="0"/>
        <v>100</v>
      </c>
      <c r="T11" s="1355" t="s">
        <v>1481</v>
      </c>
      <c r="U11" s="1356">
        <f t="shared" si="1"/>
        <v>100</v>
      </c>
      <c r="V11" s="1355" t="s">
        <v>1481</v>
      </c>
      <c r="W11" s="1356">
        <f t="shared" si="2"/>
        <v>100</v>
      </c>
      <c r="X11" s="1357"/>
      <c r="Y11" s="3701"/>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38"/>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38"/>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38"/>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39" t="s">
        <v>1493</v>
      </c>
      <c r="Q15" s="739" t="str">
        <f t="shared" si="6"/>
        <v>办公集聚程度</v>
      </c>
      <c r="R15" s="1360" t="s">
        <v>1481</v>
      </c>
      <c r="S15" s="1361">
        <f t="shared" si="0"/>
        <v>100</v>
      </c>
      <c r="T15" s="1360" t="s">
        <v>1481</v>
      </c>
      <c r="U15" s="1361">
        <f t="shared" si="1"/>
        <v>100</v>
      </c>
      <c r="V15" s="1360" t="s">
        <v>1481</v>
      </c>
      <c r="W15" s="1361">
        <f t="shared" si="2"/>
        <v>100</v>
      </c>
      <c r="X15" s="1354"/>
      <c r="Y15" s="3844"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40"/>
      <c r="Q16" s="739"/>
      <c r="R16" s="1360"/>
      <c r="S16" s="1361"/>
      <c r="T16" s="1360"/>
      <c r="U16" s="1361"/>
      <c r="V16" s="1360"/>
      <c r="W16" s="1361"/>
      <c r="X16" s="1354"/>
      <c r="Y16" s="3845"/>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40"/>
      <c r="Q17" s="739" t="str">
        <f>B17</f>
        <v>交通便捷度</v>
      </c>
      <c r="R17" s="1360" t="s">
        <v>1481</v>
      </c>
      <c r="S17" s="1361">
        <f>F17</f>
        <v>100</v>
      </c>
      <c r="T17" s="1360" t="s">
        <v>1481</v>
      </c>
      <c r="U17" s="1361">
        <f>H17</f>
        <v>100</v>
      </c>
      <c r="V17" s="1360" t="s">
        <v>1481</v>
      </c>
      <c r="W17" s="1361">
        <f>J17</f>
        <v>100</v>
      </c>
      <c r="X17" s="1354"/>
      <c r="Y17" s="3845"/>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40"/>
      <c r="Q18" s="739"/>
      <c r="R18" s="1360"/>
      <c r="S18" s="1361"/>
      <c r="T18" s="1360"/>
      <c r="U18" s="1361"/>
      <c r="V18" s="1360"/>
      <c r="W18" s="1361"/>
      <c r="X18" s="1354"/>
      <c r="Y18" s="3845"/>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40"/>
      <c r="Q19" s="739" t="str">
        <f>B19</f>
        <v>公共配套设施</v>
      </c>
      <c r="R19" s="1360" t="s">
        <v>1481</v>
      </c>
      <c r="S19" s="1361">
        <f>F19</f>
        <v>100</v>
      </c>
      <c r="T19" s="1360" t="s">
        <v>1481</v>
      </c>
      <c r="U19" s="1361">
        <f>H19</f>
        <v>100</v>
      </c>
      <c r="V19" s="1360" t="s">
        <v>1481</v>
      </c>
      <c r="W19" s="1361">
        <f>J19</f>
        <v>100</v>
      </c>
      <c r="X19" s="1354"/>
      <c r="Y19" s="3845"/>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40"/>
      <c r="Q20" s="739"/>
      <c r="R20" s="1360"/>
      <c r="S20" s="1361"/>
      <c r="T20" s="1360"/>
      <c r="U20" s="1361"/>
      <c r="V20" s="1360"/>
      <c r="W20" s="1361"/>
      <c r="X20" s="1354"/>
      <c r="Y20" s="3845"/>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40"/>
      <c r="Q21" s="739" t="str">
        <f>B21</f>
        <v>基础设施水平</v>
      </c>
      <c r="R21" s="1360" t="s">
        <v>1481</v>
      </c>
      <c r="S21" s="1361">
        <f>F21</f>
        <v>100</v>
      </c>
      <c r="T21" s="1360" t="s">
        <v>1481</v>
      </c>
      <c r="U21" s="1361">
        <f>H21</f>
        <v>100</v>
      </c>
      <c r="V21" s="1360" t="s">
        <v>1481</v>
      </c>
      <c r="W21" s="1361">
        <f>J21</f>
        <v>100</v>
      </c>
      <c r="X21" s="1354"/>
      <c r="Y21" s="3845"/>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40"/>
      <c r="Q22" s="739"/>
      <c r="R22" s="1360"/>
      <c r="S22" s="1361"/>
      <c r="T22" s="1360"/>
      <c r="U22" s="1361"/>
      <c r="V22" s="1360"/>
      <c r="W22" s="1361"/>
      <c r="X22" s="1354"/>
      <c r="Y22" s="3845"/>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40"/>
      <c r="Q23" s="739" t="str">
        <f>B23</f>
        <v>环境质量</v>
      </c>
      <c r="R23" s="1360" t="s">
        <v>1481</v>
      </c>
      <c r="S23" s="1361">
        <f>F23</f>
        <v>100</v>
      </c>
      <c r="T23" s="1360" t="s">
        <v>1481</v>
      </c>
      <c r="U23" s="1361">
        <f>H23</f>
        <v>100</v>
      </c>
      <c r="V23" s="1360" t="s">
        <v>1481</v>
      </c>
      <c r="W23" s="1361">
        <f>J23</f>
        <v>100</v>
      </c>
      <c r="X23" s="1354"/>
      <c r="Y23" s="3845"/>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40"/>
      <c r="Q24" s="739"/>
      <c r="R24" s="1360"/>
      <c r="S24" s="1361"/>
      <c r="T24" s="1360"/>
      <c r="U24" s="1361"/>
      <c r="V24" s="1360"/>
      <c r="W24" s="1361"/>
      <c r="X24" s="1354"/>
      <c r="Y24" s="3845"/>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40"/>
      <c r="Q25" s="739" t="str">
        <f>B25</f>
        <v>毗邻道路的类型与等级</v>
      </c>
      <c r="R25" s="1360" t="s">
        <v>1481</v>
      </c>
      <c r="S25" s="1361">
        <f>F25</f>
        <v>100</v>
      </c>
      <c r="T25" s="1360" t="s">
        <v>1481</v>
      </c>
      <c r="U25" s="1361">
        <f>H25</f>
        <v>100</v>
      </c>
      <c r="V25" s="1360" t="s">
        <v>1481</v>
      </c>
      <c r="W25" s="1361">
        <f>J25</f>
        <v>100</v>
      </c>
      <c r="X25" s="1354"/>
      <c r="Y25" s="3845"/>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40"/>
      <c r="Q26" s="739"/>
      <c r="R26" s="1360"/>
      <c r="S26" s="1361"/>
      <c r="T26" s="1360"/>
      <c r="U26" s="1361"/>
      <c r="V26" s="1360"/>
      <c r="W26" s="1361"/>
      <c r="X26" s="1354"/>
      <c r="Y26" s="3845"/>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40"/>
      <c r="Q27" s="739" t="str">
        <f t="shared" ref="Q27:Q47" si="11">B27</f>
        <v>楼层</v>
      </c>
      <c r="R27" s="1360" t="s">
        <v>1481</v>
      </c>
      <c r="S27" s="1361">
        <f>F27</f>
        <v>100</v>
      </c>
      <c r="T27" s="1360" t="s">
        <v>1481</v>
      </c>
      <c r="U27" s="1361">
        <f>H27</f>
        <v>100</v>
      </c>
      <c r="V27" s="1360" t="s">
        <v>1481</v>
      </c>
      <c r="W27" s="1361">
        <f>J27</f>
        <v>100</v>
      </c>
      <c r="X27" s="1354"/>
      <c r="Y27" s="3845"/>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40"/>
      <c r="Q28" s="1359" t="str">
        <f t="shared" si="11"/>
        <v>朝向</v>
      </c>
      <c r="R28" s="1355" t="s">
        <v>1481</v>
      </c>
      <c r="S28" s="1356">
        <f>F28</f>
        <v>100</v>
      </c>
      <c r="T28" s="1355" t="s">
        <v>1481</v>
      </c>
      <c r="U28" s="1356">
        <f>H28</f>
        <v>100</v>
      </c>
      <c r="V28" s="1355" t="s">
        <v>1481</v>
      </c>
      <c r="W28" s="1356">
        <f>J28</f>
        <v>100</v>
      </c>
      <c r="X28" s="1357"/>
      <c r="Y28" s="3845"/>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40"/>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45"/>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40"/>
      <c r="Q30" s="739">
        <f t="shared" si="11"/>
        <v>111</v>
      </c>
      <c r="R30" s="1360" t="s">
        <v>1481</v>
      </c>
      <c r="S30" s="1361">
        <f t="shared" si="12"/>
        <v>100</v>
      </c>
      <c r="T30" s="1360" t="s">
        <v>1481</v>
      </c>
      <c r="U30" s="1361">
        <f t="shared" si="13"/>
        <v>100</v>
      </c>
      <c r="V30" s="1360" t="s">
        <v>1481</v>
      </c>
      <c r="W30" s="1361">
        <f t="shared" si="14"/>
        <v>100</v>
      </c>
      <c r="X30" s="1354"/>
      <c r="Y30" s="3845"/>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40"/>
      <c r="Q31" s="739">
        <f t="shared" si="11"/>
        <v>111</v>
      </c>
      <c r="R31" s="1360" t="s">
        <v>1481</v>
      </c>
      <c r="S31" s="1361">
        <f t="shared" si="12"/>
        <v>100</v>
      </c>
      <c r="T31" s="1360" t="s">
        <v>1481</v>
      </c>
      <c r="U31" s="1361">
        <f t="shared" si="13"/>
        <v>100</v>
      </c>
      <c r="V31" s="1360" t="s">
        <v>1481</v>
      </c>
      <c r="W31" s="1361">
        <f t="shared" si="14"/>
        <v>100</v>
      </c>
      <c r="X31" s="1354"/>
      <c r="Y31" s="3845"/>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40"/>
      <c r="Q32" s="739">
        <f t="shared" si="11"/>
        <v>111</v>
      </c>
      <c r="R32" s="1360" t="s">
        <v>1481</v>
      </c>
      <c r="S32" s="1361">
        <f t="shared" si="12"/>
        <v>100</v>
      </c>
      <c r="T32" s="1360" t="s">
        <v>1481</v>
      </c>
      <c r="U32" s="1361">
        <f t="shared" si="13"/>
        <v>100</v>
      </c>
      <c r="V32" s="1360" t="s">
        <v>1481</v>
      </c>
      <c r="W32" s="1361">
        <f t="shared" si="14"/>
        <v>100</v>
      </c>
      <c r="X32" s="1354"/>
      <c r="Y32" s="3845"/>
      <c r="Z32" s="1344">
        <f t="shared" si="15"/>
        <v>111</v>
      </c>
      <c r="AA32" s="1371">
        <f t="shared" si="3"/>
        <v>1</v>
      </c>
      <c r="AB32" s="1371">
        <f t="shared" si="4"/>
        <v>1</v>
      </c>
      <c r="AC32" s="1715">
        <f t="shared" si="5"/>
        <v>1</v>
      </c>
    </row>
    <row r="33" spans="1:29" ht="15">
      <c r="A33" s="1199" t="s">
        <v>1506</v>
      </c>
      <c r="B33" s="1178" t="s">
        <v>1507</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41" t="s">
        <v>1509</v>
      </c>
      <c r="Q33" s="739" t="str">
        <f t="shared" si="11"/>
        <v>建筑类型</v>
      </c>
      <c r="R33" s="1360" t="s">
        <v>1481</v>
      </c>
      <c r="S33" s="1361">
        <f t="shared" si="12"/>
        <v>100</v>
      </c>
      <c r="T33" s="1360" t="s">
        <v>1481</v>
      </c>
      <c r="U33" s="1361">
        <f t="shared" si="13"/>
        <v>100</v>
      </c>
      <c r="V33" s="1360" t="s">
        <v>1481</v>
      </c>
      <c r="W33" s="1361">
        <f t="shared" si="14"/>
        <v>100</v>
      </c>
      <c r="X33" s="1354"/>
      <c r="Y33" s="3846"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42"/>
      <c r="Q34" s="1588" t="str">
        <f t="shared" si="11"/>
        <v>项目建筑规模</v>
      </c>
      <c r="R34" s="1362" t="s">
        <v>1481</v>
      </c>
      <c r="S34" s="1363" t="e">
        <f t="shared" si="12"/>
        <v>#N/A</v>
      </c>
      <c r="T34" s="1362" t="s">
        <v>1481</v>
      </c>
      <c r="U34" s="1363" t="e">
        <f t="shared" si="13"/>
        <v>#N/A</v>
      </c>
      <c r="V34" s="1362" t="s">
        <v>1481</v>
      </c>
      <c r="W34" s="1363" t="e">
        <f t="shared" si="14"/>
        <v>#N/A</v>
      </c>
      <c r="X34" s="1364"/>
      <c r="Y34" s="3846"/>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42"/>
      <c r="Q35" s="739" t="str">
        <f t="shared" si="11"/>
        <v>建筑结构</v>
      </c>
      <c r="R35" s="1360" t="s">
        <v>1481</v>
      </c>
      <c r="S35" s="1361">
        <f t="shared" si="12"/>
        <v>100</v>
      </c>
      <c r="T35" s="1360" t="s">
        <v>1481</v>
      </c>
      <c r="U35" s="1361">
        <f t="shared" si="13"/>
        <v>100</v>
      </c>
      <c r="V35" s="1360" t="s">
        <v>1481</v>
      </c>
      <c r="W35" s="1361">
        <f t="shared" si="14"/>
        <v>100</v>
      </c>
      <c r="X35" s="1354"/>
      <c r="Y35" s="3846"/>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42"/>
      <c r="Q36" s="739" t="str">
        <f t="shared" si="11"/>
        <v>公共部分装修</v>
      </c>
      <c r="R36" s="1360" t="s">
        <v>1481</v>
      </c>
      <c r="S36" s="1361">
        <f t="shared" si="12"/>
        <v>100</v>
      </c>
      <c r="T36" s="1360" t="s">
        <v>1481</v>
      </c>
      <c r="U36" s="1361">
        <f t="shared" si="13"/>
        <v>100</v>
      </c>
      <c r="V36" s="1360" t="s">
        <v>1481</v>
      </c>
      <c r="W36" s="1361">
        <f t="shared" si="14"/>
        <v>100</v>
      </c>
      <c r="X36" s="1354"/>
      <c r="Y36" s="3846"/>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42"/>
      <c r="Q37" s="739" t="str">
        <f t="shared" si="11"/>
        <v>成新度</v>
      </c>
      <c r="R37" s="1360" t="s">
        <v>1481</v>
      </c>
      <c r="S37" s="1361" t="e">
        <f t="shared" si="12"/>
        <v>#N/A</v>
      </c>
      <c r="T37" s="1360" t="s">
        <v>1481</v>
      </c>
      <c r="U37" s="1361" t="e">
        <f t="shared" si="13"/>
        <v>#N/A</v>
      </c>
      <c r="V37" s="1360" t="s">
        <v>1481</v>
      </c>
      <c r="W37" s="1361" t="e">
        <f t="shared" si="14"/>
        <v>#N/A</v>
      </c>
      <c r="X37" s="1354"/>
      <c r="Y37" s="3846"/>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42"/>
      <c r="Q38" s="1359" t="str">
        <f t="shared" si="11"/>
        <v>写字楼等级</v>
      </c>
      <c r="R38" s="1355" t="s">
        <v>1481</v>
      </c>
      <c r="S38" s="1356">
        <f t="shared" si="12"/>
        <v>100</v>
      </c>
      <c r="T38" s="1355" t="s">
        <v>1481</v>
      </c>
      <c r="U38" s="1356">
        <f t="shared" si="13"/>
        <v>100</v>
      </c>
      <c r="V38" s="1355" t="s">
        <v>1481</v>
      </c>
      <c r="W38" s="1356">
        <f t="shared" si="14"/>
        <v>100</v>
      </c>
      <c r="X38" s="1357"/>
      <c r="Y38" s="3846"/>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42" t="s">
        <v>1509</v>
      </c>
      <c r="Q39" s="739" t="str">
        <f t="shared" si="11"/>
        <v>物业管理</v>
      </c>
      <c r="R39" s="1360" t="s">
        <v>1481</v>
      </c>
      <c r="S39" s="1361">
        <f t="shared" si="12"/>
        <v>100</v>
      </c>
      <c r="T39" s="1360" t="s">
        <v>1481</v>
      </c>
      <c r="U39" s="1361">
        <f t="shared" si="13"/>
        <v>100</v>
      </c>
      <c r="V39" s="1360" t="s">
        <v>1481</v>
      </c>
      <c r="W39" s="1361">
        <f t="shared" si="14"/>
        <v>100</v>
      </c>
      <c r="X39" s="1354"/>
      <c r="Y39" s="3846"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42"/>
      <c r="Q40" s="739" t="str">
        <f t="shared" si="11"/>
        <v>市政基础设施</v>
      </c>
      <c r="R40" s="1360" t="s">
        <v>1481</v>
      </c>
      <c r="S40" s="1361">
        <f t="shared" si="12"/>
        <v>100</v>
      </c>
      <c r="T40" s="1360" t="s">
        <v>1481</v>
      </c>
      <c r="U40" s="1361">
        <f t="shared" si="13"/>
        <v>100</v>
      </c>
      <c r="V40" s="1360" t="s">
        <v>1481</v>
      </c>
      <c r="W40" s="1361">
        <f t="shared" si="14"/>
        <v>100</v>
      </c>
      <c r="X40" s="1354"/>
      <c r="Y40" s="3846"/>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42"/>
      <c r="Q41" s="739" t="str">
        <f t="shared" si="11"/>
        <v>层高</v>
      </c>
      <c r="R41" s="1360" t="s">
        <v>1481</v>
      </c>
      <c r="S41" s="1361">
        <f t="shared" si="12"/>
        <v>100</v>
      </c>
      <c r="T41" s="1360" t="s">
        <v>1481</v>
      </c>
      <c r="U41" s="1361">
        <f t="shared" si="13"/>
        <v>100</v>
      </c>
      <c r="V41" s="1360" t="s">
        <v>1481</v>
      </c>
      <c r="W41" s="1361">
        <f t="shared" si="14"/>
        <v>100</v>
      </c>
      <c r="X41" s="1354"/>
      <c r="Y41" s="3846"/>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42"/>
      <c r="Q42" s="1588" t="str">
        <f t="shared" si="11"/>
        <v>单套建筑面积</v>
      </c>
      <c r="R42" s="1362" t="s">
        <v>1481</v>
      </c>
      <c r="S42" s="1363">
        <f t="shared" si="12"/>
        <v>100</v>
      </c>
      <c r="T42" s="1362" t="s">
        <v>1481</v>
      </c>
      <c r="U42" s="1363">
        <f t="shared" si="13"/>
        <v>100</v>
      </c>
      <c r="V42" s="1362" t="s">
        <v>1481</v>
      </c>
      <c r="W42" s="1363">
        <f t="shared" si="14"/>
        <v>100</v>
      </c>
      <c r="X42" s="1364"/>
      <c r="Y42" s="3846"/>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42"/>
      <c r="Q43" s="739" t="str">
        <f t="shared" si="11"/>
        <v>内部装修</v>
      </c>
      <c r="R43" s="1360" t="s">
        <v>1481</v>
      </c>
      <c r="S43" s="1361">
        <f t="shared" si="12"/>
        <v>100</v>
      </c>
      <c r="T43" s="1360" t="s">
        <v>1481</v>
      </c>
      <c r="U43" s="1361">
        <f t="shared" si="13"/>
        <v>100</v>
      </c>
      <c r="V43" s="1360" t="s">
        <v>1481</v>
      </c>
      <c r="W43" s="1361">
        <f t="shared" si="14"/>
        <v>100</v>
      </c>
      <c r="X43" s="1354"/>
      <c r="Y43" s="3846"/>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42"/>
      <c r="Q44" s="739" t="str">
        <f t="shared" si="11"/>
        <v>内部装修维护情况</v>
      </c>
      <c r="R44" s="1360" t="s">
        <v>1481</v>
      </c>
      <c r="S44" s="1361">
        <f t="shared" si="12"/>
        <v>100</v>
      </c>
      <c r="T44" s="1360" t="s">
        <v>1481</v>
      </c>
      <c r="U44" s="1361">
        <f t="shared" si="13"/>
        <v>100</v>
      </c>
      <c r="V44" s="1360" t="s">
        <v>1481</v>
      </c>
      <c r="W44" s="1361">
        <f t="shared" si="14"/>
        <v>100</v>
      </c>
      <c r="X44" s="1354"/>
      <c r="Y44" s="3846"/>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42"/>
      <c r="Q45" s="1359">
        <f t="shared" si="11"/>
        <v>111</v>
      </c>
      <c r="R45" s="1355" t="s">
        <v>1481</v>
      </c>
      <c r="S45" s="1356">
        <f t="shared" si="12"/>
        <v>100</v>
      </c>
      <c r="T45" s="1355" t="s">
        <v>1481</v>
      </c>
      <c r="U45" s="1356">
        <f t="shared" si="13"/>
        <v>100</v>
      </c>
      <c r="V45" s="1355" t="s">
        <v>1481</v>
      </c>
      <c r="W45" s="1356">
        <f t="shared" si="14"/>
        <v>100</v>
      </c>
      <c r="X45" s="1357"/>
      <c r="Y45" s="3846"/>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42"/>
      <c r="Q46" s="739">
        <f t="shared" si="11"/>
        <v>111</v>
      </c>
      <c r="R46" s="1360" t="s">
        <v>1481</v>
      </c>
      <c r="S46" s="1361">
        <f t="shared" si="12"/>
        <v>100</v>
      </c>
      <c r="T46" s="1360" t="s">
        <v>1481</v>
      </c>
      <c r="U46" s="1361">
        <f t="shared" si="13"/>
        <v>100</v>
      </c>
      <c r="V46" s="1360" t="s">
        <v>1481</v>
      </c>
      <c r="W46" s="1361">
        <f t="shared" si="14"/>
        <v>100</v>
      </c>
      <c r="X46" s="1354"/>
      <c r="Y46" s="3846"/>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43"/>
      <c r="Q47" s="739">
        <f t="shared" si="11"/>
        <v>111</v>
      </c>
      <c r="R47" s="1360" t="s">
        <v>1481</v>
      </c>
      <c r="S47" s="1361">
        <f t="shared" si="12"/>
        <v>100</v>
      </c>
      <c r="T47" s="1360" t="s">
        <v>1481</v>
      </c>
      <c r="U47" s="1361">
        <f t="shared" si="13"/>
        <v>100</v>
      </c>
      <c r="V47" s="1360" t="s">
        <v>1481</v>
      </c>
      <c r="W47" s="1361">
        <f t="shared" si="14"/>
        <v>100</v>
      </c>
      <c r="X47" s="1354"/>
      <c r="Y47" s="3847"/>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38" t="str">
        <f>A48</f>
        <v>成交单价（元/平方米）</v>
      </c>
      <c r="Q48" s="3831"/>
      <c r="R48" s="3832">
        <f>E48</f>
        <v>0</v>
      </c>
      <c r="S48" s="3832"/>
      <c r="T48" s="3832">
        <f>G48</f>
        <v>0</v>
      </c>
      <c r="U48" s="3832"/>
      <c r="V48" s="3832">
        <f>I48</f>
        <v>0</v>
      </c>
      <c r="W48" s="3832"/>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38" t="str">
        <f>A49</f>
        <v>比较价值（元/平方米）</v>
      </c>
      <c r="Q49" s="3831"/>
      <c r="R49" s="3832" t="e">
        <f>IF(F1="售价",ROUND(PRODUCT(R48,AA7:AA47),0),ROUND(PRODUCT(R48,AA7:AA47),1))</f>
        <v>#DIV/0!</v>
      </c>
      <c r="S49" s="3832"/>
      <c r="T49" s="3832" t="e">
        <f>IF(F1="售价",ROUND(PRODUCT(T48,AB7:AB47),0),ROUND(PRODUCT(T48,AB7:AB47),1))</f>
        <v>#DIV/0!</v>
      </c>
      <c r="U49" s="3832"/>
      <c r="V49" s="3832" t="e">
        <f>IF(F1="售价",ROUND(PRODUCT(V48,AC7:AC47),0),ROUND(PRODUCT(V48,AC7:AC47),1))</f>
        <v>#DIV/0!</v>
      </c>
      <c r="W49" s="3832"/>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74" t="str">
        <f>A50</f>
        <v>估价对象XX用房的比较价值（楼面单价，元/平方米）</v>
      </c>
      <c r="Q50" s="3875"/>
      <c r="R50" s="3876" t="e">
        <f>IF(F1="售价",ROUND(IF(D49="简单平均",AVERAGE(R49:V49),R49*F49+T49*H49+V49*J49),0),ROUND(IF(D49="简单平均",AVERAGE(R49:V49),R49*F49+T49*H49+V49*J49),1))</f>
        <v>#DIV/0!</v>
      </c>
      <c r="S50" s="3876"/>
      <c r="T50" s="3876"/>
      <c r="U50" s="3876"/>
      <c r="V50" s="3876"/>
      <c r="W50" s="3876"/>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2006-11</v>
      </c>
      <c r="D59" s="1578">
        <f>EDATE(C59,-1)</f>
        <v>38991</v>
      </c>
      <c r="E59" s="1578">
        <f>EDATE(D59,-1)</f>
        <v>38961</v>
      </c>
      <c r="F59" s="1578">
        <f t="shared" ref="F59:O59" si="16">EDATE(E59,-1)</f>
        <v>38930</v>
      </c>
      <c r="G59" s="1578">
        <f t="shared" si="16"/>
        <v>38899</v>
      </c>
      <c r="H59" s="1578">
        <f t="shared" si="16"/>
        <v>38869</v>
      </c>
      <c r="I59" s="1578">
        <f t="shared" si="16"/>
        <v>38838</v>
      </c>
      <c r="J59" s="1578">
        <f t="shared" si="16"/>
        <v>38808</v>
      </c>
      <c r="K59" s="1578">
        <f t="shared" si="16"/>
        <v>38777</v>
      </c>
      <c r="L59" s="1578">
        <f t="shared" si="16"/>
        <v>38749</v>
      </c>
      <c r="M59" s="1578">
        <f t="shared" si="16"/>
        <v>38718</v>
      </c>
      <c r="N59" s="1578">
        <f t="shared" si="16"/>
        <v>38687</v>
      </c>
      <c r="O59" s="1578">
        <f t="shared" si="16"/>
        <v>38657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1506</v>
      </c>
      <c r="B101" s="1391" t="s">
        <v>1507</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估价对象为北京市房地产，为所有。根据《国有土地使用证》[]，估价对象（分摊）出让国有建设用地使用权面积为0平方米，建筑面积为58.3平方米。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估价对象为北京市房地产,属开发建设的，该项目尚在开发建设中。根据《国有土地使用证》[]，估价对象（分摊）出让国有建设用地使用权面积为0平方米，规划建筑面积为58.3平方米。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2006年11月10日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本次估价的“房地产价值”是指在正常市场情况下，在价值时点2006年11月10日，估价对象规划用途为，土地取得方式为划拨，假定未设立法定优先受偿款下的房地产市场价值。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58.3</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853" t="s">
        <v>1470</v>
      </c>
      <c r="D4" s="3854"/>
      <c r="E4" s="3855" t="s">
        <v>1471</v>
      </c>
      <c r="F4" s="3856"/>
      <c r="G4" s="3853" t="s">
        <v>1472</v>
      </c>
      <c r="H4" s="3854"/>
      <c r="I4" s="3853" t="s">
        <v>1473</v>
      </c>
      <c r="J4" s="3854"/>
      <c r="K4" s="1310" t="s">
        <v>1474</v>
      </c>
      <c r="L4" s="1665"/>
      <c r="M4" s="1666"/>
      <c r="N4" s="1666"/>
      <c r="O4" s="1666"/>
      <c r="P4" s="3818" t="s">
        <v>1475</v>
      </c>
      <c r="Q4" s="3819"/>
      <c r="R4" s="3824" t="s">
        <v>1471</v>
      </c>
      <c r="S4" s="3825"/>
      <c r="T4" s="3824" t="s">
        <v>1472</v>
      </c>
      <c r="U4" s="3825"/>
      <c r="V4" s="3830" t="s">
        <v>1473</v>
      </c>
      <c r="W4" s="3830"/>
      <c r="X4" s="1354"/>
      <c r="Y4" s="3824" t="s">
        <v>1475</v>
      </c>
      <c r="Z4" s="3825"/>
      <c r="AA4" s="3815" t="s">
        <v>1471</v>
      </c>
      <c r="AB4" s="3816" t="s">
        <v>1472</v>
      </c>
      <c r="AC4" s="3815" t="s">
        <v>1473</v>
      </c>
    </row>
    <row r="5" spans="1:29" ht="15">
      <c r="A5" s="1165"/>
      <c r="B5" s="1166"/>
      <c r="C5" s="3861" t="s">
        <v>1476</v>
      </c>
      <c r="D5" s="3858"/>
      <c r="E5" s="3862" t="s">
        <v>1783</v>
      </c>
      <c r="F5" s="3860"/>
      <c r="G5" s="3861" t="s">
        <v>1784</v>
      </c>
      <c r="H5" s="3858"/>
      <c r="I5" s="3861" t="s">
        <v>1785</v>
      </c>
      <c r="J5" s="3858"/>
      <c r="K5" s="1310"/>
      <c r="L5" s="1665"/>
      <c r="M5" s="1666"/>
      <c r="N5" s="1666"/>
      <c r="O5" s="1666"/>
      <c r="P5" s="3820"/>
      <c r="Q5" s="3821"/>
      <c r="R5" s="3826"/>
      <c r="S5" s="3827"/>
      <c r="T5" s="3826"/>
      <c r="U5" s="3827"/>
      <c r="V5" s="3830"/>
      <c r="W5" s="3830"/>
      <c r="X5" s="1354"/>
      <c r="Y5" s="3826"/>
      <c r="Z5" s="3827"/>
      <c r="AA5" s="3816"/>
      <c r="AB5" s="3816"/>
      <c r="AC5" s="3816"/>
    </row>
    <row r="6" spans="1:29" ht="15">
      <c r="A6" s="1167"/>
      <c r="B6" s="1168"/>
      <c r="C6" s="3848" t="s">
        <v>1477</v>
      </c>
      <c r="D6" s="3849"/>
      <c r="E6" s="3850" t="s">
        <v>1477</v>
      </c>
      <c r="F6" s="3851"/>
      <c r="G6" s="3848" t="s">
        <v>1477</v>
      </c>
      <c r="H6" s="3849"/>
      <c r="I6" s="3848" t="s">
        <v>1477</v>
      </c>
      <c r="J6" s="3849"/>
      <c r="K6" s="1310" t="s">
        <v>1478</v>
      </c>
      <c r="L6" s="1665"/>
      <c r="M6" s="1666"/>
      <c r="N6" s="1666"/>
      <c r="O6" s="1666"/>
      <c r="P6" s="3822"/>
      <c r="Q6" s="3823"/>
      <c r="R6" s="3826"/>
      <c r="S6" s="3827"/>
      <c r="T6" s="3828"/>
      <c r="U6" s="3829"/>
      <c r="V6" s="3830"/>
      <c r="W6" s="3830"/>
      <c r="X6" s="1354"/>
      <c r="Y6" s="3828"/>
      <c r="Z6" s="3829"/>
      <c r="AA6" s="3817"/>
      <c r="AB6" s="3817"/>
      <c r="AC6" s="3817"/>
    </row>
    <row r="7" spans="1:29" s="1144" customFormat="1" ht="15">
      <c r="A7" s="1169" t="s">
        <v>1479</v>
      </c>
      <c r="B7" s="1170"/>
      <c r="C7" s="1171">
        <f>'数据-取费表'!B2</f>
        <v>39031</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36" t="s">
        <v>1480</v>
      </c>
      <c r="Q7" s="3852"/>
      <c r="R7" s="1355" t="s">
        <v>1481</v>
      </c>
      <c r="S7" s="1356">
        <f t="shared" ref="S7:S15" si="0">F7</f>
        <v>0</v>
      </c>
      <c r="T7" s="1355" t="s">
        <v>1481</v>
      </c>
      <c r="U7" s="1356">
        <f t="shared" ref="U7:U15" si="1">H7</f>
        <v>0</v>
      </c>
      <c r="V7" s="1355" t="s">
        <v>1481</v>
      </c>
      <c r="W7" s="1356">
        <f t="shared" ref="W7:W15" si="2">J7</f>
        <v>0</v>
      </c>
      <c r="X7" s="1357"/>
      <c r="Y7" s="3836" t="s">
        <v>1480</v>
      </c>
      <c r="Z7" s="3837"/>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36" t="s">
        <v>1484</v>
      </c>
      <c r="Q8" s="3837"/>
      <c r="R8" s="1355" t="s">
        <v>1481</v>
      </c>
      <c r="S8" s="1356">
        <f t="shared" si="0"/>
        <v>100</v>
      </c>
      <c r="T8" s="1355" t="s">
        <v>1481</v>
      </c>
      <c r="U8" s="1356">
        <f t="shared" si="1"/>
        <v>100</v>
      </c>
      <c r="V8" s="1355" t="s">
        <v>1481</v>
      </c>
      <c r="W8" s="1356">
        <f t="shared" si="2"/>
        <v>100</v>
      </c>
      <c r="X8" s="1357"/>
      <c r="Y8" s="3836" t="s">
        <v>1484</v>
      </c>
      <c r="Z8" s="3837"/>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31"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31"/>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31"/>
      <c r="Q11" s="1359" t="str">
        <f t="shared" si="6"/>
        <v>容积率</v>
      </c>
      <c r="R11" s="1355" t="s">
        <v>1481</v>
      </c>
      <c r="S11" s="1356">
        <f t="shared" si="0"/>
        <v>100</v>
      </c>
      <c r="T11" s="1355" t="s">
        <v>1481</v>
      </c>
      <c r="U11" s="1356">
        <f t="shared" si="1"/>
        <v>100</v>
      </c>
      <c r="V11" s="1355" t="s">
        <v>1481</v>
      </c>
      <c r="W11" s="1356">
        <f t="shared" si="2"/>
        <v>100</v>
      </c>
      <c r="X11" s="1357"/>
      <c r="Y11" s="3701"/>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31"/>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31"/>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31"/>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44" t="s">
        <v>1493</v>
      </c>
      <c r="Q15" s="739" t="str">
        <f t="shared" si="6"/>
        <v>产业集聚程度</v>
      </c>
      <c r="R15" s="1360" t="s">
        <v>1481</v>
      </c>
      <c r="S15" s="1361">
        <f t="shared" si="0"/>
        <v>100</v>
      </c>
      <c r="T15" s="1360" t="s">
        <v>1481</v>
      </c>
      <c r="U15" s="1361">
        <f t="shared" si="1"/>
        <v>100</v>
      </c>
      <c r="V15" s="1360" t="s">
        <v>1481</v>
      </c>
      <c r="W15" s="1361">
        <f t="shared" si="2"/>
        <v>100</v>
      </c>
      <c r="X15" s="1354"/>
      <c r="Y15" s="3844"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45"/>
      <c r="Q16" s="739"/>
      <c r="R16" s="1360"/>
      <c r="S16" s="1361"/>
      <c r="T16" s="1360"/>
      <c r="U16" s="1361"/>
      <c r="V16" s="1360"/>
      <c r="W16" s="1361"/>
      <c r="X16" s="1354"/>
      <c r="Y16" s="3845"/>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45"/>
      <c r="Q17" s="739" t="str">
        <f>B17</f>
        <v>交通便捷度</v>
      </c>
      <c r="R17" s="1360" t="s">
        <v>1481</v>
      </c>
      <c r="S17" s="1361">
        <f>F17</f>
        <v>100</v>
      </c>
      <c r="T17" s="1360" t="s">
        <v>1481</v>
      </c>
      <c r="U17" s="1361">
        <f>H17</f>
        <v>100</v>
      </c>
      <c r="V17" s="1360" t="s">
        <v>1481</v>
      </c>
      <c r="W17" s="1361">
        <f>J17</f>
        <v>100</v>
      </c>
      <c r="X17" s="1354"/>
      <c r="Y17" s="3845"/>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45"/>
      <c r="Q18" s="739"/>
      <c r="R18" s="1360"/>
      <c r="S18" s="1361"/>
      <c r="T18" s="1360"/>
      <c r="U18" s="1361"/>
      <c r="V18" s="1360"/>
      <c r="W18" s="1361"/>
      <c r="X18" s="1354"/>
      <c r="Y18" s="3845"/>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45"/>
      <c r="Q19" s="739" t="str">
        <f>B19</f>
        <v>公共配套设施</v>
      </c>
      <c r="R19" s="1360" t="s">
        <v>1481</v>
      </c>
      <c r="S19" s="1361">
        <f>F19</f>
        <v>100</v>
      </c>
      <c r="T19" s="1360" t="s">
        <v>1481</v>
      </c>
      <c r="U19" s="1361">
        <f>H19</f>
        <v>100</v>
      </c>
      <c r="V19" s="1360" t="s">
        <v>1481</v>
      </c>
      <c r="W19" s="1361">
        <f>J19</f>
        <v>100</v>
      </c>
      <c r="X19" s="1354"/>
      <c r="Y19" s="3845"/>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45"/>
      <c r="Q20" s="739"/>
      <c r="R20" s="1360"/>
      <c r="S20" s="1361"/>
      <c r="T20" s="1360"/>
      <c r="U20" s="1361"/>
      <c r="V20" s="1360"/>
      <c r="W20" s="1361"/>
      <c r="X20" s="1354"/>
      <c r="Y20" s="3845"/>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45"/>
      <c r="Q21" s="739" t="str">
        <f>B21</f>
        <v>基础设施水平</v>
      </c>
      <c r="R21" s="1360" t="s">
        <v>1481</v>
      </c>
      <c r="S21" s="1361">
        <f>F21</f>
        <v>100</v>
      </c>
      <c r="T21" s="1360" t="s">
        <v>1481</v>
      </c>
      <c r="U21" s="1361">
        <f>H21</f>
        <v>100</v>
      </c>
      <c r="V21" s="1360" t="s">
        <v>1481</v>
      </c>
      <c r="W21" s="1361">
        <f>J21</f>
        <v>100</v>
      </c>
      <c r="X21" s="1354"/>
      <c r="Y21" s="3845"/>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45"/>
      <c r="Q22" s="739"/>
      <c r="R22" s="1360"/>
      <c r="S22" s="1361"/>
      <c r="T22" s="1360"/>
      <c r="U22" s="1361"/>
      <c r="V22" s="1360"/>
      <c r="W22" s="1361"/>
      <c r="X22" s="1354"/>
      <c r="Y22" s="3845"/>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45"/>
      <c r="Q23" s="739" t="str">
        <f>B23</f>
        <v>环境质量</v>
      </c>
      <c r="R23" s="1360" t="s">
        <v>1481</v>
      </c>
      <c r="S23" s="1361">
        <f>F23</f>
        <v>100</v>
      </c>
      <c r="T23" s="1360" t="s">
        <v>1481</v>
      </c>
      <c r="U23" s="1361">
        <f>H23</f>
        <v>100</v>
      </c>
      <c r="V23" s="1360" t="s">
        <v>1481</v>
      </c>
      <c r="W23" s="1361">
        <f>J23</f>
        <v>100</v>
      </c>
      <c r="X23" s="1354"/>
      <c r="Y23" s="3845"/>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45"/>
      <c r="Q24" s="739"/>
      <c r="R24" s="1360"/>
      <c r="S24" s="1361"/>
      <c r="T24" s="1360"/>
      <c r="U24" s="1361"/>
      <c r="V24" s="1360"/>
      <c r="W24" s="1361"/>
      <c r="X24" s="1354"/>
      <c r="Y24" s="3845"/>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45"/>
      <c r="Q25" s="739">
        <f>B25</f>
        <v>111</v>
      </c>
      <c r="R25" s="1360" t="s">
        <v>1481</v>
      </c>
      <c r="S25" s="1361">
        <f>F25</f>
        <v>100</v>
      </c>
      <c r="T25" s="1360" t="s">
        <v>1481</v>
      </c>
      <c r="U25" s="1361">
        <f>H25</f>
        <v>100</v>
      </c>
      <c r="V25" s="1360" t="s">
        <v>1481</v>
      </c>
      <c r="W25" s="1361">
        <f>J25</f>
        <v>100</v>
      </c>
      <c r="X25" s="1354"/>
      <c r="Y25" s="3845"/>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45"/>
      <c r="Q26" s="739">
        <f t="shared" ref="Q26:Q40" si="11">B26</f>
        <v>111</v>
      </c>
      <c r="R26" s="1360" t="s">
        <v>1481</v>
      </c>
      <c r="S26" s="1361">
        <f>F26</f>
        <v>100</v>
      </c>
      <c r="T26" s="1360" t="s">
        <v>1481</v>
      </c>
      <c r="U26" s="1361">
        <f>H26</f>
        <v>100</v>
      </c>
      <c r="V26" s="1360" t="s">
        <v>1481</v>
      </c>
      <c r="W26" s="1361">
        <f>J26</f>
        <v>100</v>
      </c>
      <c r="X26" s="1354"/>
      <c r="Y26" s="3845"/>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45"/>
      <c r="Q27" s="1359">
        <f t="shared" si="11"/>
        <v>111</v>
      </c>
      <c r="R27" s="1355" t="s">
        <v>1481</v>
      </c>
      <c r="S27" s="1356">
        <f>F27</f>
        <v>100</v>
      </c>
      <c r="T27" s="1355" t="s">
        <v>1481</v>
      </c>
      <c r="U27" s="1356">
        <f>H27</f>
        <v>100</v>
      </c>
      <c r="V27" s="1355" t="s">
        <v>1481</v>
      </c>
      <c r="W27" s="1356">
        <f>J27</f>
        <v>100</v>
      </c>
      <c r="X27" s="1357"/>
      <c r="Y27" s="3845"/>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45"/>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45"/>
      <c r="Z28" s="1344">
        <f t="shared" ref="Z28:Z40" si="15">Q28</f>
        <v>111</v>
      </c>
      <c r="AA28" s="1371">
        <f t="shared" si="3"/>
        <v>1</v>
      </c>
      <c r="AB28" s="1371">
        <f t="shared" si="4"/>
        <v>1</v>
      </c>
      <c r="AC28" s="1371">
        <f t="shared" si="5"/>
        <v>1</v>
      </c>
    </row>
    <row r="29" spans="1:29" ht="28.5">
      <c r="A29" s="1553" t="s">
        <v>1506</v>
      </c>
      <c r="B29" s="1178" t="s">
        <v>1507</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78" t="s">
        <v>1509</v>
      </c>
      <c r="Q29" s="739" t="str">
        <f t="shared" si="11"/>
        <v>建筑类型</v>
      </c>
      <c r="R29" s="1360" t="s">
        <v>1481</v>
      </c>
      <c r="S29" s="1361">
        <f t="shared" si="12"/>
        <v>100</v>
      </c>
      <c r="T29" s="1360" t="s">
        <v>1481</v>
      </c>
      <c r="U29" s="1361">
        <f t="shared" si="13"/>
        <v>100</v>
      </c>
      <c r="V29" s="1360" t="s">
        <v>1481</v>
      </c>
      <c r="W29" s="1361">
        <f t="shared" si="14"/>
        <v>100</v>
      </c>
      <c r="X29" s="1354"/>
      <c r="Y29" s="3846"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46"/>
      <c r="Q30" s="1588" t="str">
        <f t="shared" si="11"/>
        <v>项目建筑规模</v>
      </c>
      <c r="R30" s="1362" t="s">
        <v>1481</v>
      </c>
      <c r="S30" s="1363" t="e">
        <f t="shared" si="12"/>
        <v>#N/A</v>
      </c>
      <c r="T30" s="1362" t="s">
        <v>1481</v>
      </c>
      <c r="U30" s="1363" t="e">
        <f t="shared" si="13"/>
        <v>#N/A</v>
      </c>
      <c r="V30" s="1362" t="s">
        <v>1481</v>
      </c>
      <c r="W30" s="1363" t="e">
        <f t="shared" si="14"/>
        <v>#N/A</v>
      </c>
      <c r="X30" s="1364"/>
      <c r="Y30" s="3846"/>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46"/>
      <c r="Q31" s="739" t="str">
        <f t="shared" si="11"/>
        <v>建筑结构</v>
      </c>
      <c r="R31" s="1360" t="s">
        <v>1481</v>
      </c>
      <c r="S31" s="1361">
        <f t="shared" si="12"/>
        <v>100</v>
      </c>
      <c r="T31" s="1360" t="s">
        <v>1481</v>
      </c>
      <c r="U31" s="1361">
        <f t="shared" si="13"/>
        <v>100</v>
      </c>
      <c r="V31" s="1360" t="s">
        <v>1481</v>
      </c>
      <c r="W31" s="1361">
        <f t="shared" si="14"/>
        <v>100</v>
      </c>
      <c r="X31" s="1354"/>
      <c r="Y31" s="3846"/>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46"/>
      <c r="Q32" s="739" t="str">
        <f t="shared" si="11"/>
        <v>公共部分装修</v>
      </c>
      <c r="R32" s="1360" t="s">
        <v>1481</v>
      </c>
      <c r="S32" s="1361">
        <f t="shared" si="12"/>
        <v>100</v>
      </c>
      <c r="T32" s="1360" t="s">
        <v>1481</v>
      </c>
      <c r="U32" s="1361">
        <f t="shared" si="13"/>
        <v>100</v>
      </c>
      <c r="V32" s="1360" t="s">
        <v>1481</v>
      </c>
      <c r="W32" s="1361">
        <f t="shared" si="14"/>
        <v>100</v>
      </c>
      <c r="X32" s="1354"/>
      <c r="Y32" s="3846"/>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46"/>
      <c r="Q33" s="739" t="str">
        <f t="shared" si="11"/>
        <v>成新度</v>
      </c>
      <c r="R33" s="1360" t="s">
        <v>1481</v>
      </c>
      <c r="S33" s="1361" t="e">
        <f t="shared" si="12"/>
        <v>#N/A</v>
      </c>
      <c r="T33" s="1360" t="s">
        <v>1481</v>
      </c>
      <c r="U33" s="1361" t="e">
        <f t="shared" si="13"/>
        <v>#N/A</v>
      </c>
      <c r="V33" s="1360" t="s">
        <v>1481</v>
      </c>
      <c r="W33" s="1361" t="e">
        <f t="shared" si="14"/>
        <v>#N/A</v>
      </c>
      <c r="X33" s="1354"/>
      <c r="Y33" s="3846"/>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46"/>
      <c r="Q34" s="1359" t="str">
        <f t="shared" si="11"/>
        <v>物业管理</v>
      </c>
      <c r="R34" s="1355" t="s">
        <v>1481</v>
      </c>
      <c r="S34" s="1356">
        <f t="shared" si="12"/>
        <v>100</v>
      </c>
      <c r="T34" s="1355" t="s">
        <v>1481</v>
      </c>
      <c r="U34" s="1356">
        <f t="shared" si="13"/>
        <v>100</v>
      </c>
      <c r="V34" s="1355" t="s">
        <v>1481</v>
      </c>
      <c r="W34" s="1356">
        <f t="shared" si="14"/>
        <v>100</v>
      </c>
      <c r="X34" s="1357"/>
      <c r="Y34" s="3846"/>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46" t="s">
        <v>1509</v>
      </c>
      <c r="Q35" s="739" t="str">
        <f t="shared" si="11"/>
        <v>市政基础设施</v>
      </c>
      <c r="R35" s="1360" t="s">
        <v>1481</v>
      </c>
      <c r="S35" s="1361">
        <f t="shared" si="12"/>
        <v>100</v>
      </c>
      <c r="T35" s="1360" t="s">
        <v>1481</v>
      </c>
      <c r="U35" s="1361">
        <f t="shared" si="13"/>
        <v>100</v>
      </c>
      <c r="V35" s="1360" t="s">
        <v>1481</v>
      </c>
      <c r="W35" s="1361">
        <f t="shared" si="14"/>
        <v>100</v>
      </c>
      <c r="X35" s="1354"/>
      <c r="Y35" s="3846"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46"/>
      <c r="Q36" s="739" t="str">
        <f t="shared" si="11"/>
        <v>内部装修</v>
      </c>
      <c r="R36" s="1360" t="s">
        <v>1481</v>
      </c>
      <c r="S36" s="1361">
        <f t="shared" si="12"/>
        <v>100</v>
      </c>
      <c r="T36" s="1360" t="s">
        <v>1481</v>
      </c>
      <c r="U36" s="1361">
        <f t="shared" si="13"/>
        <v>100</v>
      </c>
      <c r="V36" s="1360" t="s">
        <v>1481</v>
      </c>
      <c r="W36" s="1361">
        <f t="shared" si="14"/>
        <v>100</v>
      </c>
      <c r="X36" s="1354"/>
      <c r="Y36" s="3846"/>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46"/>
      <c r="Q37" s="739" t="str">
        <f t="shared" si="11"/>
        <v>内部装修状况</v>
      </c>
      <c r="R37" s="1360" t="s">
        <v>1481</v>
      </c>
      <c r="S37" s="1361">
        <f t="shared" si="12"/>
        <v>100</v>
      </c>
      <c r="T37" s="1360" t="s">
        <v>1481</v>
      </c>
      <c r="U37" s="1361">
        <f t="shared" si="13"/>
        <v>100</v>
      </c>
      <c r="V37" s="1360" t="s">
        <v>1481</v>
      </c>
      <c r="W37" s="1361">
        <f t="shared" si="14"/>
        <v>100</v>
      </c>
      <c r="X37" s="1354"/>
      <c r="Y37" s="3846"/>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46"/>
      <c r="Q38" s="1588">
        <f t="shared" si="11"/>
        <v>111</v>
      </c>
      <c r="R38" s="1362" t="s">
        <v>1481</v>
      </c>
      <c r="S38" s="1363">
        <f t="shared" si="12"/>
        <v>100</v>
      </c>
      <c r="T38" s="1362" t="s">
        <v>1481</v>
      </c>
      <c r="U38" s="1363">
        <f t="shared" si="13"/>
        <v>100</v>
      </c>
      <c r="V38" s="1362" t="s">
        <v>1481</v>
      </c>
      <c r="W38" s="1363">
        <f t="shared" si="14"/>
        <v>100</v>
      </c>
      <c r="X38" s="1364"/>
      <c r="Y38" s="3846"/>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46"/>
      <c r="Q39" s="739">
        <f t="shared" si="11"/>
        <v>111</v>
      </c>
      <c r="R39" s="1360" t="s">
        <v>1481</v>
      </c>
      <c r="S39" s="1361">
        <f t="shared" si="12"/>
        <v>100</v>
      </c>
      <c r="T39" s="1360" t="s">
        <v>1481</v>
      </c>
      <c r="U39" s="1361">
        <f t="shared" si="13"/>
        <v>100</v>
      </c>
      <c r="V39" s="1360" t="s">
        <v>1481</v>
      </c>
      <c r="W39" s="1361">
        <f t="shared" si="14"/>
        <v>100</v>
      </c>
      <c r="X39" s="1354"/>
      <c r="Y39" s="3846"/>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47"/>
      <c r="Q40" s="739">
        <f t="shared" si="11"/>
        <v>111</v>
      </c>
      <c r="R40" s="1360" t="s">
        <v>1481</v>
      </c>
      <c r="S40" s="1361">
        <f t="shared" si="12"/>
        <v>100</v>
      </c>
      <c r="T40" s="1360" t="s">
        <v>1481</v>
      </c>
      <c r="U40" s="1361">
        <f t="shared" si="13"/>
        <v>100</v>
      </c>
      <c r="V40" s="1360" t="s">
        <v>1481</v>
      </c>
      <c r="W40" s="1361">
        <f t="shared" si="14"/>
        <v>100</v>
      </c>
      <c r="X40" s="1354"/>
      <c r="Y40" s="3847"/>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31" t="str">
        <f>A41</f>
        <v>成交单价（元/平方米）</v>
      </c>
      <c r="Q41" s="3831"/>
      <c r="R41" s="3832">
        <f>E41</f>
        <v>0</v>
      </c>
      <c r="S41" s="3832"/>
      <c r="T41" s="3832">
        <f>G41</f>
        <v>0</v>
      </c>
      <c r="U41" s="3832"/>
      <c r="V41" s="3832">
        <f>I41</f>
        <v>0</v>
      </c>
      <c r="W41" s="3832"/>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31" t="str">
        <f>A42</f>
        <v>比较价值（元/平方米）</v>
      </c>
      <c r="Q42" s="3831"/>
      <c r="R42" s="3832" t="e">
        <f>IF(F1="售价",ROUND(PRODUCT(R41,AA7:AA40),0),ROUND(PRODUCT(R41,AA7:AA40),1))</f>
        <v>#DIV/0!</v>
      </c>
      <c r="S42" s="3832"/>
      <c r="T42" s="3832" t="e">
        <f>IF(F1="售价",ROUND(PRODUCT(T41,AB7:AB40),0),ROUND(PRODUCT(T41,AB7:AB40),1))</f>
        <v>#DIV/0!</v>
      </c>
      <c r="U42" s="3832"/>
      <c r="V42" s="3832" t="e">
        <f>IF(F1="售价",ROUND(PRODUCT(V41,AC7:AC40),0),ROUND(PRODUCT(V41,AC7:AC40),1))</f>
        <v>#DIV/0!</v>
      </c>
      <c r="W42" s="3832"/>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33" t="str">
        <f>A43</f>
        <v>估价对象XX用房的比较价值（楼面单价，元/平方米）</v>
      </c>
      <c r="Q43" s="3834"/>
      <c r="R43" s="3835" t="e">
        <f>IF(F1="售价",ROUND(IF(D42="简单平均",AVERAGE(R42:V42),R42*F42+T42*H42+V42*J42),0),ROUND(IF(D42="简单平均",AVERAGE(R42:V42),R42*F42+T42*H42+V42*J42),1))</f>
        <v>#DIV/0!</v>
      </c>
      <c r="S43" s="3835"/>
      <c r="T43" s="3835"/>
      <c r="U43" s="3835"/>
      <c r="V43" s="3835"/>
      <c r="W43" s="3835"/>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2006-11</v>
      </c>
      <c r="D52" s="1578">
        <f>EDATE(C52,-1)</f>
        <v>38991</v>
      </c>
      <c r="E52" s="1578">
        <f t="shared" ref="E52:O52" si="16">EDATE(D52,-1)</f>
        <v>38961</v>
      </c>
      <c r="F52" s="1578">
        <f t="shared" si="16"/>
        <v>38930</v>
      </c>
      <c r="G52" s="1578">
        <f t="shared" si="16"/>
        <v>38899</v>
      </c>
      <c r="H52" s="1578">
        <f t="shared" si="16"/>
        <v>38869</v>
      </c>
      <c r="I52" s="1578">
        <f t="shared" si="16"/>
        <v>38838</v>
      </c>
      <c r="J52" s="1578">
        <f t="shared" si="16"/>
        <v>38808</v>
      </c>
      <c r="K52" s="1578">
        <f t="shared" si="16"/>
        <v>38777</v>
      </c>
      <c r="L52" s="1578">
        <f t="shared" si="16"/>
        <v>38749</v>
      </c>
      <c r="M52" s="1578">
        <f t="shared" si="16"/>
        <v>38718</v>
      </c>
      <c r="N52" s="1578">
        <f t="shared" si="16"/>
        <v>38687</v>
      </c>
      <c r="O52" s="1578">
        <f t="shared" si="16"/>
        <v>38657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1506</v>
      </c>
      <c r="B88" s="1391" t="s">
        <v>1507</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853" t="s">
        <v>1470</v>
      </c>
      <c r="D4" s="3854"/>
      <c r="E4" s="3855" t="s">
        <v>1471</v>
      </c>
      <c r="F4" s="3856"/>
      <c r="G4" s="3853" t="s">
        <v>1472</v>
      </c>
      <c r="H4" s="3854"/>
      <c r="I4" s="3853" t="s">
        <v>1473</v>
      </c>
      <c r="J4" s="3854"/>
      <c r="K4" s="1310"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16" t="s">
        <v>1472</v>
      </c>
      <c r="AC4" s="3815" t="s">
        <v>1473</v>
      </c>
    </row>
    <row r="5" spans="1:29" ht="15">
      <c r="A5" s="1165"/>
      <c r="B5" s="1166"/>
      <c r="C5" s="3861" t="s">
        <v>1476</v>
      </c>
      <c r="D5" s="3858"/>
      <c r="E5" s="3862" t="s">
        <v>1783</v>
      </c>
      <c r="F5" s="3860"/>
      <c r="G5" s="3861" t="s">
        <v>1784</v>
      </c>
      <c r="H5" s="3858"/>
      <c r="I5" s="3861" t="s">
        <v>1785</v>
      </c>
      <c r="J5" s="3858"/>
      <c r="K5" s="1310"/>
      <c r="L5" s="1311"/>
      <c r="M5" s="1312"/>
      <c r="N5" s="1312"/>
      <c r="O5" s="1312"/>
      <c r="P5" s="3820"/>
      <c r="Q5" s="3821"/>
      <c r="R5" s="3826"/>
      <c r="S5" s="3827"/>
      <c r="T5" s="3826"/>
      <c r="U5" s="3827"/>
      <c r="V5" s="3830"/>
      <c r="W5" s="3830"/>
      <c r="X5" s="1354"/>
      <c r="Y5" s="3826"/>
      <c r="Z5" s="3827"/>
      <c r="AA5" s="3816"/>
      <c r="AB5" s="3816"/>
      <c r="AC5" s="3816"/>
    </row>
    <row r="6" spans="1:29" ht="15">
      <c r="A6" s="1167"/>
      <c r="B6" s="1168"/>
      <c r="C6" s="3848" t="s">
        <v>1477</v>
      </c>
      <c r="D6" s="3849"/>
      <c r="E6" s="3850" t="s">
        <v>1477</v>
      </c>
      <c r="F6" s="3851"/>
      <c r="G6" s="3848" t="s">
        <v>1477</v>
      </c>
      <c r="H6" s="3849"/>
      <c r="I6" s="3848" t="s">
        <v>1477</v>
      </c>
      <c r="J6" s="3849"/>
      <c r="K6" s="1310" t="s">
        <v>1478</v>
      </c>
      <c r="L6" s="1311"/>
      <c r="M6" s="1312"/>
      <c r="N6" s="1312"/>
      <c r="O6" s="1312"/>
      <c r="P6" s="3822"/>
      <c r="Q6" s="3823"/>
      <c r="R6" s="3826"/>
      <c r="S6" s="3827"/>
      <c r="T6" s="3828"/>
      <c r="U6" s="3829"/>
      <c r="V6" s="3830"/>
      <c r="W6" s="3830"/>
      <c r="X6" s="1354"/>
      <c r="Y6" s="3828"/>
      <c r="Z6" s="3829"/>
      <c r="AA6" s="3817"/>
      <c r="AB6" s="3817"/>
      <c r="AC6" s="3817"/>
    </row>
    <row r="7" spans="1:29" s="1144" customFormat="1" ht="15">
      <c r="A7" s="1169" t="s">
        <v>1479</v>
      </c>
      <c r="B7" s="1170"/>
      <c r="C7" s="1171">
        <f>'数据-取费表'!B2</f>
        <v>39031</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36" t="s">
        <v>1480</v>
      </c>
      <c r="Q7" s="3852"/>
      <c r="R7" s="1355" t="s">
        <v>1481</v>
      </c>
      <c r="S7" s="1356">
        <f t="shared" ref="S7:S14" si="0">F7</f>
        <v>0</v>
      </c>
      <c r="T7" s="1355" t="s">
        <v>1481</v>
      </c>
      <c r="U7" s="1356">
        <f t="shared" ref="U7:U14" si="1">H7</f>
        <v>0</v>
      </c>
      <c r="V7" s="1355" t="s">
        <v>1481</v>
      </c>
      <c r="W7" s="1356">
        <f t="shared" ref="W7:W14" si="2">J7</f>
        <v>0</v>
      </c>
      <c r="X7" s="1357"/>
      <c r="Y7" s="3836" t="s">
        <v>1480</v>
      </c>
      <c r="Z7" s="3837"/>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36" t="s">
        <v>1484</v>
      </c>
      <c r="Q8" s="3837"/>
      <c r="R8" s="1355" t="s">
        <v>1481</v>
      </c>
      <c r="S8" s="1356">
        <f t="shared" si="0"/>
        <v>100</v>
      </c>
      <c r="T8" s="1355" t="s">
        <v>1481</v>
      </c>
      <c r="U8" s="1356">
        <f t="shared" si="1"/>
        <v>100</v>
      </c>
      <c r="V8" s="1355" t="s">
        <v>1481</v>
      </c>
      <c r="W8" s="1356">
        <f t="shared" si="2"/>
        <v>100</v>
      </c>
      <c r="X8" s="1357"/>
      <c r="Y8" s="3836" t="s">
        <v>1484</v>
      </c>
      <c r="Z8" s="3837"/>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31" t="s">
        <v>1487</v>
      </c>
      <c r="Q9" s="1359" t="str">
        <f t="shared" ref="Q9:Q14" si="6">B9</f>
        <v>用途</v>
      </c>
      <c r="R9" s="1355" t="s">
        <v>1481</v>
      </c>
      <c r="S9" s="1356">
        <f t="shared" si="0"/>
        <v>100</v>
      </c>
      <c r="T9" s="1355" t="s">
        <v>1481</v>
      </c>
      <c r="U9" s="1356">
        <f t="shared" si="1"/>
        <v>100</v>
      </c>
      <c r="V9" s="1355" t="s">
        <v>1481</v>
      </c>
      <c r="W9" s="1356">
        <f t="shared" si="2"/>
        <v>100</v>
      </c>
      <c r="X9" s="1357"/>
      <c r="Y9" s="3701"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31"/>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31"/>
      <c r="Q11" s="1359">
        <f t="shared" si="6"/>
        <v>111</v>
      </c>
      <c r="R11" s="1355" t="s">
        <v>1481</v>
      </c>
      <c r="S11" s="1356">
        <f t="shared" si="0"/>
        <v>100</v>
      </c>
      <c r="T11" s="1355" t="s">
        <v>1481</v>
      </c>
      <c r="U11" s="1356">
        <f t="shared" si="1"/>
        <v>100</v>
      </c>
      <c r="V11" s="1355" t="s">
        <v>1481</v>
      </c>
      <c r="W11" s="1356">
        <f t="shared" si="2"/>
        <v>100</v>
      </c>
      <c r="X11" s="1357"/>
      <c r="Y11" s="3701"/>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31"/>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31"/>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44" t="s">
        <v>1493</v>
      </c>
      <c r="Q14" s="739" t="str">
        <f t="shared" si="6"/>
        <v>交通便捷度</v>
      </c>
      <c r="R14" s="1360" t="s">
        <v>1481</v>
      </c>
      <c r="S14" s="1361">
        <f t="shared" si="0"/>
        <v>100</v>
      </c>
      <c r="T14" s="1360" t="s">
        <v>1481</v>
      </c>
      <c r="U14" s="1361">
        <f t="shared" si="1"/>
        <v>100</v>
      </c>
      <c r="V14" s="1360" t="s">
        <v>1481</v>
      </c>
      <c r="W14" s="1361">
        <f t="shared" si="2"/>
        <v>100</v>
      </c>
      <c r="X14" s="1354"/>
      <c r="Y14" s="3844"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45"/>
      <c r="Q15" s="739"/>
      <c r="R15" s="1360"/>
      <c r="S15" s="1361"/>
      <c r="T15" s="1360"/>
      <c r="U15" s="1361"/>
      <c r="V15" s="1360"/>
      <c r="W15" s="1361"/>
      <c r="X15" s="1354"/>
      <c r="Y15" s="3845"/>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45"/>
      <c r="Q16" s="739" t="str">
        <f>B16</f>
        <v>公共配套设施</v>
      </c>
      <c r="R16" s="1360" t="s">
        <v>1481</v>
      </c>
      <c r="S16" s="1361">
        <f>F16</f>
        <v>100</v>
      </c>
      <c r="T16" s="1360" t="s">
        <v>1481</v>
      </c>
      <c r="U16" s="1361">
        <f>H16</f>
        <v>100</v>
      </c>
      <c r="V16" s="1360" t="s">
        <v>1481</v>
      </c>
      <c r="W16" s="1361">
        <f>J16</f>
        <v>100</v>
      </c>
      <c r="X16" s="1354"/>
      <c r="Y16" s="3845"/>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45"/>
      <c r="Q17" s="739"/>
      <c r="R17" s="1360"/>
      <c r="S17" s="1361"/>
      <c r="T17" s="1360"/>
      <c r="U17" s="1361"/>
      <c r="V17" s="1360"/>
      <c r="W17" s="1361"/>
      <c r="X17" s="1354"/>
      <c r="Y17" s="3845"/>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45"/>
      <c r="Q18" s="739" t="str">
        <f>B18</f>
        <v>基础设施水平</v>
      </c>
      <c r="R18" s="1360" t="s">
        <v>1481</v>
      </c>
      <c r="S18" s="1361">
        <f>F18</f>
        <v>100</v>
      </c>
      <c r="T18" s="1360" t="s">
        <v>1481</v>
      </c>
      <c r="U18" s="1361">
        <f>H18</f>
        <v>100</v>
      </c>
      <c r="V18" s="1360" t="s">
        <v>1481</v>
      </c>
      <c r="W18" s="1361">
        <f>J18</f>
        <v>100</v>
      </c>
      <c r="X18" s="1354"/>
      <c r="Y18" s="3845"/>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45"/>
      <c r="Q19" s="739"/>
      <c r="R19" s="1360"/>
      <c r="S19" s="1361"/>
      <c r="T19" s="1360"/>
      <c r="U19" s="1361"/>
      <c r="V19" s="1360"/>
      <c r="W19" s="1361"/>
      <c r="X19" s="1354"/>
      <c r="Y19" s="3845"/>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45"/>
      <c r="Q20" s="739" t="str">
        <f>B20</f>
        <v>自然及人文环境</v>
      </c>
      <c r="R20" s="1360" t="s">
        <v>1481</v>
      </c>
      <c r="S20" s="1361">
        <f>F20</f>
        <v>100</v>
      </c>
      <c r="T20" s="1360" t="s">
        <v>1481</v>
      </c>
      <c r="U20" s="1361">
        <f>H20</f>
        <v>100</v>
      </c>
      <c r="V20" s="1360" t="s">
        <v>1481</v>
      </c>
      <c r="W20" s="1361">
        <f>J20</f>
        <v>100</v>
      </c>
      <c r="X20" s="1354"/>
      <c r="Y20" s="3845"/>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45"/>
      <c r="Q21" s="739"/>
      <c r="R21" s="1360"/>
      <c r="S21" s="1361"/>
      <c r="T21" s="1360"/>
      <c r="U21" s="1361"/>
      <c r="V21" s="1360"/>
      <c r="W21" s="1361"/>
      <c r="X21" s="1354"/>
      <c r="Y21" s="3845"/>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45"/>
      <c r="Q22" s="739" t="str">
        <f>B22</f>
        <v>楼层</v>
      </c>
      <c r="R22" s="1360" t="s">
        <v>1481</v>
      </c>
      <c r="S22" s="1361">
        <f>F22</f>
        <v>100</v>
      </c>
      <c r="T22" s="1360" t="s">
        <v>1481</v>
      </c>
      <c r="U22" s="1361">
        <f>H22</f>
        <v>100</v>
      </c>
      <c r="V22" s="1360" t="s">
        <v>1481</v>
      </c>
      <c r="W22" s="1361">
        <f>J22</f>
        <v>100</v>
      </c>
      <c r="X22" s="1354"/>
      <c r="Y22" s="3845"/>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45"/>
      <c r="Q23" s="739">
        <f>B23</f>
        <v>111</v>
      </c>
      <c r="R23" s="1360" t="s">
        <v>1481</v>
      </c>
      <c r="S23" s="1361">
        <f>F23</f>
        <v>100</v>
      </c>
      <c r="T23" s="1360" t="s">
        <v>1481</v>
      </c>
      <c r="U23" s="1361">
        <f>H23</f>
        <v>100</v>
      </c>
      <c r="V23" s="1360" t="s">
        <v>1481</v>
      </c>
      <c r="W23" s="1361">
        <f>J23</f>
        <v>100</v>
      </c>
      <c r="X23" s="1354"/>
      <c r="Y23" s="3845"/>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45"/>
      <c r="Q24" s="739">
        <f t="shared" ref="Q24:Q36" si="11">B24</f>
        <v>111</v>
      </c>
      <c r="R24" s="1360" t="s">
        <v>1481</v>
      </c>
      <c r="S24" s="1361">
        <f>F24</f>
        <v>100</v>
      </c>
      <c r="T24" s="1360" t="s">
        <v>1481</v>
      </c>
      <c r="U24" s="1361">
        <f>H24</f>
        <v>100</v>
      </c>
      <c r="V24" s="1360" t="s">
        <v>1481</v>
      </c>
      <c r="W24" s="1361">
        <f>J24</f>
        <v>100</v>
      </c>
      <c r="X24" s="1354"/>
      <c r="Y24" s="3845"/>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45"/>
      <c r="Q25" s="1359">
        <f t="shared" si="11"/>
        <v>111</v>
      </c>
      <c r="R25" s="1355" t="s">
        <v>1481</v>
      </c>
      <c r="S25" s="1356">
        <f>F25</f>
        <v>100</v>
      </c>
      <c r="T25" s="1355" t="s">
        <v>1481</v>
      </c>
      <c r="U25" s="1356">
        <f>H25</f>
        <v>100</v>
      </c>
      <c r="V25" s="1355" t="s">
        <v>1481</v>
      </c>
      <c r="W25" s="1356">
        <f>J25</f>
        <v>100</v>
      </c>
      <c r="X25" s="1357"/>
      <c r="Y25" s="3845"/>
      <c r="Z25" s="1370">
        <f>Q25</f>
        <v>111</v>
      </c>
      <c r="AA25" s="1371">
        <f t="shared" si="3"/>
        <v>1</v>
      </c>
      <c r="AB25" s="1371">
        <f t="shared" si="4"/>
        <v>1</v>
      </c>
      <c r="AC25" s="1371">
        <f t="shared" si="5"/>
        <v>1</v>
      </c>
    </row>
    <row r="26" spans="1:29" ht="28.5">
      <c r="A26" s="1621" t="s">
        <v>1506</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78"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46"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46"/>
      <c r="Q27" s="1588" t="str">
        <f t="shared" si="11"/>
        <v>项目停车位配比</v>
      </c>
      <c r="R27" s="1362" t="s">
        <v>1481</v>
      </c>
      <c r="S27" s="1363">
        <f t="shared" si="12"/>
        <v>100</v>
      </c>
      <c r="T27" s="1362" t="s">
        <v>1481</v>
      </c>
      <c r="U27" s="1363">
        <f t="shared" si="13"/>
        <v>100</v>
      </c>
      <c r="V27" s="1362" t="s">
        <v>1481</v>
      </c>
      <c r="W27" s="1363">
        <f t="shared" si="14"/>
        <v>100</v>
      </c>
      <c r="X27" s="1364"/>
      <c r="Y27" s="3846"/>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46"/>
      <c r="Q28" s="739" t="str">
        <f t="shared" si="11"/>
        <v>公共部分装修</v>
      </c>
      <c r="R28" s="1360" t="s">
        <v>1481</v>
      </c>
      <c r="S28" s="1361">
        <f t="shared" si="12"/>
        <v>100</v>
      </c>
      <c r="T28" s="1360" t="s">
        <v>1481</v>
      </c>
      <c r="U28" s="1361">
        <f t="shared" si="13"/>
        <v>100</v>
      </c>
      <c r="V28" s="1360" t="s">
        <v>1481</v>
      </c>
      <c r="W28" s="1361">
        <f t="shared" si="14"/>
        <v>100</v>
      </c>
      <c r="X28" s="1354"/>
      <c r="Y28" s="3846"/>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46"/>
      <c r="Q29" s="739" t="str">
        <f t="shared" si="11"/>
        <v>成新率</v>
      </c>
      <c r="R29" s="1360" t="s">
        <v>1481</v>
      </c>
      <c r="S29" s="1361" t="e">
        <f t="shared" si="12"/>
        <v>#N/A</v>
      </c>
      <c r="T29" s="1360" t="s">
        <v>1481</v>
      </c>
      <c r="U29" s="1361" t="e">
        <f t="shared" si="13"/>
        <v>#N/A</v>
      </c>
      <c r="V29" s="1360" t="s">
        <v>1481</v>
      </c>
      <c r="W29" s="1361" t="e">
        <f t="shared" si="14"/>
        <v>#N/A</v>
      </c>
      <c r="X29" s="1354"/>
      <c r="Y29" s="3846"/>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46"/>
      <c r="Q30" s="739" t="str">
        <f t="shared" si="11"/>
        <v>物业等级</v>
      </c>
      <c r="R30" s="1360" t="s">
        <v>1481</v>
      </c>
      <c r="S30" s="1361">
        <f t="shared" si="12"/>
        <v>100</v>
      </c>
      <c r="T30" s="1360" t="s">
        <v>1481</v>
      </c>
      <c r="U30" s="1361">
        <f t="shared" si="13"/>
        <v>100</v>
      </c>
      <c r="V30" s="1360" t="s">
        <v>1481</v>
      </c>
      <c r="W30" s="1361">
        <f t="shared" si="14"/>
        <v>100</v>
      </c>
      <c r="X30" s="1354"/>
      <c r="Y30" s="3846"/>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46"/>
      <c r="Q31" s="1359" t="str">
        <f t="shared" si="11"/>
        <v>停车位面积</v>
      </c>
      <c r="R31" s="1355" t="s">
        <v>1481</v>
      </c>
      <c r="S31" s="1356" t="e">
        <f t="shared" si="12"/>
        <v>#N/A</v>
      </c>
      <c r="T31" s="1355" t="s">
        <v>1481</v>
      </c>
      <c r="U31" s="1356" t="e">
        <f t="shared" si="13"/>
        <v>#N/A</v>
      </c>
      <c r="V31" s="1355" t="s">
        <v>1481</v>
      </c>
      <c r="W31" s="1356" t="e">
        <f t="shared" si="14"/>
        <v>#N/A</v>
      </c>
      <c r="X31" s="1357"/>
      <c r="Y31" s="3846"/>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46" t="s">
        <v>1509</v>
      </c>
      <c r="Q32" s="739" t="str">
        <f t="shared" si="11"/>
        <v>车位类型</v>
      </c>
      <c r="R32" s="1360" t="s">
        <v>1481</v>
      </c>
      <c r="S32" s="1361">
        <f t="shared" si="12"/>
        <v>100</v>
      </c>
      <c r="T32" s="1360" t="s">
        <v>1481</v>
      </c>
      <c r="U32" s="1361">
        <f t="shared" si="13"/>
        <v>100</v>
      </c>
      <c r="V32" s="1360" t="s">
        <v>1481</v>
      </c>
      <c r="W32" s="1361">
        <f t="shared" si="14"/>
        <v>100</v>
      </c>
      <c r="X32" s="1354"/>
      <c r="Y32" s="3846"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46"/>
      <c r="Q33" s="739" t="str">
        <f t="shared" si="11"/>
        <v>是否直接入户</v>
      </c>
      <c r="R33" s="1360" t="s">
        <v>1481</v>
      </c>
      <c r="S33" s="1361">
        <f t="shared" si="12"/>
        <v>100</v>
      </c>
      <c r="T33" s="1360" t="s">
        <v>1481</v>
      </c>
      <c r="U33" s="1361">
        <f t="shared" si="13"/>
        <v>100</v>
      </c>
      <c r="V33" s="1360" t="s">
        <v>1481</v>
      </c>
      <c r="W33" s="1361">
        <f t="shared" si="14"/>
        <v>100</v>
      </c>
      <c r="X33" s="1354"/>
      <c r="Y33" s="3846"/>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46"/>
      <c r="Q34" s="739">
        <f t="shared" si="11"/>
        <v>111</v>
      </c>
      <c r="R34" s="1360" t="s">
        <v>1481</v>
      </c>
      <c r="S34" s="1361">
        <f t="shared" si="12"/>
        <v>100</v>
      </c>
      <c r="T34" s="1360" t="s">
        <v>1481</v>
      </c>
      <c r="U34" s="1361">
        <f t="shared" si="13"/>
        <v>100</v>
      </c>
      <c r="V34" s="1360" t="s">
        <v>1481</v>
      </c>
      <c r="W34" s="1361">
        <f t="shared" si="14"/>
        <v>100</v>
      </c>
      <c r="X34" s="1354"/>
      <c r="Y34" s="3846"/>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46"/>
      <c r="Q35" s="1588">
        <f t="shared" si="11"/>
        <v>111</v>
      </c>
      <c r="R35" s="1362" t="s">
        <v>1481</v>
      </c>
      <c r="S35" s="1363">
        <f t="shared" si="12"/>
        <v>100</v>
      </c>
      <c r="T35" s="1362" t="s">
        <v>1481</v>
      </c>
      <c r="U35" s="1363">
        <f t="shared" si="13"/>
        <v>100</v>
      </c>
      <c r="V35" s="1362" t="s">
        <v>1481</v>
      </c>
      <c r="W35" s="1363">
        <f t="shared" si="14"/>
        <v>100</v>
      </c>
      <c r="X35" s="1364"/>
      <c r="Y35" s="3846"/>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46"/>
      <c r="Q36" s="739">
        <f t="shared" si="11"/>
        <v>111</v>
      </c>
      <c r="R36" s="1360" t="s">
        <v>1481</v>
      </c>
      <c r="S36" s="1361">
        <f t="shared" si="12"/>
        <v>100</v>
      </c>
      <c r="T36" s="1360" t="s">
        <v>1481</v>
      </c>
      <c r="U36" s="1361">
        <f t="shared" si="13"/>
        <v>100</v>
      </c>
      <c r="V36" s="1360" t="s">
        <v>1481</v>
      </c>
      <c r="W36" s="1361">
        <f t="shared" si="14"/>
        <v>100</v>
      </c>
      <c r="X36" s="1354"/>
      <c r="Y36" s="3846"/>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31" t="str">
        <f>A37</f>
        <v>成交单价</v>
      </c>
      <c r="Q37" s="3831"/>
      <c r="R37" s="3832">
        <f>E37</f>
        <v>0</v>
      </c>
      <c r="S37" s="3832"/>
      <c r="T37" s="3832">
        <f>G37</f>
        <v>0</v>
      </c>
      <c r="U37" s="3832"/>
      <c r="V37" s="3832">
        <f>I37</f>
        <v>0</v>
      </c>
      <c r="W37" s="3832"/>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31" t="str">
        <f>A38</f>
        <v>比较价值（元/平方米）</v>
      </c>
      <c r="Q38" s="3831"/>
      <c r="R38" s="3832" t="e">
        <f>IF(F1="售价",ROUND(PRODUCT(R37,AA7:AA36),0),ROUND(PRODUCT(R37,AA7:AA36),1))</f>
        <v>#DIV/0!</v>
      </c>
      <c r="S38" s="3832"/>
      <c r="T38" s="3832" t="e">
        <f>IF(F1="售价",ROUND(PRODUCT(T37,AB7:AB36),0),ROUND(PRODUCT(T37,AB7:AB36),1))</f>
        <v>#DIV/0!</v>
      </c>
      <c r="U38" s="3832"/>
      <c r="V38" s="3832" t="e">
        <f>IF(F1="售价",ROUND(PRODUCT(V37,AC7:AC36),0),ROUND(PRODUCT(V37,AC7:AC36),1))</f>
        <v>#DIV/0!</v>
      </c>
      <c r="W38" s="3832"/>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33" t="str">
        <f>A39</f>
        <v>估价对象XX用房的比较价值（楼面单价，元/平方米）</v>
      </c>
      <c r="Q39" s="3834"/>
      <c r="R39" s="3879" t="e">
        <f>IF(F1="售价",ROUND(IF(D38="简单平均",AVERAGE(R38:W38),R38*F38+T38*H38+V38*J38),0),ROUND(IF(D38="简单平均",AVERAGE(R38:V38),R38*F38+T38*H38+V38*J38),1))</f>
        <v>#DIV/0!</v>
      </c>
      <c r="S39" s="3879"/>
      <c r="T39" s="3879"/>
      <c r="U39" s="3879"/>
      <c r="V39" s="3879"/>
      <c r="W39" s="3879"/>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2006-11</v>
      </c>
      <c r="D48" s="1578">
        <f>EDATE(C48,-1)</f>
        <v>38991</v>
      </c>
      <c r="E48" s="1578">
        <f t="shared" ref="E48:O48" si="16">EDATE(D48,-1)</f>
        <v>38961</v>
      </c>
      <c r="F48" s="1578">
        <f t="shared" si="16"/>
        <v>38930</v>
      </c>
      <c r="G48" s="1578">
        <f t="shared" si="16"/>
        <v>38899</v>
      </c>
      <c r="H48" s="1578">
        <f t="shared" si="16"/>
        <v>38869</v>
      </c>
      <c r="I48" s="1578">
        <f t="shared" si="16"/>
        <v>38838</v>
      </c>
      <c r="J48" s="1578">
        <f t="shared" si="16"/>
        <v>38808</v>
      </c>
      <c r="K48" s="1578">
        <f t="shared" si="16"/>
        <v>38777</v>
      </c>
      <c r="L48" s="1578">
        <f t="shared" si="16"/>
        <v>38749</v>
      </c>
      <c r="M48" s="1578">
        <f t="shared" si="16"/>
        <v>38718</v>
      </c>
      <c r="N48" s="1578">
        <f t="shared" si="16"/>
        <v>38687</v>
      </c>
      <c r="O48" s="1578">
        <f t="shared" si="16"/>
        <v>38657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1506</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53" t="s">
        <v>1470</v>
      </c>
      <c r="D4" s="3854"/>
      <c r="E4" s="3855" t="s">
        <v>1471</v>
      </c>
      <c r="F4" s="3856"/>
      <c r="G4" s="3853" t="s">
        <v>1472</v>
      </c>
      <c r="H4" s="3854"/>
      <c r="I4" s="3853" t="s">
        <v>1473</v>
      </c>
      <c r="J4" s="3854"/>
      <c r="K4" s="1310"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16" t="s">
        <v>1472</v>
      </c>
      <c r="AC4" s="3815" t="s">
        <v>1473</v>
      </c>
    </row>
    <row r="5" spans="1:29" ht="15">
      <c r="A5" s="1165"/>
      <c r="B5" s="1166"/>
      <c r="C5" s="3861" t="s">
        <v>1476</v>
      </c>
      <c r="D5" s="3858"/>
      <c r="E5" s="3862" t="s">
        <v>1783</v>
      </c>
      <c r="F5" s="3860"/>
      <c r="G5" s="3861" t="s">
        <v>1784</v>
      </c>
      <c r="H5" s="3858"/>
      <c r="I5" s="3861" t="s">
        <v>1785</v>
      </c>
      <c r="J5" s="3858"/>
      <c r="K5" s="1310"/>
      <c r="L5" s="1311"/>
      <c r="M5" s="1312"/>
      <c r="N5" s="1312"/>
      <c r="O5" s="1312"/>
      <c r="P5" s="3820"/>
      <c r="Q5" s="3821"/>
      <c r="R5" s="3826"/>
      <c r="S5" s="3827"/>
      <c r="T5" s="3826"/>
      <c r="U5" s="3827"/>
      <c r="V5" s="3830"/>
      <c r="W5" s="3830"/>
      <c r="X5" s="1354"/>
      <c r="Y5" s="3826"/>
      <c r="Z5" s="3827"/>
      <c r="AA5" s="3816"/>
      <c r="AB5" s="3816"/>
      <c r="AC5" s="3816"/>
    </row>
    <row r="6" spans="1:29" ht="15">
      <c r="A6" s="1167"/>
      <c r="B6" s="1168"/>
      <c r="C6" s="3848" t="s">
        <v>1477</v>
      </c>
      <c r="D6" s="3849"/>
      <c r="E6" s="3850" t="s">
        <v>1477</v>
      </c>
      <c r="F6" s="3851"/>
      <c r="G6" s="3848" t="s">
        <v>1477</v>
      </c>
      <c r="H6" s="3849"/>
      <c r="I6" s="3848" t="s">
        <v>1477</v>
      </c>
      <c r="J6" s="3849"/>
      <c r="K6" s="1310" t="s">
        <v>1478</v>
      </c>
      <c r="L6" s="1311"/>
      <c r="M6" s="1312"/>
      <c r="N6" s="1312"/>
      <c r="O6" s="1312"/>
      <c r="P6" s="3822"/>
      <c r="Q6" s="3823"/>
      <c r="R6" s="3826"/>
      <c r="S6" s="3827"/>
      <c r="T6" s="3828"/>
      <c r="U6" s="3829"/>
      <c r="V6" s="3830"/>
      <c r="W6" s="3830"/>
      <c r="X6" s="1354"/>
      <c r="Y6" s="3828"/>
      <c r="Z6" s="3829"/>
      <c r="AA6" s="3817"/>
      <c r="AB6" s="3817"/>
      <c r="AC6" s="3817"/>
    </row>
    <row r="7" spans="1:29" s="1144" customFormat="1" ht="15">
      <c r="A7" s="1169" t="s">
        <v>1479</v>
      </c>
      <c r="B7" s="1170"/>
      <c r="C7" s="1171">
        <f>'数据-取费表'!B2</f>
        <v>39031</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36" t="s">
        <v>1480</v>
      </c>
      <c r="Q7" s="3852"/>
      <c r="R7" s="1355" t="s">
        <v>1481</v>
      </c>
      <c r="S7" s="1356">
        <f t="shared" ref="S7:S14" si="0">F7</f>
        <v>0</v>
      </c>
      <c r="T7" s="1355" t="s">
        <v>1481</v>
      </c>
      <c r="U7" s="1356">
        <f t="shared" ref="U7:U14" si="1">H7</f>
        <v>0</v>
      </c>
      <c r="V7" s="1355" t="s">
        <v>1481</v>
      </c>
      <c r="W7" s="1356">
        <f t="shared" ref="W7:W14" si="2">J7</f>
        <v>0</v>
      </c>
      <c r="X7" s="1357"/>
      <c r="Y7" s="3836" t="s">
        <v>1480</v>
      </c>
      <c r="Z7" s="3837"/>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36" t="s">
        <v>1484</v>
      </c>
      <c r="Q8" s="3837"/>
      <c r="R8" s="1355" t="s">
        <v>1481</v>
      </c>
      <c r="S8" s="1356">
        <f t="shared" si="0"/>
        <v>100</v>
      </c>
      <c r="T8" s="1355" t="s">
        <v>1481</v>
      </c>
      <c r="U8" s="1356">
        <f t="shared" si="1"/>
        <v>100</v>
      </c>
      <c r="V8" s="1355" t="s">
        <v>1481</v>
      </c>
      <c r="W8" s="1356">
        <f t="shared" si="2"/>
        <v>100</v>
      </c>
      <c r="X8" s="1357"/>
      <c r="Y8" s="3836" t="s">
        <v>1484</v>
      </c>
      <c r="Z8" s="3837"/>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31" t="s">
        <v>1487</v>
      </c>
      <c r="Q9" s="1359" t="str">
        <f t="shared" ref="Q9:Q14" si="6">B9</f>
        <v>用途</v>
      </c>
      <c r="R9" s="1355" t="s">
        <v>1481</v>
      </c>
      <c r="S9" s="1356">
        <f t="shared" si="0"/>
        <v>100</v>
      </c>
      <c r="T9" s="1355" t="s">
        <v>1481</v>
      </c>
      <c r="U9" s="1356">
        <f t="shared" si="1"/>
        <v>100</v>
      </c>
      <c r="V9" s="1355" t="s">
        <v>1481</v>
      </c>
      <c r="W9" s="1356">
        <f t="shared" si="2"/>
        <v>100</v>
      </c>
      <c r="X9" s="1357"/>
      <c r="Y9" s="3701"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31"/>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31"/>
      <c r="Q11" s="1359">
        <f t="shared" si="6"/>
        <v>111</v>
      </c>
      <c r="R11" s="1355" t="s">
        <v>1481</v>
      </c>
      <c r="S11" s="1356">
        <f t="shared" si="0"/>
        <v>100</v>
      </c>
      <c r="T11" s="1355" t="s">
        <v>1481</v>
      </c>
      <c r="U11" s="1356">
        <f t="shared" si="1"/>
        <v>100</v>
      </c>
      <c r="V11" s="1355" t="s">
        <v>1481</v>
      </c>
      <c r="W11" s="1356">
        <f t="shared" si="2"/>
        <v>100</v>
      </c>
      <c r="X11" s="1357"/>
      <c r="Y11" s="3701"/>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31"/>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31"/>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44" t="s">
        <v>1493</v>
      </c>
      <c r="Q14" s="739" t="str">
        <f t="shared" si="6"/>
        <v>交通便捷度</v>
      </c>
      <c r="R14" s="1360" t="s">
        <v>1481</v>
      </c>
      <c r="S14" s="1361">
        <f t="shared" si="0"/>
        <v>100</v>
      </c>
      <c r="T14" s="1360" t="s">
        <v>1481</v>
      </c>
      <c r="U14" s="1361">
        <f t="shared" si="1"/>
        <v>100</v>
      </c>
      <c r="V14" s="1360" t="s">
        <v>1481</v>
      </c>
      <c r="W14" s="1361">
        <f t="shared" si="2"/>
        <v>100</v>
      </c>
      <c r="X14" s="1354"/>
      <c r="Y14" s="3844"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45"/>
      <c r="Q15" s="739"/>
      <c r="R15" s="1360"/>
      <c r="S15" s="1361"/>
      <c r="T15" s="1360"/>
      <c r="U15" s="1361"/>
      <c r="V15" s="1360"/>
      <c r="W15" s="1361"/>
      <c r="X15" s="1354"/>
      <c r="Y15" s="3845"/>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45"/>
      <c r="Q16" s="739" t="str">
        <f>B16</f>
        <v>公共配套设施</v>
      </c>
      <c r="R16" s="1360" t="s">
        <v>1481</v>
      </c>
      <c r="S16" s="1361">
        <f>F16</f>
        <v>100</v>
      </c>
      <c r="T16" s="1360" t="s">
        <v>1481</v>
      </c>
      <c r="U16" s="1361">
        <f>H16</f>
        <v>100</v>
      </c>
      <c r="V16" s="1360" t="s">
        <v>1481</v>
      </c>
      <c r="W16" s="1361">
        <f>J16</f>
        <v>100</v>
      </c>
      <c r="X16" s="1354"/>
      <c r="Y16" s="3845"/>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45"/>
      <c r="Q17" s="739"/>
      <c r="R17" s="1360"/>
      <c r="S17" s="1361"/>
      <c r="T17" s="1360"/>
      <c r="U17" s="1361"/>
      <c r="V17" s="1360"/>
      <c r="W17" s="1361"/>
      <c r="X17" s="1354"/>
      <c r="Y17" s="3845"/>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45"/>
      <c r="Q18" s="739" t="str">
        <f>B18</f>
        <v>基础设施水平</v>
      </c>
      <c r="R18" s="1360" t="s">
        <v>1481</v>
      </c>
      <c r="S18" s="1361">
        <f>F18</f>
        <v>100</v>
      </c>
      <c r="T18" s="1360" t="s">
        <v>1481</v>
      </c>
      <c r="U18" s="1361">
        <f>H18</f>
        <v>100</v>
      </c>
      <c r="V18" s="1360" t="s">
        <v>1481</v>
      </c>
      <c r="W18" s="1361">
        <f>J18</f>
        <v>100</v>
      </c>
      <c r="X18" s="1354"/>
      <c r="Y18" s="3845"/>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45"/>
      <c r="Q19" s="739"/>
      <c r="R19" s="1360"/>
      <c r="S19" s="1361"/>
      <c r="T19" s="1360"/>
      <c r="U19" s="1361"/>
      <c r="V19" s="1360"/>
      <c r="W19" s="1361"/>
      <c r="X19" s="1354"/>
      <c r="Y19" s="3845"/>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45"/>
      <c r="Q20" s="739" t="str">
        <f>B20</f>
        <v>自然及人文环境</v>
      </c>
      <c r="R20" s="1360" t="s">
        <v>1481</v>
      </c>
      <c r="S20" s="1361">
        <f>F20</f>
        <v>100</v>
      </c>
      <c r="T20" s="1360" t="s">
        <v>1481</v>
      </c>
      <c r="U20" s="1361">
        <f>H20</f>
        <v>100</v>
      </c>
      <c r="V20" s="1360" t="s">
        <v>1481</v>
      </c>
      <c r="W20" s="1361">
        <f>J20</f>
        <v>100</v>
      </c>
      <c r="X20" s="1354"/>
      <c r="Y20" s="3845"/>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45"/>
      <c r="Q21" s="739"/>
      <c r="R21" s="1360"/>
      <c r="S21" s="1361"/>
      <c r="T21" s="1360"/>
      <c r="U21" s="1361"/>
      <c r="V21" s="1360"/>
      <c r="W21" s="1361"/>
      <c r="X21" s="1354"/>
      <c r="Y21" s="3845"/>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45"/>
      <c r="Q22" s="739" t="str">
        <f>B22</f>
        <v>楼层</v>
      </c>
      <c r="R22" s="1360" t="s">
        <v>1481</v>
      </c>
      <c r="S22" s="1361">
        <f>F22</f>
        <v>100</v>
      </c>
      <c r="T22" s="1360" t="s">
        <v>1481</v>
      </c>
      <c r="U22" s="1361">
        <f>H22</f>
        <v>100</v>
      </c>
      <c r="V22" s="1360" t="s">
        <v>1481</v>
      </c>
      <c r="W22" s="1361">
        <f>J22</f>
        <v>100</v>
      </c>
      <c r="X22" s="1354"/>
      <c r="Y22" s="3845"/>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45"/>
      <c r="Q23" s="739">
        <f>B23</f>
        <v>111</v>
      </c>
      <c r="R23" s="1360" t="s">
        <v>1481</v>
      </c>
      <c r="S23" s="1361">
        <f>F23</f>
        <v>100</v>
      </c>
      <c r="T23" s="1360" t="s">
        <v>1481</v>
      </c>
      <c r="U23" s="1361">
        <f>H23</f>
        <v>100</v>
      </c>
      <c r="V23" s="1360" t="s">
        <v>1481</v>
      </c>
      <c r="W23" s="1361">
        <f>J23</f>
        <v>100</v>
      </c>
      <c r="X23" s="1354"/>
      <c r="Y23" s="3845"/>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45"/>
      <c r="Q24" s="739">
        <f t="shared" ref="Q24:Q34" si="11">B24</f>
        <v>111</v>
      </c>
      <c r="R24" s="1360" t="s">
        <v>1481</v>
      </c>
      <c r="S24" s="1361">
        <f>F24</f>
        <v>100</v>
      </c>
      <c r="T24" s="1360" t="s">
        <v>1481</v>
      </c>
      <c r="U24" s="1361">
        <f>H24</f>
        <v>100</v>
      </c>
      <c r="V24" s="1360" t="s">
        <v>1481</v>
      </c>
      <c r="W24" s="1361">
        <f>J24</f>
        <v>100</v>
      </c>
      <c r="X24" s="1354"/>
      <c r="Y24" s="3845"/>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45"/>
      <c r="Q25" s="1359">
        <f t="shared" si="11"/>
        <v>111</v>
      </c>
      <c r="R25" s="1355" t="s">
        <v>1481</v>
      </c>
      <c r="S25" s="1356">
        <f>F25</f>
        <v>100</v>
      </c>
      <c r="T25" s="1355" t="s">
        <v>1481</v>
      </c>
      <c r="U25" s="1356">
        <f>H25</f>
        <v>100</v>
      </c>
      <c r="V25" s="1355" t="s">
        <v>1481</v>
      </c>
      <c r="W25" s="1356">
        <f>J25</f>
        <v>100</v>
      </c>
      <c r="X25" s="1357"/>
      <c r="Y25" s="3845"/>
      <c r="Z25" s="1370">
        <f>Q25</f>
        <v>111</v>
      </c>
      <c r="AA25" s="1371">
        <f t="shared" si="3"/>
        <v>1</v>
      </c>
      <c r="AB25" s="1371">
        <f t="shared" si="4"/>
        <v>1</v>
      </c>
      <c r="AC25" s="1371">
        <f t="shared" si="5"/>
        <v>1</v>
      </c>
    </row>
    <row r="26" spans="1:29" ht="28.5">
      <c r="A26" s="1553" t="s">
        <v>1506</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78"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46"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46"/>
      <c r="Q27" s="1588" t="str">
        <f t="shared" si="11"/>
        <v>成新率</v>
      </c>
      <c r="R27" s="1362" t="s">
        <v>1481</v>
      </c>
      <c r="S27" s="1363" t="e">
        <f t="shared" si="12"/>
        <v>#N/A</v>
      </c>
      <c r="T27" s="1362" t="s">
        <v>1481</v>
      </c>
      <c r="U27" s="1363" t="e">
        <f t="shared" si="13"/>
        <v>#N/A</v>
      </c>
      <c r="V27" s="1362" t="s">
        <v>1481</v>
      </c>
      <c r="W27" s="1363" t="e">
        <f t="shared" si="14"/>
        <v>#N/A</v>
      </c>
      <c r="X27" s="1364"/>
      <c r="Y27" s="3846"/>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46"/>
      <c r="Q28" s="739" t="str">
        <f t="shared" si="11"/>
        <v>物业等级</v>
      </c>
      <c r="R28" s="1360" t="s">
        <v>1481</v>
      </c>
      <c r="S28" s="1361">
        <f t="shared" si="12"/>
        <v>100</v>
      </c>
      <c r="T28" s="1360" t="s">
        <v>1481</v>
      </c>
      <c r="U28" s="1361">
        <f t="shared" si="13"/>
        <v>100</v>
      </c>
      <c r="V28" s="1360" t="s">
        <v>1481</v>
      </c>
      <c r="W28" s="1361">
        <f t="shared" si="14"/>
        <v>100</v>
      </c>
      <c r="X28" s="1354"/>
      <c r="Y28" s="3846"/>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46"/>
      <c r="Q29" s="739" t="str">
        <f t="shared" si="11"/>
        <v>有无电梯</v>
      </c>
      <c r="R29" s="1360" t="s">
        <v>1481</v>
      </c>
      <c r="S29" s="1361">
        <f t="shared" si="12"/>
        <v>100</v>
      </c>
      <c r="T29" s="1360" t="s">
        <v>1481</v>
      </c>
      <c r="U29" s="1361">
        <f t="shared" si="13"/>
        <v>100</v>
      </c>
      <c r="V29" s="1360" t="s">
        <v>1481</v>
      </c>
      <c r="W29" s="1361">
        <f t="shared" si="14"/>
        <v>100</v>
      </c>
      <c r="X29" s="1354"/>
      <c r="Y29" s="3846"/>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46"/>
      <c r="Q30" s="739" t="str">
        <f t="shared" si="11"/>
        <v>建筑面积</v>
      </c>
      <c r="R30" s="1360" t="s">
        <v>1481</v>
      </c>
      <c r="S30" s="1361" t="e">
        <f t="shared" si="12"/>
        <v>#N/A</v>
      </c>
      <c r="T30" s="1360" t="s">
        <v>1481</v>
      </c>
      <c r="U30" s="1361" t="e">
        <f t="shared" si="13"/>
        <v>#N/A</v>
      </c>
      <c r="V30" s="1360" t="s">
        <v>1481</v>
      </c>
      <c r="W30" s="1361" t="e">
        <f t="shared" si="14"/>
        <v>#N/A</v>
      </c>
      <c r="X30" s="1354"/>
      <c r="Y30" s="3846"/>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46"/>
      <c r="Q31" s="1359" t="str">
        <f t="shared" si="11"/>
        <v>是否封闭</v>
      </c>
      <c r="R31" s="1355" t="s">
        <v>1481</v>
      </c>
      <c r="S31" s="1356">
        <f t="shared" si="12"/>
        <v>100</v>
      </c>
      <c r="T31" s="1355" t="s">
        <v>1481</v>
      </c>
      <c r="U31" s="1356">
        <f t="shared" si="13"/>
        <v>100</v>
      </c>
      <c r="V31" s="1355" t="s">
        <v>1481</v>
      </c>
      <c r="W31" s="1356">
        <f t="shared" si="14"/>
        <v>100</v>
      </c>
      <c r="X31" s="1357"/>
      <c r="Y31" s="3846"/>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46" t="s">
        <v>1509</v>
      </c>
      <c r="Q32" s="739">
        <f t="shared" si="11"/>
        <v>111</v>
      </c>
      <c r="R32" s="1360" t="s">
        <v>1481</v>
      </c>
      <c r="S32" s="1361">
        <f t="shared" si="12"/>
        <v>100</v>
      </c>
      <c r="T32" s="1360" t="s">
        <v>1481</v>
      </c>
      <c r="U32" s="1361">
        <f t="shared" si="13"/>
        <v>100</v>
      </c>
      <c r="V32" s="1360" t="s">
        <v>1481</v>
      </c>
      <c r="W32" s="1361">
        <f t="shared" si="14"/>
        <v>100</v>
      </c>
      <c r="X32" s="1354"/>
      <c r="Y32" s="3846"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46"/>
      <c r="Q33" s="739">
        <f t="shared" si="11"/>
        <v>111</v>
      </c>
      <c r="R33" s="1360" t="s">
        <v>1481</v>
      </c>
      <c r="S33" s="1361">
        <f t="shared" si="12"/>
        <v>100</v>
      </c>
      <c r="T33" s="1360" t="s">
        <v>1481</v>
      </c>
      <c r="U33" s="1361">
        <f t="shared" si="13"/>
        <v>100</v>
      </c>
      <c r="V33" s="1360" t="s">
        <v>1481</v>
      </c>
      <c r="W33" s="1361">
        <f t="shared" si="14"/>
        <v>100</v>
      </c>
      <c r="X33" s="1354"/>
      <c r="Y33" s="3846"/>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46"/>
      <c r="Q34" s="739">
        <f t="shared" si="11"/>
        <v>111</v>
      </c>
      <c r="R34" s="1360" t="s">
        <v>1481</v>
      </c>
      <c r="S34" s="1361">
        <f t="shared" si="12"/>
        <v>100</v>
      </c>
      <c r="T34" s="1360" t="s">
        <v>1481</v>
      </c>
      <c r="U34" s="1361">
        <f t="shared" si="13"/>
        <v>100</v>
      </c>
      <c r="V34" s="1360" t="s">
        <v>1481</v>
      </c>
      <c r="W34" s="1361">
        <f t="shared" si="14"/>
        <v>100</v>
      </c>
      <c r="X34" s="1354"/>
      <c r="Y34" s="3846"/>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31" t="str">
        <f>A35</f>
        <v>成交单价（元/平方米）</v>
      </c>
      <c r="Q35" s="3831"/>
      <c r="R35" s="3832">
        <f>E35</f>
        <v>0</v>
      </c>
      <c r="S35" s="3832"/>
      <c r="T35" s="3832">
        <f>G35</f>
        <v>0</v>
      </c>
      <c r="U35" s="3832"/>
      <c r="V35" s="3832">
        <f>I35</f>
        <v>0</v>
      </c>
      <c r="W35" s="3832"/>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31" t="str">
        <f>A36</f>
        <v>比较价值（元/平方米）</v>
      </c>
      <c r="Q36" s="3831"/>
      <c r="R36" s="3832" t="e">
        <f>IF(F1="售价",ROUND(PRODUCT(R35,AA7:AA34),0),ROUND(PRODUCT(R35,AA7:AA34),1))</f>
        <v>#DIV/0!</v>
      </c>
      <c r="S36" s="3832"/>
      <c r="T36" s="3832" t="e">
        <f>IF(F1="售价",ROUND(PRODUCT(T35,AB7:AB34),0),ROUND(PRODUCT(T35,AB7:AB34),1))</f>
        <v>#DIV/0!</v>
      </c>
      <c r="U36" s="3832"/>
      <c r="V36" s="3832" t="e">
        <f>IF(F1="售价",ROUND(PRODUCT(V35,AC7:AC34),0),ROUND(PRODUCT(V35,AC7:AC34),1))</f>
        <v>#DIV/0!</v>
      </c>
      <c r="W36" s="3832"/>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33" t="str">
        <f>A37</f>
        <v>估价对象XX用房的比较价值（楼面单价，元/平方米）</v>
      </c>
      <c r="Q37" s="3834"/>
      <c r="R37" s="3879" t="e">
        <f>IF(F1="售价",ROUND(IF(D36="简单平均",AVERAGE(R36:W36),R36*F36+T36*H36+V36*J36),0),ROUND(IF(D36="简单平均",AVERAGE(R36:V36),R36*F36+T36*H36+V36*J36),1))</f>
        <v>#DIV/0!</v>
      </c>
      <c r="S37" s="3879"/>
      <c r="T37" s="3879"/>
      <c r="U37" s="3879"/>
      <c r="V37" s="3879"/>
      <c r="W37" s="3879"/>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2006-11</v>
      </c>
      <c r="D46" s="1578">
        <f>EDATE(C46,-1)</f>
        <v>38991</v>
      </c>
      <c r="E46" s="1578">
        <f t="shared" ref="E46:O46" si="16">EDATE(D46,-1)</f>
        <v>38961</v>
      </c>
      <c r="F46" s="1578">
        <f t="shared" si="16"/>
        <v>38930</v>
      </c>
      <c r="G46" s="1578">
        <f t="shared" si="16"/>
        <v>38899</v>
      </c>
      <c r="H46" s="1578">
        <f t="shared" si="16"/>
        <v>38869</v>
      </c>
      <c r="I46" s="1578">
        <f t="shared" si="16"/>
        <v>38838</v>
      </c>
      <c r="J46" s="1578">
        <f t="shared" si="16"/>
        <v>38808</v>
      </c>
      <c r="K46" s="1578">
        <f t="shared" si="16"/>
        <v>38777</v>
      </c>
      <c r="L46" s="1578">
        <f t="shared" si="16"/>
        <v>38749</v>
      </c>
      <c r="M46" s="1578">
        <f t="shared" si="16"/>
        <v>38718</v>
      </c>
      <c r="N46" s="1578">
        <f t="shared" si="16"/>
        <v>38687</v>
      </c>
      <c r="O46" s="1578">
        <f t="shared" si="16"/>
        <v>38657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1506</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853" t="s">
        <v>1470</v>
      </c>
      <c r="D4" s="3854"/>
      <c r="E4" s="3855" t="s">
        <v>1471</v>
      </c>
      <c r="F4" s="3856"/>
      <c r="G4" s="3853" t="s">
        <v>1472</v>
      </c>
      <c r="H4" s="3854"/>
      <c r="I4" s="3853" t="s">
        <v>1473</v>
      </c>
      <c r="J4" s="3854"/>
      <c r="K4" s="1310"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16" t="s">
        <v>1472</v>
      </c>
      <c r="AC4" s="3815" t="s">
        <v>1473</v>
      </c>
    </row>
    <row r="5" spans="1:30" ht="15">
      <c r="A5" s="1165"/>
      <c r="B5" s="1166"/>
      <c r="C5" s="3861" t="s">
        <v>1476</v>
      </c>
      <c r="D5" s="3858"/>
      <c r="E5" s="3862" t="s">
        <v>1783</v>
      </c>
      <c r="F5" s="3860"/>
      <c r="G5" s="3861" t="s">
        <v>1784</v>
      </c>
      <c r="H5" s="3858"/>
      <c r="I5" s="3861" t="s">
        <v>1785</v>
      </c>
      <c r="J5" s="3858"/>
      <c r="K5" s="1310"/>
      <c r="L5" s="1311"/>
      <c r="M5" s="1312"/>
      <c r="N5" s="1312"/>
      <c r="O5" s="1312"/>
      <c r="P5" s="3820"/>
      <c r="Q5" s="3821"/>
      <c r="R5" s="3826"/>
      <c r="S5" s="3827"/>
      <c r="T5" s="3826"/>
      <c r="U5" s="3827"/>
      <c r="V5" s="3830"/>
      <c r="W5" s="3830"/>
      <c r="X5" s="1354"/>
      <c r="Y5" s="3826"/>
      <c r="Z5" s="3827"/>
      <c r="AA5" s="3816"/>
      <c r="AB5" s="3816"/>
      <c r="AC5" s="3816"/>
    </row>
    <row r="6" spans="1:30" ht="15">
      <c r="A6" s="1167"/>
      <c r="B6" s="1168"/>
      <c r="C6" s="3848" t="s">
        <v>1477</v>
      </c>
      <c r="D6" s="3849"/>
      <c r="E6" s="3850" t="s">
        <v>1477</v>
      </c>
      <c r="F6" s="3851"/>
      <c r="G6" s="3848" t="s">
        <v>1477</v>
      </c>
      <c r="H6" s="3849"/>
      <c r="I6" s="3848" t="s">
        <v>1477</v>
      </c>
      <c r="J6" s="3849"/>
      <c r="K6" s="1310" t="s">
        <v>1478</v>
      </c>
      <c r="L6" s="1311"/>
      <c r="M6" s="1312"/>
      <c r="N6" s="1312"/>
      <c r="O6" s="1312"/>
      <c r="P6" s="3822"/>
      <c r="Q6" s="3823"/>
      <c r="R6" s="3826"/>
      <c r="S6" s="3827"/>
      <c r="T6" s="3828"/>
      <c r="U6" s="3829"/>
      <c r="V6" s="3830"/>
      <c r="W6" s="3830"/>
      <c r="X6" s="1354"/>
      <c r="Y6" s="3828"/>
      <c r="Z6" s="3829"/>
      <c r="AA6" s="3817"/>
      <c r="AB6" s="3817"/>
      <c r="AC6" s="3817"/>
    </row>
    <row r="7" spans="1:30" s="1144" customFormat="1" ht="15">
      <c r="A7" s="1169" t="s">
        <v>1479</v>
      </c>
      <c r="B7" s="1170"/>
      <c r="C7" s="1171">
        <f>'数据-取费表'!B2</f>
        <v>39031</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36" t="s">
        <v>1480</v>
      </c>
      <c r="Q7" s="3852"/>
      <c r="R7" s="1355" t="s">
        <v>1481</v>
      </c>
      <c r="S7" s="1356">
        <f t="shared" ref="S7:S15" si="0">F7</f>
        <v>0</v>
      </c>
      <c r="T7" s="1355" t="s">
        <v>1481</v>
      </c>
      <c r="U7" s="1356">
        <f t="shared" ref="U7:U15" si="1">H7</f>
        <v>0</v>
      </c>
      <c r="V7" s="1355" t="s">
        <v>1481</v>
      </c>
      <c r="W7" s="1356">
        <f t="shared" ref="W7:W15" si="2">J7</f>
        <v>0</v>
      </c>
      <c r="X7" s="1357"/>
      <c r="Y7" s="3836" t="s">
        <v>1480</v>
      </c>
      <c r="Z7" s="3837"/>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36" t="s">
        <v>1484</v>
      </c>
      <c r="Q8" s="3837"/>
      <c r="R8" s="1355" t="s">
        <v>1481</v>
      </c>
      <c r="S8" s="1356">
        <f t="shared" si="0"/>
        <v>0</v>
      </c>
      <c r="T8" s="1355" t="s">
        <v>1481</v>
      </c>
      <c r="U8" s="1356">
        <f t="shared" si="1"/>
        <v>0</v>
      </c>
      <c r="V8" s="1355" t="s">
        <v>1481</v>
      </c>
      <c r="W8" s="1356">
        <f t="shared" si="2"/>
        <v>0</v>
      </c>
      <c r="X8" s="1357"/>
      <c r="Y8" s="3836" t="s">
        <v>1484</v>
      </c>
      <c r="Z8" s="3837"/>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31"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31"/>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31"/>
      <c r="Q11" s="1359" t="str">
        <f t="shared" si="6"/>
        <v>容积率</v>
      </c>
      <c r="R11" s="1355" t="s">
        <v>1481</v>
      </c>
      <c r="S11" s="1356" t="e">
        <f t="shared" si="0"/>
        <v>#N/A</v>
      </c>
      <c r="T11" s="1355" t="s">
        <v>1481</v>
      </c>
      <c r="U11" s="1356" t="e">
        <f t="shared" si="1"/>
        <v>#N/A</v>
      </c>
      <c r="V11" s="1355" t="s">
        <v>1481</v>
      </c>
      <c r="W11" s="1356" t="e">
        <f t="shared" si="2"/>
        <v>#N/A</v>
      </c>
      <c r="X11" s="1357"/>
      <c r="Y11" s="3701"/>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31"/>
      <c r="Q12" s="1359" t="str">
        <f t="shared" si="6"/>
        <v>配建</v>
      </c>
      <c r="R12" s="1355" t="s">
        <v>1481</v>
      </c>
      <c r="S12" s="1356">
        <f t="shared" si="0"/>
        <v>100</v>
      </c>
      <c r="T12" s="1355" t="s">
        <v>1481</v>
      </c>
      <c r="U12" s="1356">
        <f t="shared" si="1"/>
        <v>100</v>
      </c>
      <c r="V12" s="1355" t="s">
        <v>1481</v>
      </c>
      <c r="W12" s="1356">
        <f t="shared" si="2"/>
        <v>100</v>
      </c>
      <c r="X12" s="1357"/>
      <c r="Y12" s="3701"/>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31"/>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31"/>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44" t="s">
        <v>1493</v>
      </c>
      <c r="Q15" s="739" t="str">
        <f t="shared" si="6"/>
        <v>居住社区成熟度</v>
      </c>
      <c r="R15" s="1360" t="s">
        <v>1481</v>
      </c>
      <c r="S15" s="1361">
        <f t="shared" si="0"/>
        <v>100</v>
      </c>
      <c r="T15" s="1360" t="s">
        <v>1481</v>
      </c>
      <c r="U15" s="1361">
        <f t="shared" si="1"/>
        <v>100</v>
      </c>
      <c r="V15" s="1360" t="s">
        <v>1481</v>
      </c>
      <c r="W15" s="1361">
        <f t="shared" si="2"/>
        <v>100</v>
      </c>
      <c r="X15" s="1354"/>
      <c r="Y15" s="3844"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45"/>
      <c r="Q16" s="739"/>
      <c r="R16" s="1360"/>
      <c r="S16" s="1361"/>
      <c r="T16" s="1360"/>
      <c r="U16" s="1361"/>
      <c r="V16" s="1360"/>
      <c r="W16" s="1361"/>
      <c r="X16" s="1354"/>
      <c r="Y16" s="3845"/>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45"/>
      <c r="Q17" s="739" t="str">
        <f>B17</f>
        <v>商业繁华度</v>
      </c>
      <c r="R17" s="1360" t="s">
        <v>1481</v>
      </c>
      <c r="S17" s="1361">
        <f>F17</f>
        <v>100</v>
      </c>
      <c r="T17" s="1360" t="s">
        <v>1481</v>
      </c>
      <c r="U17" s="1361">
        <f>H17</f>
        <v>100</v>
      </c>
      <c r="V17" s="1360" t="s">
        <v>1481</v>
      </c>
      <c r="W17" s="1361">
        <f>J17</f>
        <v>100</v>
      </c>
      <c r="X17" s="1354"/>
      <c r="Y17" s="3845"/>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45"/>
      <c r="Q18" s="739"/>
      <c r="R18" s="1360"/>
      <c r="S18" s="1361"/>
      <c r="T18" s="1360"/>
      <c r="U18" s="1361"/>
      <c r="V18" s="1360"/>
      <c r="W18" s="1361"/>
      <c r="X18" s="1354"/>
      <c r="Y18" s="3845"/>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45"/>
      <c r="Q19" s="739" t="str">
        <f>B19</f>
        <v>办公集聚程度</v>
      </c>
      <c r="R19" s="1360" t="s">
        <v>1481</v>
      </c>
      <c r="S19" s="1361">
        <f>F19</f>
        <v>100</v>
      </c>
      <c r="T19" s="1360" t="s">
        <v>1481</v>
      </c>
      <c r="U19" s="1361">
        <f>H19</f>
        <v>100</v>
      </c>
      <c r="V19" s="1360" t="s">
        <v>1481</v>
      </c>
      <c r="W19" s="1361">
        <f>J19</f>
        <v>100</v>
      </c>
      <c r="X19" s="1354"/>
      <c r="Y19" s="3845"/>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45"/>
      <c r="Q20" s="739"/>
      <c r="R20" s="1360"/>
      <c r="S20" s="1361"/>
      <c r="T20" s="1360"/>
      <c r="U20" s="1361"/>
      <c r="V20" s="1360"/>
      <c r="W20" s="1361"/>
      <c r="X20" s="1354"/>
      <c r="Y20" s="3845"/>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45"/>
      <c r="Q21" s="739" t="str">
        <f>B21</f>
        <v>交通便捷度</v>
      </c>
      <c r="R21" s="1360" t="s">
        <v>1481</v>
      </c>
      <c r="S21" s="1361">
        <f>F21</f>
        <v>100</v>
      </c>
      <c r="T21" s="1360" t="s">
        <v>1481</v>
      </c>
      <c r="U21" s="1361">
        <f>H21</f>
        <v>100</v>
      </c>
      <c r="V21" s="1360" t="s">
        <v>1481</v>
      </c>
      <c r="W21" s="1361">
        <f>J21</f>
        <v>100</v>
      </c>
      <c r="X21" s="1354"/>
      <c r="Y21" s="3845"/>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45"/>
      <c r="Q22" s="739"/>
      <c r="R22" s="1360"/>
      <c r="S22" s="1361"/>
      <c r="T22" s="1360"/>
      <c r="U22" s="1361"/>
      <c r="V22" s="1360"/>
      <c r="W22" s="1361"/>
      <c r="X22" s="1354"/>
      <c r="Y22" s="3845"/>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45"/>
      <c r="Q23" s="739" t="str">
        <f t="shared" ref="Q23:Q38" si="8">B23</f>
        <v>区域土地利用方向</v>
      </c>
      <c r="R23" s="1360" t="s">
        <v>1481</v>
      </c>
      <c r="S23" s="1361">
        <f>F23</f>
        <v>100</v>
      </c>
      <c r="T23" s="1360" t="s">
        <v>1481</v>
      </c>
      <c r="U23" s="1361">
        <f>H23</f>
        <v>100</v>
      </c>
      <c r="V23" s="1360" t="s">
        <v>1481</v>
      </c>
      <c r="W23" s="1361">
        <f>J23</f>
        <v>100</v>
      </c>
      <c r="X23" s="1354"/>
      <c r="Y23" s="3845"/>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45"/>
      <c r="Q24" s="739"/>
      <c r="R24" s="1360"/>
      <c r="S24" s="1361"/>
      <c r="T24" s="1360"/>
      <c r="U24" s="1361"/>
      <c r="V24" s="1360"/>
      <c r="W24" s="1361"/>
      <c r="X24" s="1354"/>
      <c r="Y24" s="3845"/>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45"/>
      <c r="Q25" s="739" t="str">
        <f t="shared" si="8"/>
        <v>自然及人文环境状况</v>
      </c>
      <c r="R25" s="1360" t="s">
        <v>1481</v>
      </c>
      <c r="S25" s="1361">
        <f>F25</f>
        <v>100</v>
      </c>
      <c r="T25" s="1360" t="s">
        <v>1481</v>
      </c>
      <c r="U25" s="1361">
        <f>H25</f>
        <v>100</v>
      </c>
      <c r="V25" s="1360" t="s">
        <v>1481</v>
      </c>
      <c r="W25" s="1361">
        <f>J25</f>
        <v>100</v>
      </c>
      <c r="X25" s="1354"/>
      <c r="Y25" s="3845"/>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45"/>
      <c r="Q26" s="739"/>
      <c r="R26" s="1360"/>
      <c r="S26" s="1361"/>
      <c r="T26" s="1360"/>
      <c r="U26" s="1361"/>
      <c r="V26" s="1360"/>
      <c r="W26" s="1361"/>
      <c r="X26" s="1354"/>
      <c r="Y26" s="3845"/>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45"/>
      <c r="Q27" s="1359" t="str">
        <f t="shared" si="8"/>
        <v>公共配套设施</v>
      </c>
      <c r="R27" s="1355" t="s">
        <v>1481</v>
      </c>
      <c r="S27" s="1356">
        <f>F27</f>
        <v>100</v>
      </c>
      <c r="T27" s="1355" t="s">
        <v>1481</v>
      </c>
      <c r="U27" s="1356">
        <f>H27</f>
        <v>100</v>
      </c>
      <c r="V27" s="1355" t="s">
        <v>1481</v>
      </c>
      <c r="W27" s="1356">
        <f>J27</f>
        <v>100</v>
      </c>
      <c r="X27" s="1357"/>
      <c r="Y27" s="3845"/>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45"/>
      <c r="Q28" s="1359"/>
      <c r="R28" s="1355"/>
      <c r="S28" s="1356"/>
      <c r="T28" s="1355"/>
      <c r="U28" s="1356"/>
      <c r="V28" s="1355"/>
      <c r="W28" s="1356"/>
      <c r="X28" s="1357"/>
      <c r="Y28" s="3845"/>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45"/>
      <c r="Q29" s="1359" t="str">
        <f t="shared" ref="Q29" si="9">B29</f>
        <v>基础设施水平</v>
      </c>
      <c r="R29" s="1355" t="s">
        <v>1481</v>
      </c>
      <c r="S29" s="1356">
        <f>F29</f>
        <v>100</v>
      </c>
      <c r="T29" s="1355" t="s">
        <v>1481</v>
      </c>
      <c r="U29" s="1356">
        <f>H29</f>
        <v>100</v>
      </c>
      <c r="V29" s="1355" t="s">
        <v>1481</v>
      </c>
      <c r="W29" s="1356">
        <f>J29</f>
        <v>100</v>
      </c>
      <c r="X29" s="1357"/>
      <c r="Y29" s="3845"/>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45"/>
      <c r="Q30" s="1359"/>
      <c r="R30" s="1355"/>
      <c r="S30" s="1356"/>
      <c r="T30" s="1355"/>
      <c r="U30" s="1356"/>
      <c r="V30" s="1355"/>
      <c r="W30" s="1356"/>
      <c r="X30" s="1357"/>
      <c r="Y30" s="3845"/>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45"/>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45"/>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45"/>
      <c r="Q32" s="739" t="str">
        <f t="shared" si="8"/>
        <v>毗邻道路的类型与等级</v>
      </c>
      <c r="R32" s="1360" t="s">
        <v>1481</v>
      </c>
      <c r="S32" s="1361">
        <f t="shared" si="10"/>
        <v>100</v>
      </c>
      <c r="T32" s="1360" t="s">
        <v>1481</v>
      </c>
      <c r="U32" s="1361">
        <f t="shared" si="11"/>
        <v>100</v>
      </c>
      <c r="V32" s="1360" t="s">
        <v>1481</v>
      </c>
      <c r="W32" s="1361">
        <f t="shared" si="12"/>
        <v>100</v>
      </c>
      <c r="X32" s="1354"/>
      <c r="Y32" s="3845"/>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45"/>
      <c r="Q33" s="739"/>
      <c r="R33" s="1360"/>
      <c r="S33" s="1361"/>
      <c r="T33" s="1360"/>
      <c r="U33" s="1361"/>
      <c r="V33" s="1360"/>
      <c r="W33" s="1361"/>
      <c r="X33" s="1354"/>
      <c r="Y33" s="3845"/>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45"/>
      <c r="Q34" s="739" t="str">
        <f t="shared" si="8"/>
        <v>土地级别</v>
      </c>
      <c r="R34" s="1360" t="s">
        <v>1481</v>
      </c>
      <c r="S34" s="1361">
        <f t="shared" si="10"/>
        <v>100</v>
      </c>
      <c r="T34" s="1360" t="s">
        <v>1481</v>
      </c>
      <c r="U34" s="1361">
        <f t="shared" si="11"/>
        <v>100</v>
      </c>
      <c r="V34" s="1360" t="s">
        <v>1481</v>
      </c>
      <c r="W34" s="1361">
        <f t="shared" si="12"/>
        <v>100</v>
      </c>
      <c r="X34" s="1354"/>
      <c r="Y34" s="3845"/>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45"/>
      <c r="Q35" s="739">
        <f t="shared" si="8"/>
        <v>111</v>
      </c>
      <c r="R35" s="1360" t="s">
        <v>1481</v>
      </c>
      <c r="S35" s="1361">
        <f t="shared" si="10"/>
        <v>100</v>
      </c>
      <c r="T35" s="1360" t="s">
        <v>1481</v>
      </c>
      <c r="U35" s="1361">
        <f t="shared" si="11"/>
        <v>100</v>
      </c>
      <c r="V35" s="1360" t="s">
        <v>1481</v>
      </c>
      <c r="W35" s="1361">
        <f t="shared" si="12"/>
        <v>100</v>
      </c>
      <c r="X35" s="1354"/>
      <c r="Y35" s="3845"/>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78" t="s">
        <v>1509</v>
      </c>
      <c r="Q36" s="739">
        <f t="shared" si="8"/>
        <v>111</v>
      </c>
      <c r="R36" s="1360" t="s">
        <v>1481</v>
      </c>
      <c r="S36" s="1361">
        <f t="shared" si="10"/>
        <v>100</v>
      </c>
      <c r="T36" s="1360" t="s">
        <v>1481</v>
      </c>
      <c r="U36" s="1361">
        <f t="shared" si="11"/>
        <v>100</v>
      </c>
      <c r="V36" s="1360" t="s">
        <v>1481</v>
      </c>
      <c r="W36" s="1361">
        <f t="shared" si="12"/>
        <v>100</v>
      </c>
      <c r="X36" s="1354"/>
      <c r="Y36" s="3846"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46"/>
      <c r="Q37" s="739">
        <f t="shared" si="8"/>
        <v>111</v>
      </c>
      <c r="R37" s="1362" t="s">
        <v>1481</v>
      </c>
      <c r="S37" s="1363">
        <f t="shared" si="10"/>
        <v>100</v>
      </c>
      <c r="T37" s="1362" t="s">
        <v>1481</v>
      </c>
      <c r="U37" s="1363">
        <f t="shared" si="11"/>
        <v>100</v>
      </c>
      <c r="V37" s="1362" t="s">
        <v>1481</v>
      </c>
      <c r="W37" s="1363">
        <f t="shared" si="12"/>
        <v>100</v>
      </c>
      <c r="X37" s="1364"/>
      <c r="Y37" s="3846"/>
      <c r="Z37" s="1372">
        <f t="shared" si="13"/>
        <v>111</v>
      </c>
      <c r="AA37" s="1371">
        <f t="shared" si="3"/>
        <v>1</v>
      </c>
      <c r="AB37" s="1371">
        <f t="shared" si="4"/>
        <v>1</v>
      </c>
      <c r="AC37" s="1371">
        <f t="shared" si="5"/>
        <v>1</v>
      </c>
    </row>
    <row r="38" spans="1:29" ht="15">
      <c r="A38" s="1236" t="s">
        <v>1506</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46"/>
      <c r="Q38" s="739" t="str">
        <f t="shared" si="8"/>
        <v>宗地面积</v>
      </c>
      <c r="R38" s="1360" t="s">
        <v>1481</v>
      </c>
      <c r="S38" s="1361" t="e">
        <f t="shared" si="10"/>
        <v>#N/A</v>
      </c>
      <c r="T38" s="1360" t="s">
        <v>1481</v>
      </c>
      <c r="U38" s="1361" t="e">
        <f t="shared" si="11"/>
        <v>#N/A</v>
      </c>
      <c r="V38" s="1360" t="s">
        <v>1481</v>
      </c>
      <c r="W38" s="1361" t="e">
        <f t="shared" si="12"/>
        <v>#N/A</v>
      </c>
      <c r="X38" s="1354"/>
      <c r="Y38" s="3846"/>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46"/>
      <c r="Q39" s="739" t="str">
        <f t="shared" ref="Q39:Q45" si="14">B39</f>
        <v>宗地形状</v>
      </c>
      <c r="R39" s="1360" t="s">
        <v>1481</v>
      </c>
      <c r="S39" s="1361">
        <f t="shared" si="10"/>
        <v>100</v>
      </c>
      <c r="T39" s="1360" t="s">
        <v>1481</v>
      </c>
      <c r="U39" s="1361">
        <f t="shared" si="11"/>
        <v>100</v>
      </c>
      <c r="V39" s="1360" t="s">
        <v>1481</v>
      </c>
      <c r="W39" s="1361">
        <f t="shared" si="12"/>
        <v>100</v>
      </c>
      <c r="X39" s="1354"/>
      <c r="Y39" s="3846"/>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46"/>
      <c r="Q40" s="739" t="str">
        <f t="shared" si="14"/>
        <v>临街宽度及深度</v>
      </c>
      <c r="R40" s="1360" t="s">
        <v>1481</v>
      </c>
      <c r="S40" s="1361">
        <f t="shared" si="10"/>
        <v>100</v>
      </c>
      <c r="T40" s="1360" t="s">
        <v>1481</v>
      </c>
      <c r="U40" s="1361">
        <f t="shared" si="11"/>
        <v>100</v>
      </c>
      <c r="V40" s="1360" t="s">
        <v>1481</v>
      </c>
      <c r="W40" s="1361">
        <f t="shared" si="12"/>
        <v>100</v>
      </c>
      <c r="X40" s="1354"/>
      <c r="Y40" s="3846"/>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46"/>
      <c r="Q41" s="739" t="str">
        <f t="shared" si="14"/>
        <v>宗地开发程度</v>
      </c>
      <c r="R41" s="1355" t="s">
        <v>1481</v>
      </c>
      <c r="S41" s="1356">
        <f t="shared" si="10"/>
        <v>100</v>
      </c>
      <c r="T41" s="1355" t="s">
        <v>1481</v>
      </c>
      <c r="U41" s="1356">
        <f t="shared" si="11"/>
        <v>100</v>
      </c>
      <c r="V41" s="1355" t="s">
        <v>1481</v>
      </c>
      <c r="W41" s="1356">
        <f t="shared" si="12"/>
        <v>100</v>
      </c>
      <c r="X41" s="1357"/>
      <c r="Y41" s="3846"/>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46" t="s">
        <v>1509</v>
      </c>
      <c r="Q42" s="739" t="str">
        <f t="shared" si="14"/>
        <v>工程地质条件</v>
      </c>
      <c r="R42" s="1360" t="s">
        <v>1481</v>
      </c>
      <c r="S42" s="1361">
        <f t="shared" si="10"/>
        <v>100</v>
      </c>
      <c r="T42" s="1360" t="s">
        <v>1481</v>
      </c>
      <c r="U42" s="1361">
        <f t="shared" si="11"/>
        <v>100</v>
      </c>
      <c r="V42" s="1360" t="s">
        <v>1481</v>
      </c>
      <c r="W42" s="1361">
        <f t="shared" si="12"/>
        <v>100</v>
      </c>
      <c r="X42" s="1354"/>
      <c r="Y42" s="3846"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46"/>
      <c r="Q43" s="739">
        <f t="shared" si="14"/>
        <v>111</v>
      </c>
      <c r="R43" s="1360" t="s">
        <v>1481</v>
      </c>
      <c r="S43" s="1361">
        <f t="shared" si="10"/>
        <v>100</v>
      </c>
      <c r="T43" s="1360" t="s">
        <v>1481</v>
      </c>
      <c r="U43" s="1361">
        <f t="shared" si="11"/>
        <v>100</v>
      </c>
      <c r="V43" s="1360" t="s">
        <v>1481</v>
      </c>
      <c r="W43" s="1361">
        <f t="shared" si="12"/>
        <v>100</v>
      </c>
      <c r="X43" s="1354"/>
      <c r="Y43" s="3846"/>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46"/>
      <c r="Q44" s="739">
        <f t="shared" si="14"/>
        <v>111</v>
      </c>
      <c r="R44" s="1360" t="s">
        <v>1481</v>
      </c>
      <c r="S44" s="1361">
        <f t="shared" si="10"/>
        <v>100</v>
      </c>
      <c r="T44" s="1360" t="s">
        <v>1481</v>
      </c>
      <c r="U44" s="1361">
        <f t="shared" si="11"/>
        <v>100</v>
      </c>
      <c r="V44" s="1360" t="s">
        <v>1481</v>
      </c>
      <c r="W44" s="1361">
        <f t="shared" si="12"/>
        <v>100</v>
      </c>
      <c r="X44" s="1354"/>
      <c r="Y44" s="3846"/>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46"/>
      <c r="Q45" s="739">
        <f t="shared" si="14"/>
        <v>111</v>
      </c>
      <c r="R45" s="1362" t="s">
        <v>1481</v>
      </c>
      <c r="S45" s="1363">
        <f t="shared" si="10"/>
        <v>100</v>
      </c>
      <c r="T45" s="1362" t="s">
        <v>1481</v>
      </c>
      <c r="U45" s="1363">
        <f t="shared" si="11"/>
        <v>100</v>
      </c>
      <c r="V45" s="1362" t="s">
        <v>1481</v>
      </c>
      <c r="W45" s="1363">
        <f t="shared" si="12"/>
        <v>100</v>
      </c>
      <c r="X45" s="1364"/>
      <c r="Y45" s="3846"/>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31" t="str">
        <f>A46</f>
        <v>成交单价</v>
      </c>
      <c r="Q46" s="3831"/>
      <c r="R46" s="3830">
        <f>E46</f>
        <v>0</v>
      </c>
      <c r="S46" s="3830"/>
      <c r="T46" s="3830">
        <f>G46</f>
        <v>0</v>
      </c>
      <c r="U46" s="3830"/>
      <c r="V46" s="3830">
        <f>I46</f>
        <v>0</v>
      </c>
      <c r="W46" s="3830"/>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31" t="str">
        <f>A47</f>
        <v>比较价值（元/平方米）</v>
      </c>
      <c r="Q47" s="3831"/>
      <c r="R47" s="3881" t="e">
        <f>ROUND(PRODUCT(R46,AA7:AA45),0)</f>
        <v>#DIV/0!</v>
      </c>
      <c r="S47" s="3881"/>
      <c r="T47" s="3881" t="e">
        <f>ROUND(PRODUCT(T46,AB7:AB45),0)</f>
        <v>#DIV/0!</v>
      </c>
      <c r="U47" s="3881"/>
      <c r="V47" s="3881" t="e">
        <f>ROUND(PRODUCT(V46,AC7:AC45),0)</f>
        <v>#DIV/0!</v>
      </c>
      <c r="W47" s="3881"/>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33" t="str">
        <f>A48</f>
        <v>估价对象XX用房的比较价值（楼面单价，元/平方米）</v>
      </c>
      <c r="Q48" s="3834"/>
      <c r="R48" s="3882" t="e">
        <f>ROUND(IF(D47="简单平均",AVERAGE(R47:W47),R47*F47+T47*H47+V47*J47),0)</f>
        <v>#DIV/0!</v>
      </c>
      <c r="S48" s="3882"/>
      <c r="T48" s="3882"/>
      <c r="U48" s="3882"/>
      <c r="V48" s="3882"/>
      <c r="W48" s="3882"/>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853" t="s">
        <v>1845</v>
      </c>
      <c r="H55" s="3880"/>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58.3</v>
      </c>
      <c r="F56" s="1504" t="e">
        <f t="shared" ref="F56:F64" si="15">ROUND(B56*E56/10000,0)</f>
        <v>#DIV/0!</v>
      </c>
      <c r="G56" s="3838"/>
      <c r="H56" s="3831"/>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58.3</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2006-11-1</v>
      </c>
      <c r="D67" s="1298">
        <f>EDATE(C67,-3)</f>
        <v>38930</v>
      </c>
      <c r="E67" s="1298">
        <f>EDATE(D67,-3)</f>
        <v>38838</v>
      </c>
      <c r="F67" s="1298">
        <f t="shared" ref="F67:O67" si="18">EDATE(E67,-3)</f>
        <v>38749</v>
      </c>
      <c r="G67" s="1298">
        <f t="shared" si="18"/>
        <v>38657</v>
      </c>
      <c r="H67" s="1298">
        <f t="shared" si="18"/>
        <v>38565</v>
      </c>
      <c r="I67" s="1298">
        <f t="shared" si="18"/>
        <v>38473</v>
      </c>
      <c r="J67" s="1298">
        <f t="shared" si="18"/>
        <v>38384</v>
      </c>
      <c r="K67" s="1298">
        <f t="shared" si="18"/>
        <v>38292</v>
      </c>
      <c r="L67" s="1298">
        <f t="shared" si="18"/>
        <v>38200</v>
      </c>
      <c r="M67" s="1298">
        <f t="shared" si="18"/>
        <v>38108</v>
      </c>
      <c r="N67" s="1298">
        <f t="shared" si="18"/>
        <v>38018</v>
      </c>
      <c r="O67" s="1298">
        <f t="shared" si="18"/>
        <v>37926</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2006-4</v>
      </c>
      <c r="D69" s="1376" t="str">
        <f>YEAR(D67)&amp;"-"&amp;ROUNDUP(MONTH(D67)/3,0)</f>
        <v>2006-3</v>
      </c>
      <c r="E69" s="1376" t="str">
        <f t="shared" ref="E69:O69" si="19">YEAR(E67)&amp;"-"&amp;ROUNDUP(MONTH(E67)/3,0)</f>
        <v>2006-2</v>
      </c>
      <c r="F69" s="1376" t="str">
        <f t="shared" si="19"/>
        <v>2006-1</v>
      </c>
      <c r="G69" s="1376" t="str">
        <f t="shared" si="19"/>
        <v>2005-4</v>
      </c>
      <c r="H69" s="1376" t="str">
        <f t="shared" si="19"/>
        <v>2005-3</v>
      </c>
      <c r="I69" s="1376" t="str">
        <f t="shared" si="19"/>
        <v>2005-2</v>
      </c>
      <c r="J69" s="1376" t="str">
        <f t="shared" si="19"/>
        <v>2005-1</v>
      </c>
      <c r="K69" s="1376" t="str">
        <f t="shared" si="19"/>
        <v>2004-4</v>
      </c>
      <c r="L69" s="1376" t="str">
        <f t="shared" si="19"/>
        <v>2004-3</v>
      </c>
      <c r="M69" s="1376" t="str">
        <f t="shared" si="19"/>
        <v>2004-2</v>
      </c>
      <c r="N69" s="1376" t="str">
        <f t="shared" si="19"/>
        <v>2004-1</v>
      </c>
      <c r="O69" s="1376" t="str">
        <f t="shared" si="19"/>
        <v>2003-4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1506</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53" t="s">
        <v>1470</v>
      </c>
      <c r="D4" s="3854"/>
      <c r="E4" s="3855" t="s">
        <v>1471</v>
      </c>
      <c r="F4" s="3856"/>
      <c r="G4" s="3853" t="s">
        <v>1472</v>
      </c>
      <c r="H4" s="3854"/>
      <c r="I4" s="3853" t="s">
        <v>1473</v>
      </c>
      <c r="J4" s="3854"/>
      <c r="K4" s="1310" t="s">
        <v>1474</v>
      </c>
      <c r="L4" s="1311"/>
      <c r="M4" s="1312"/>
      <c r="N4" s="1312"/>
      <c r="O4" s="1312"/>
      <c r="P4" s="3818" t="s">
        <v>1475</v>
      </c>
      <c r="Q4" s="3819"/>
      <c r="R4" s="3824" t="s">
        <v>1471</v>
      </c>
      <c r="S4" s="3825"/>
      <c r="T4" s="3824" t="s">
        <v>1472</v>
      </c>
      <c r="U4" s="3825"/>
      <c r="V4" s="3830" t="s">
        <v>1473</v>
      </c>
      <c r="W4" s="3830"/>
      <c r="X4" s="1354"/>
      <c r="Y4" s="3824" t="s">
        <v>1475</v>
      </c>
      <c r="Z4" s="3825"/>
      <c r="AA4" s="3815" t="s">
        <v>1471</v>
      </c>
      <c r="AB4" s="3816" t="s">
        <v>1472</v>
      </c>
      <c r="AC4" s="3815" t="s">
        <v>1473</v>
      </c>
    </row>
    <row r="5" spans="1:29" ht="15">
      <c r="A5" s="1165"/>
      <c r="B5" s="1166"/>
      <c r="C5" s="3861" t="s">
        <v>1476</v>
      </c>
      <c r="D5" s="3858"/>
      <c r="E5" s="3862" t="s">
        <v>1783</v>
      </c>
      <c r="F5" s="3860"/>
      <c r="G5" s="3861" t="s">
        <v>1784</v>
      </c>
      <c r="H5" s="3858"/>
      <c r="I5" s="3861" t="s">
        <v>1785</v>
      </c>
      <c r="J5" s="3858"/>
      <c r="K5" s="1310"/>
      <c r="L5" s="1311"/>
      <c r="M5" s="1312"/>
      <c r="N5" s="1312"/>
      <c r="O5" s="1312"/>
      <c r="P5" s="3820"/>
      <c r="Q5" s="3821"/>
      <c r="R5" s="3826"/>
      <c r="S5" s="3827"/>
      <c r="T5" s="3826"/>
      <c r="U5" s="3827"/>
      <c r="V5" s="3830"/>
      <c r="W5" s="3830"/>
      <c r="X5" s="1354"/>
      <c r="Y5" s="3826"/>
      <c r="Z5" s="3827"/>
      <c r="AA5" s="3816"/>
      <c r="AB5" s="3816"/>
      <c r="AC5" s="3816"/>
    </row>
    <row r="6" spans="1:29" ht="15">
      <c r="A6" s="1167"/>
      <c r="B6" s="1168"/>
      <c r="C6" s="3883" t="s">
        <v>1869</v>
      </c>
      <c r="D6" s="3884"/>
      <c r="E6" s="3885" t="s">
        <v>1869</v>
      </c>
      <c r="F6" s="3886"/>
      <c r="G6" s="3883" t="s">
        <v>1869</v>
      </c>
      <c r="H6" s="3884"/>
      <c r="I6" s="3883" t="s">
        <v>1869</v>
      </c>
      <c r="J6" s="3884"/>
      <c r="K6" s="1310" t="s">
        <v>1478</v>
      </c>
      <c r="L6" s="1311"/>
      <c r="M6" s="1312"/>
      <c r="N6" s="1312"/>
      <c r="O6" s="1312"/>
      <c r="P6" s="3822"/>
      <c r="Q6" s="3823"/>
      <c r="R6" s="3826"/>
      <c r="S6" s="3827"/>
      <c r="T6" s="3828"/>
      <c r="U6" s="3829"/>
      <c r="V6" s="3830"/>
      <c r="W6" s="3830"/>
      <c r="X6" s="1354"/>
      <c r="Y6" s="3828"/>
      <c r="Z6" s="3829"/>
      <c r="AA6" s="3817"/>
      <c r="AB6" s="3817"/>
      <c r="AC6" s="3817"/>
    </row>
    <row r="7" spans="1:29" s="1144" customFormat="1" ht="15">
      <c r="A7" s="1169" t="s">
        <v>1479</v>
      </c>
      <c r="B7" s="1170"/>
      <c r="C7" s="1171">
        <f>'数据-取费表'!B2</f>
        <v>39031</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36" t="s">
        <v>1480</v>
      </c>
      <c r="Q7" s="3852"/>
      <c r="R7" s="1355" t="s">
        <v>1481</v>
      </c>
      <c r="S7" s="1356">
        <f t="shared" ref="S7:S15" si="0">F7</f>
        <v>0</v>
      </c>
      <c r="T7" s="1355" t="s">
        <v>1481</v>
      </c>
      <c r="U7" s="1356">
        <f t="shared" ref="U7:U15" si="1">H7</f>
        <v>0</v>
      </c>
      <c r="V7" s="1355" t="s">
        <v>1481</v>
      </c>
      <c r="W7" s="1356">
        <f t="shared" ref="W7:W15" si="2">J7</f>
        <v>0</v>
      </c>
      <c r="X7" s="1357"/>
      <c r="Y7" s="3836" t="s">
        <v>1480</v>
      </c>
      <c r="Z7" s="3837"/>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36" t="s">
        <v>1484</v>
      </c>
      <c r="Q8" s="3837"/>
      <c r="R8" s="1355" t="s">
        <v>1481</v>
      </c>
      <c r="S8" s="1356">
        <f t="shared" si="0"/>
        <v>0</v>
      </c>
      <c r="T8" s="1355" t="s">
        <v>1481</v>
      </c>
      <c r="U8" s="1356">
        <f t="shared" si="1"/>
        <v>0</v>
      </c>
      <c r="V8" s="1355" t="s">
        <v>1481</v>
      </c>
      <c r="W8" s="1356">
        <f t="shared" si="2"/>
        <v>0</v>
      </c>
      <c r="X8" s="1357"/>
      <c r="Y8" s="3836" t="s">
        <v>1484</v>
      </c>
      <c r="Z8" s="3837"/>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31" t="s">
        <v>1487</v>
      </c>
      <c r="Q9" s="1359" t="str">
        <f t="shared" ref="Q9:Q15" si="6">B9</f>
        <v>用途</v>
      </c>
      <c r="R9" s="1355" t="s">
        <v>1481</v>
      </c>
      <c r="S9" s="1356">
        <f t="shared" si="0"/>
        <v>100</v>
      </c>
      <c r="T9" s="1355" t="s">
        <v>1481</v>
      </c>
      <c r="U9" s="1356">
        <f t="shared" si="1"/>
        <v>100</v>
      </c>
      <c r="V9" s="1355" t="s">
        <v>1481</v>
      </c>
      <c r="W9" s="1356">
        <f t="shared" si="2"/>
        <v>100</v>
      </c>
      <c r="X9" s="1357"/>
      <c r="Y9" s="3701"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31"/>
      <c r="Q10" s="1359" t="str">
        <f t="shared" si="6"/>
        <v>土地使用年限（年）</v>
      </c>
      <c r="R10" s="1355" t="s">
        <v>1481</v>
      </c>
      <c r="S10" s="1356">
        <f t="shared" si="0"/>
        <v>100</v>
      </c>
      <c r="T10" s="1355" t="s">
        <v>1481</v>
      </c>
      <c r="U10" s="1356">
        <f t="shared" si="1"/>
        <v>100</v>
      </c>
      <c r="V10" s="1355" t="s">
        <v>1481</v>
      </c>
      <c r="W10" s="1356">
        <f t="shared" si="2"/>
        <v>100</v>
      </c>
      <c r="X10" s="1357"/>
      <c r="Y10" s="3701"/>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31"/>
      <c r="Q11" s="1359" t="str">
        <f t="shared" si="6"/>
        <v>容积率</v>
      </c>
      <c r="R11" s="1355" t="s">
        <v>1481</v>
      </c>
      <c r="S11" s="1356" t="e">
        <f t="shared" si="0"/>
        <v>#N/A</v>
      </c>
      <c r="T11" s="1355" t="s">
        <v>1481</v>
      </c>
      <c r="U11" s="1356" t="e">
        <f t="shared" si="1"/>
        <v>#N/A</v>
      </c>
      <c r="V11" s="1355" t="s">
        <v>1481</v>
      </c>
      <c r="W11" s="1356" t="e">
        <f t="shared" si="2"/>
        <v>#N/A</v>
      </c>
      <c r="X11" s="1357"/>
      <c r="Y11" s="3701"/>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31"/>
      <c r="Q12" s="1359">
        <f t="shared" si="6"/>
        <v>111</v>
      </c>
      <c r="R12" s="1355" t="s">
        <v>1481</v>
      </c>
      <c r="S12" s="1356">
        <f t="shared" si="0"/>
        <v>100</v>
      </c>
      <c r="T12" s="1355" t="s">
        <v>1481</v>
      </c>
      <c r="U12" s="1356">
        <f t="shared" si="1"/>
        <v>100</v>
      </c>
      <c r="V12" s="1355" t="s">
        <v>1481</v>
      </c>
      <c r="W12" s="1356">
        <f t="shared" si="2"/>
        <v>100</v>
      </c>
      <c r="X12" s="1357"/>
      <c r="Y12" s="3701"/>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31"/>
      <c r="Q13" s="1359">
        <f t="shared" si="6"/>
        <v>111</v>
      </c>
      <c r="R13" s="1355" t="s">
        <v>1481</v>
      </c>
      <c r="S13" s="1356">
        <f t="shared" si="0"/>
        <v>100</v>
      </c>
      <c r="T13" s="1355" t="s">
        <v>1481</v>
      </c>
      <c r="U13" s="1356">
        <f t="shared" si="1"/>
        <v>100</v>
      </c>
      <c r="V13" s="1355" t="s">
        <v>1481</v>
      </c>
      <c r="W13" s="1356">
        <f t="shared" si="2"/>
        <v>100</v>
      </c>
      <c r="X13" s="1357"/>
      <c r="Y13" s="3701"/>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31"/>
      <c r="Q14" s="1359">
        <f t="shared" si="6"/>
        <v>111</v>
      </c>
      <c r="R14" s="1355" t="s">
        <v>1481</v>
      </c>
      <c r="S14" s="1356">
        <f t="shared" si="0"/>
        <v>100</v>
      </c>
      <c r="T14" s="1355" t="s">
        <v>1481</v>
      </c>
      <c r="U14" s="1356">
        <f t="shared" si="1"/>
        <v>100</v>
      </c>
      <c r="V14" s="1355" t="s">
        <v>1481</v>
      </c>
      <c r="W14" s="1356">
        <f t="shared" si="2"/>
        <v>100</v>
      </c>
      <c r="X14" s="1357"/>
      <c r="Y14" s="3701"/>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44" t="s">
        <v>1493</v>
      </c>
      <c r="Q15" s="739" t="str">
        <f t="shared" si="6"/>
        <v>产业集聚程度</v>
      </c>
      <c r="R15" s="1360" t="s">
        <v>1481</v>
      </c>
      <c r="S15" s="1361">
        <f t="shared" si="0"/>
        <v>100</v>
      </c>
      <c r="T15" s="1360" t="s">
        <v>1481</v>
      </c>
      <c r="U15" s="1361">
        <f t="shared" si="1"/>
        <v>100</v>
      </c>
      <c r="V15" s="1360" t="s">
        <v>1481</v>
      </c>
      <c r="W15" s="1361">
        <f t="shared" si="2"/>
        <v>100</v>
      </c>
      <c r="X15" s="1354"/>
      <c r="Y15" s="3844"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45"/>
      <c r="Q16" s="739"/>
      <c r="R16" s="1360"/>
      <c r="S16" s="1361"/>
      <c r="T16" s="1360"/>
      <c r="U16" s="1361"/>
      <c r="V16" s="1360"/>
      <c r="W16" s="1361"/>
      <c r="X16" s="1354"/>
      <c r="Y16" s="3845"/>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45"/>
      <c r="Q17" s="739" t="str">
        <f>B17</f>
        <v>交通便捷度</v>
      </c>
      <c r="R17" s="1360" t="s">
        <v>1481</v>
      </c>
      <c r="S17" s="1361">
        <f>F17</f>
        <v>100</v>
      </c>
      <c r="T17" s="1360" t="s">
        <v>1481</v>
      </c>
      <c r="U17" s="1361">
        <f>H17</f>
        <v>100</v>
      </c>
      <c r="V17" s="1360" t="s">
        <v>1481</v>
      </c>
      <c r="W17" s="1361">
        <f>J17</f>
        <v>100</v>
      </c>
      <c r="X17" s="1354"/>
      <c r="Y17" s="3845"/>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45"/>
      <c r="Q18" s="739"/>
      <c r="R18" s="1360"/>
      <c r="S18" s="1361"/>
      <c r="T18" s="1360"/>
      <c r="U18" s="1361"/>
      <c r="V18" s="1360"/>
      <c r="W18" s="1361"/>
      <c r="X18" s="1354"/>
      <c r="Y18" s="3845"/>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45"/>
      <c r="Q19" s="739" t="str">
        <f t="shared" ref="Q19:Q34" si="8">B19</f>
        <v>区域土地利用方向</v>
      </c>
      <c r="R19" s="1360" t="s">
        <v>1481</v>
      </c>
      <c r="S19" s="1361">
        <f>F19</f>
        <v>100</v>
      </c>
      <c r="T19" s="1360" t="s">
        <v>1481</v>
      </c>
      <c r="U19" s="1361">
        <f>H19</f>
        <v>100</v>
      </c>
      <c r="V19" s="1360" t="s">
        <v>1481</v>
      </c>
      <c r="W19" s="1361">
        <f>J19</f>
        <v>100</v>
      </c>
      <c r="X19" s="1354"/>
      <c r="Y19" s="3845"/>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45"/>
      <c r="Q20" s="739"/>
      <c r="R20" s="1360"/>
      <c r="S20" s="1361"/>
      <c r="T20" s="1360"/>
      <c r="U20" s="1361"/>
      <c r="V20" s="1360"/>
      <c r="W20" s="1361"/>
      <c r="X20" s="1354"/>
      <c r="Y20" s="3845"/>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45"/>
      <c r="Q21" s="739" t="str">
        <f t="shared" si="8"/>
        <v>环境状况</v>
      </c>
      <c r="R21" s="1360" t="s">
        <v>1481</v>
      </c>
      <c r="S21" s="1361">
        <f>F21</f>
        <v>100</v>
      </c>
      <c r="T21" s="1360" t="s">
        <v>1481</v>
      </c>
      <c r="U21" s="1361">
        <f>H21</f>
        <v>100</v>
      </c>
      <c r="V21" s="1360" t="s">
        <v>1481</v>
      </c>
      <c r="W21" s="1361">
        <f>J21</f>
        <v>100</v>
      </c>
      <c r="X21" s="1354"/>
      <c r="Y21" s="3845"/>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45"/>
      <c r="Q22" s="739"/>
      <c r="R22" s="1360"/>
      <c r="S22" s="1361"/>
      <c r="T22" s="1360"/>
      <c r="U22" s="1361"/>
      <c r="V22" s="1360"/>
      <c r="W22" s="1361"/>
      <c r="X22" s="1354"/>
      <c r="Y22" s="3845"/>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45"/>
      <c r="Q23" s="1359" t="str">
        <f t="shared" si="8"/>
        <v>公共配套设施</v>
      </c>
      <c r="R23" s="1355" t="s">
        <v>1481</v>
      </c>
      <c r="S23" s="1356">
        <f>F23</f>
        <v>100</v>
      </c>
      <c r="T23" s="1355" t="s">
        <v>1481</v>
      </c>
      <c r="U23" s="1356">
        <f>H23</f>
        <v>100</v>
      </c>
      <c r="V23" s="1355" t="s">
        <v>1481</v>
      </c>
      <c r="W23" s="1356">
        <f>J23</f>
        <v>100</v>
      </c>
      <c r="X23" s="1357"/>
      <c r="Y23" s="3845"/>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45"/>
      <c r="Q24" s="1359"/>
      <c r="R24" s="1355"/>
      <c r="S24" s="1356"/>
      <c r="T24" s="1355"/>
      <c r="U24" s="1356"/>
      <c r="V24" s="1355"/>
      <c r="W24" s="1356"/>
      <c r="X24" s="1357"/>
      <c r="Y24" s="3845"/>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45"/>
      <c r="Q25" s="1359" t="str">
        <f t="shared" ref="Q25" si="9">B25</f>
        <v>基础设施水平</v>
      </c>
      <c r="R25" s="1355" t="s">
        <v>1481</v>
      </c>
      <c r="S25" s="1356">
        <f>F25</f>
        <v>100</v>
      </c>
      <c r="T25" s="1355" t="s">
        <v>1481</v>
      </c>
      <c r="U25" s="1356">
        <f>H25</f>
        <v>100</v>
      </c>
      <c r="V25" s="1355" t="s">
        <v>1481</v>
      </c>
      <c r="W25" s="1356">
        <f>J25</f>
        <v>100</v>
      </c>
      <c r="X25" s="1357"/>
      <c r="Y25" s="3845"/>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45"/>
      <c r="Q26" s="1359"/>
      <c r="R26" s="1355"/>
      <c r="S26" s="1356"/>
      <c r="T26" s="1355"/>
      <c r="U26" s="1356"/>
      <c r="V26" s="1355"/>
      <c r="W26" s="1356"/>
      <c r="X26" s="1357"/>
      <c r="Y26" s="3845"/>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45"/>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45"/>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45"/>
      <c r="Q28" s="739" t="str">
        <f t="shared" si="8"/>
        <v>毗邻道路的类型与等级</v>
      </c>
      <c r="R28" s="1360" t="s">
        <v>1481</v>
      </c>
      <c r="S28" s="1361">
        <f t="shared" si="10"/>
        <v>100</v>
      </c>
      <c r="T28" s="1360" t="s">
        <v>1481</v>
      </c>
      <c r="U28" s="1361">
        <f t="shared" si="11"/>
        <v>100</v>
      </c>
      <c r="V28" s="1360" t="s">
        <v>1481</v>
      </c>
      <c r="W28" s="1361">
        <f t="shared" si="12"/>
        <v>100</v>
      </c>
      <c r="X28" s="1354"/>
      <c r="Y28" s="3845"/>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45"/>
      <c r="Q29" s="739"/>
      <c r="R29" s="1360"/>
      <c r="S29" s="1361"/>
      <c r="T29" s="1360"/>
      <c r="U29" s="1361"/>
      <c r="V29" s="1360"/>
      <c r="W29" s="1361"/>
      <c r="X29" s="1354"/>
      <c r="Y29" s="3845"/>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45"/>
      <c r="Q30" s="739" t="str">
        <f t="shared" si="8"/>
        <v>土地级别</v>
      </c>
      <c r="R30" s="1360" t="s">
        <v>1481</v>
      </c>
      <c r="S30" s="1361">
        <f t="shared" si="10"/>
        <v>100</v>
      </c>
      <c r="T30" s="1360" t="s">
        <v>1481</v>
      </c>
      <c r="U30" s="1361">
        <f t="shared" si="11"/>
        <v>100</v>
      </c>
      <c r="V30" s="1360" t="s">
        <v>1481</v>
      </c>
      <c r="W30" s="1361">
        <f t="shared" si="12"/>
        <v>100</v>
      </c>
      <c r="X30" s="1354"/>
      <c r="Y30" s="3845"/>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45"/>
      <c r="Q31" s="739">
        <f t="shared" si="8"/>
        <v>111</v>
      </c>
      <c r="R31" s="1360" t="s">
        <v>1481</v>
      </c>
      <c r="S31" s="1361">
        <f t="shared" si="10"/>
        <v>100</v>
      </c>
      <c r="T31" s="1360" t="s">
        <v>1481</v>
      </c>
      <c r="U31" s="1361">
        <f t="shared" si="11"/>
        <v>100</v>
      </c>
      <c r="V31" s="1360" t="s">
        <v>1481</v>
      </c>
      <c r="W31" s="1361">
        <f t="shared" si="12"/>
        <v>100</v>
      </c>
      <c r="X31" s="1354"/>
      <c r="Y31" s="3845"/>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78" t="s">
        <v>1509</v>
      </c>
      <c r="Q32" s="739">
        <f t="shared" si="8"/>
        <v>111</v>
      </c>
      <c r="R32" s="1360" t="s">
        <v>1481</v>
      </c>
      <c r="S32" s="1361">
        <f t="shared" si="10"/>
        <v>100</v>
      </c>
      <c r="T32" s="1360" t="s">
        <v>1481</v>
      </c>
      <c r="U32" s="1361">
        <f t="shared" si="11"/>
        <v>100</v>
      </c>
      <c r="V32" s="1360" t="s">
        <v>1481</v>
      </c>
      <c r="W32" s="1361">
        <f t="shared" si="12"/>
        <v>100</v>
      </c>
      <c r="X32" s="1354"/>
      <c r="Y32" s="3846"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46"/>
      <c r="Q33" s="739">
        <f t="shared" si="8"/>
        <v>111</v>
      </c>
      <c r="R33" s="1362" t="s">
        <v>1481</v>
      </c>
      <c r="S33" s="1363">
        <f t="shared" si="10"/>
        <v>100</v>
      </c>
      <c r="T33" s="1362" t="s">
        <v>1481</v>
      </c>
      <c r="U33" s="1363">
        <f t="shared" si="11"/>
        <v>100</v>
      </c>
      <c r="V33" s="1362" t="s">
        <v>1481</v>
      </c>
      <c r="W33" s="1363">
        <f t="shared" si="12"/>
        <v>100</v>
      </c>
      <c r="X33" s="1364"/>
      <c r="Y33" s="3846"/>
      <c r="Z33" s="1372">
        <f t="shared" si="13"/>
        <v>111</v>
      </c>
      <c r="AA33" s="1371">
        <f t="shared" si="3"/>
        <v>1</v>
      </c>
      <c r="AB33" s="1371">
        <f t="shared" si="4"/>
        <v>1</v>
      </c>
      <c r="AC33" s="1371">
        <f t="shared" si="5"/>
        <v>1</v>
      </c>
    </row>
    <row r="34" spans="1:31" ht="15">
      <c r="A34" s="1199" t="s">
        <v>1506</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46"/>
      <c r="Q34" s="739" t="str">
        <f t="shared" si="8"/>
        <v>宗地面积</v>
      </c>
      <c r="R34" s="1360" t="s">
        <v>1481</v>
      </c>
      <c r="S34" s="1361" t="e">
        <f t="shared" si="10"/>
        <v>#N/A</v>
      </c>
      <c r="T34" s="1360" t="s">
        <v>1481</v>
      </c>
      <c r="U34" s="1361" t="e">
        <f t="shared" si="11"/>
        <v>#N/A</v>
      </c>
      <c r="V34" s="1360" t="s">
        <v>1481</v>
      </c>
      <c r="W34" s="1361" t="e">
        <f t="shared" si="12"/>
        <v>#N/A</v>
      </c>
      <c r="X34" s="1354"/>
      <c r="Y34" s="3846"/>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46"/>
      <c r="Q35" s="739" t="str">
        <f t="shared" ref="Q35:Q40" si="14">B35</f>
        <v>宗地形状</v>
      </c>
      <c r="R35" s="1360" t="s">
        <v>1481</v>
      </c>
      <c r="S35" s="1361">
        <f t="shared" si="10"/>
        <v>100</v>
      </c>
      <c r="T35" s="1360" t="s">
        <v>1481</v>
      </c>
      <c r="U35" s="1361">
        <f t="shared" si="11"/>
        <v>100</v>
      </c>
      <c r="V35" s="1360" t="s">
        <v>1481</v>
      </c>
      <c r="W35" s="1361">
        <f t="shared" si="12"/>
        <v>100</v>
      </c>
      <c r="X35" s="1354"/>
      <c r="Y35" s="3846"/>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46"/>
      <c r="Q36" s="739" t="str">
        <f t="shared" si="14"/>
        <v>宗地开发程度</v>
      </c>
      <c r="R36" s="1355" t="s">
        <v>1481</v>
      </c>
      <c r="S36" s="1356">
        <f t="shared" si="10"/>
        <v>100</v>
      </c>
      <c r="T36" s="1355" t="s">
        <v>1481</v>
      </c>
      <c r="U36" s="1356">
        <f t="shared" si="11"/>
        <v>100</v>
      </c>
      <c r="V36" s="1355" t="s">
        <v>1481</v>
      </c>
      <c r="W36" s="1356">
        <f t="shared" si="12"/>
        <v>100</v>
      </c>
      <c r="X36" s="1357"/>
      <c r="Y36" s="3846"/>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46" t="s">
        <v>1509</v>
      </c>
      <c r="Q37" s="739" t="str">
        <f t="shared" si="14"/>
        <v>工程地质条件</v>
      </c>
      <c r="R37" s="1360" t="s">
        <v>1481</v>
      </c>
      <c r="S37" s="1361">
        <f t="shared" si="10"/>
        <v>100</v>
      </c>
      <c r="T37" s="1360" t="s">
        <v>1481</v>
      </c>
      <c r="U37" s="1361">
        <f t="shared" si="11"/>
        <v>100</v>
      </c>
      <c r="V37" s="1360" t="s">
        <v>1481</v>
      </c>
      <c r="W37" s="1361">
        <f t="shared" si="12"/>
        <v>100</v>
      </c>
      <c r="X37" s="1354"/>
      <c r="Y37" s="3846"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46"/>
      <c r="Q38" s="739">
        <f t="shared" si="14"/>
        <v>111</v>
      </c>
      <c r="R38" s="1360" t="s">
        <v>1481</v>
      </c>
      <c r="S38" s="1361">
        <f t="shared" si="10"/>
        <v>100</v>
      </c>
      <c r="T38" s="1360" t="s">
        <v>1481</v>
      </c>
      <c r="U38" s="1361">
        <f t="shared" si="11"/>
        <v>100</v>
      </c>
      <c r="V38" s="1360" t="s">
        <v>1481</v>
      </c>
      <c r="W38" s="1361">
        <f t="shared" si="12"/>
        <v>100</v>
      </c>
      <c r="X38" s="1354"/>
      <c r="Y38" s="3846"/>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46"/>
      <c r="Q39" s="739">
        <f t="shared" si="14"/>
        <v>111</v>
      </c>
      <c r="R39" s="1360" t="s">
        <v>1481</v>
      </c>
      <c r="S39" s="1361">
        <f t="shared" si="10"/>
        <v>100</v>
      </c>
      <c r="T39" s="1360" t="s">
        <v>1481</v>
      </c>
      <c r="U39" s="1361">
        <f t="shared" si="11"/>
        <v>100</v>
      </c>
      <c r="V39" s="1360" t="s">
        <v>1481</v>
      </c>
      <c r="W39" s="1361">
        <f t="shared" si="12"/>
        <v>100</v>
      </c>
      <c r="X39" s="1354"/>
      <c r="Y39" s="3846"/>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46"/>
      <c r="Q40" s="739">
        <f t="shared" si="14"/>
        <v>111</v>
      </c>
      <c r="R40" s="1362" t="s">
        <v>1481</v>
      </c>
      <c r="S40" s="1363">
        <f t="shared" si="10"/>
        <v>100</v>
      </c>
      <c r="T40" s="1362" t="s">
        <v>1481</v>
      </c>
      <c r="U40" s="1363">
        <f t="shared" si="11"/>
        <v>100</v>
      </c>
      <c r="V40" s="1362" t="s">
        <v>1481</v>
      </c>
      <c r="W40" s="1363">
        <f t="shared" si="12"/>
        <v>100</v>
      </c>
      <c r="X40" s="1364"/>
      <c r="Y40" s="3846"/>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31" t="str">
        <f>A41</f>
        <v>成交单价</v>
      </c>
      <c r="Q41" s="3831"/>
      <c r="R41" s="3830">
        <f>E41</f>
        <v>0</v>
      </c>
      <c r="S41" s="3830"/>
      <c r="T41" s="3830">
        <f>G41</f>
        <v>0</v>
      </c>
      <c r="U41" s="3830"/>
      <c r="V41" s="3830">
        <f>I41</f>
        <v>0</v>
      </c>
      <c r="W41" s="3830"/>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31" t="str">
        <f>A42</f>
        <v>比较价值（元/平方米）</v>
      </c>
      <c r="Q42" s="3831"/>
      <c r="R42" s="3881" t="e">
        <f>ROUND(PRODUCT(R41,AA7:AA40),0)</f>
        <v>#DIV/0!</v>
      </c>
      <c r="S42" s="3881"/>
      <c r="T42" s="3881" t="e">
        <f>ROUND(PRODUCT(T41,AB7:AB40),0)</f>
        <v>#DIV/0!</v>
      </c>
      <c r="U42" s="3881"/>
      <c r="V42" s="3881" t="e">
        <f>ROUND(PRODUCT(V41,AC7:AC40),0)</f>
        <v>#DIV/0!</v>
      </c>
      <c r="W42" s="3881"/>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33" t="str">
        <f>A43</f>
        <v>估价对象XX用房的比较价值（楼面单价，元/平方米）</v>
      </c>
      <c r="Q43" s="3834"/>
      <c r="R43" s="3882" t="e">
        <f>ROUND(IF(D42="简单平均",AVERAGE(R42:W42),R42*F42+T42*H42+V42*J42),0)</f>
        <v>#DIV/0!</v>
      </c>
      <c r="S43" s="3882"/>
      <c r="T43" s="3882"/>
      <c r="U43" s="3882"/>
      <c r="V43" s="3882"/>
      <c r="W43" s="3882"/>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853" t="s">
        <v>1845</v>
      </c>
      <c r="H50" s="3880"/>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58.3</v>
      </c>
      <c r="F51" s="1279" t="e">
        <f t="shared" ref="F51:F60" si="15">ROUND(B51*E51/10000,0)</f>
        <v>#DIV/0!</v>
      </c>
      <c r="G51" s="3838"/>
      <c r="H51" s="3831"/>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2006-11-1</v>
      </c>
      <c r="D63" s="1298">
        <f>EDATE(C63,-3)</f>
        <v>38930</v>
      </c>
      <c r="E63" s="1298">
        <f>EDATE(D63,-3)</f>
        <v>38838</v>
      </c>
      <c r="F63" s="1298">
        <f t="shared" ref="F63:O63" si="18">EDATE(E63,-3)</f>
        <v>38749</v>
      </c>
      <c r="G63" s="1298">
        <f t="shared" si="18"/>
        <v>38657</v>
      </c>
      <c r="H63" s="1298">
        <f t="shared" si="18"/>
        <v>38565</v>
      </c>
      <c r="I63" s="1298">
        <f t="shared" si="18"/>
        <v>38473</v>
      </c>
      <c r="J63" s="1298">
        <f t="shared" si="18"/>
        <v>38384</v>
      </c>
      <c r="K63" s="1298">
        <f t="shared" si="18"/>
        <v>38292</v>
      </c>
      <c r="L63" s="1298">
        <f t="shared" si="18"/>
        <v>38200</v>
      </c>
      <c r="M63" s="1298">
        <f t="shared" si="18"/>
        <v>38108</v>
      </c>
      <c r="N63" s="1298">
        <f t="shared" si="18"/>
        <v>38018</v>
      </c>
      <c r="O63" s="1298">
        <f t="shared" si="18"/>
        <v>37926</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2006-4</v>
      </c>
      <c r="D65" s="1376" t="str">
        <f t="shared" ref="D65:O65" si="19">YEAR(D63)&amp;"-"&amp;ROUNDUP(MONTH(D63)/3,0)</f>
        <v>2006-3</v>
      </c>
      <c r="E65" s="1376" t="str">
        <f t="shared" si="19"/>
        <v>2006-2</v>
      </c>
      <c r="F65" s="1376" t="str">
        <f t="shared" si="19"/>
        <v>2006-1</v>
      </c>
      <c r="G65" s="1376" t="str">
        <f t="shared" si="19"/>
        <v>2005-4</v>
      </c>
      <c r="H65" s="1376" t="str">
        <f t="shared" si="19"/>
        <v>2005-3</v>
      </c>
      <c r="I65" s="1376" t="str">
        <f t="shared" si="19"/>
        <v>2005-2</v>
      </c>
      <c r="J65" s="1376" t="str">
        <f t="shared" si="19"/>
        <v>2005-1</v>
      </c>
      <c r="K65" s="1376" t="str">
        <f t="shared" si="19"/>
        <v>2004-4</v>
      </c>
      <c r="L65" s="1376" t="str">
        <f t="shared" si="19"/>
        <v>2004-3</v>
      </c>
      <c r="M65" s="1376" t="str">
        <f t="shared" si="19"/>
        <v>2004-2</v>
      </c>
      <c r="N65" s="1376" t="str">
        <f t="shared" si="19"/>
        <v>2004-1</v>
      </c>
      <c r="O65" s="1376" t="str">
        <f t="shared" si="19"/>
        <v>2003-4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1506</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887" t="s">
        <v>1875</v>
      </c>
      <c r="D1" s="3888"/>
      <c r="E1" s="3888"/>
      <c r="F1" s="3888"/>
      <c r="G1" s="3888"/>
      <c r="H1" s="3888"/>
      <c r="I1" s="3888"/>
      <c r="J1" s="3888"/>
      <c r="K1" s="3888"/>
      <c r="L1" s="3888"/>
      <c r="M1" s="3888"/>
      <c r="N1" s="3888"/>
      <c r="O1" s="3888"/>
      <c r="P1" s="3888"/>
      <c r="Q1" s="3888"/>
      <c r="R1" s="3888"/>
      <c r="S1" s="3889"/>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890" t="s">
        <v>124</v>
      </c>
      <c r="D22" s="3891"/>
      <c r="E22" s="3891"/>
      <c r="F22" s="3891"/>
      <c r="G22" s="3891"/>
      <c r="H22" s="3891"/>
      <c r="I22" s="3891"/>
      <c r="J22" s="3891"/>
      <c r="K22" s="3891"/>
      <c r="L22" s="3891"/>
      <c r="M22" s="3891"/>
      <c r="N22" s="3891"/>
      <c r="O22" s="3891"/>
      <c r="P22" s="3891"/>
      <c r="Q22" s="3892"/>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893"/>
      <c r="B4" s="3894"/>
      <c r="C4" s="3894"/>
      <c r="D4" s="3895"/>
      <c r="E4" s="3895"/>
      <c r="F4" s="3895"/>
      <c r="G4" s="3895"/>
      <c r="H4" s="3895"/>
      <c r="I4" s="3895"/>
      <c r="J4" s="3896"/>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897" t="s">
        <v>1932</v>
      </c>
      <c r="X8" s="3898"/>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911"/>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911"/>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903" t="s">
        <v>1981</v>
      </c>
      <c r="B20" s="703" t="s">
        <v>1982</v>
      </c>
      <c r="C20" s="704" t="e">
        <f>ROUND(IF(F21="与级别开发程度一致",0,(G21-E21)/C21),0)</f>
        <v>#DIV/0!</v>
      </c>
      <c r="D20" s="705" t="s">
        <v>1983</v>
      </c>
      <c r="E20" s="706"/>
      <c r="F20" s="3899" t="s">
        <v>1984</v>
      </c>
      <c r="G20" s="3900"/>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904"/>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39031</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6.3E-2</v>
      </c>
      <c r="M36" s="904">
        <f>ROUND($L$36*(1+M31),3)</f>
        <v>7.9000000000000001E-2</v>
      </c>
      <c r="N36" s="904">
        <f>ROUND($L$36*(1+N31),3)</f>
        <v>7.5999999999999998E-2</v>
      </c>
      <c r="O36" s="904">
        <f>ROUND($L$36*(1+O31),3)</f>
        <v>7.1999999999999995E-2</v>
      </c>
      <c r="P36" s="904">
        <f>ROUND($L$36*(1+P31),3)</f>
        <v>6.9000000000000006E-2</v>
      </c>
      <c r="Q36" s="904">
        <f>ROUND($L$36*(1+Q31),3)</f>
        <v>7.1999999999999995E-2</v>
      </c>
      <c r="R36" s="614"/>
      <c r="S36" s="614"/>
      <c r="T36" s="614"/>
      <c r="U36" s="614"/>
      <c r="V36" s="614"/>
      <c r="W36" s="614"/>
      <c r="X36" s="614"/>
      <c r="Y36" s="614"/>
      <c r="Z36" s="790"/>
      <c r="AA36" s="790"/>
      <c r="AB36" s="790"/>
      <c r="AC36" s="790"/>
      <c r="AD36" s="790"/>
      <c r="AE36" s="790"/>
      <c r="AF36" s="790"/>
      <c r="AG36" s="945"/>
      <c r="AH36" s="945"/>
      <c r="AI36" s="945"/>
      <c r="AJ36" s="945"/>
    </row>
    <row r="37" spans="1:37" ht="24">
      <c r="A37" s="3905"/>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6.8000000000000005E-2</v>
      </c>
      <c r="M37" s="904">
        <f>ROUND($L$37*(1+M31),3)</f>
        <v>8.5000000000000006E-2</v>
      </c>
      <c r="N37" s="904">
        <f t="shared" ref="N37:Q37" si="3">ROUND($L$37*(1+N31),3)</f>
        <v>8.2000000000000003E-2</v>
      </c>
      <c r="O37" s="904">
        <f t="shared" si="3"/>
        <v>7.8E-2</v>
      </c>
      <c r="P37" s="904">
        <f t="shared" si="3"/>
        <v>7.4999999999999997E-2</v>
      </c>
      <c r="Q37" s="904">
        <f t="shared" si="3"/>
        <v>7.8E-2</v>
      </c>
      <c r="R37" s="614"/>
      <c r="S37" s="614"/>
      <c r="T37" s="614"/>
      <c r="U37" s="614"/>
      <c r="V37" s="614"/>
      <c r="W37" s="614"/>
      <c r="X37" s="614"/>
      <c r="Y37" s="614"/>
      <c r="Z37" s="790"/>
      <c r="AA37" s="790"/>
      <c r="AB37" s="790"/>
      <c r="AC37" s="790"/>
      <c r="AD37" s="790"/>
      <c r="AE37" s="790"/>
      <c r="AF37" s="790"/>
      <c r="AG37" s="945"/>
      <c r="AH37" s="945"/>
      <c r="AI37" s="945"/>
      <c r="AJ37" s="945"/>
    </row>
    <row r="38" spans="1:37">
      <c r="A38" s="3906"/>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906"/>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901" t="s">
        <v>2081</v>
      </c>
      <c r="B103" s="3901"/>
      <c r="C103" s="3901"/>
      <c r="D103" s="3901"/>
      <c r="E103" s="3901"/>
      <c r="F103" s="3901"/>
      <c r="G103" s="3901"/>
      <c r="H103" s="3901"/>
      <c r="I103" s="3901"/>
      <c r="J103" s="3901"/>
      <c r="K103" s="974"/>
      <c r="L103" s="974"/>
      <c r="M103" s="974"/>
      <c r="N103" s="974"/>
    </row>
    <row r="104" spans="1:14">
      <c r="A104" s="3907" t="s">
        <v>2082</v>
      </c>
      <c r="B104" s="3907" t="s">
        <v>2083</v>
      </c>
      <c r="C104" s="976" t="s">
        <v>2084</v>
      </c>
      <c r="D104" s="977"/>
      <c r="E104" s="977"/>
      <c r="F104" s="977"/>
      <c r="G104" s="977"/>
      <c r="H104" s="977"/>
      <c r="I104" s="977"/>
      <c r="J104" s="997"/>
      <c r="K104" s="998"/>
      <c r="L104" s="998"/>
      <c r="M104" s="998"/>
      <c r="N104" s="998"/>
    </row>
    <row r="105" spans="1:14">
      <c r="A105" s="3907"/>
      <c r="B105" s="3907"/>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908"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909"/>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909"/>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909"/>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909"/>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909"/>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910"/>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902" t="s">
        <v>2086</v>
      </c>
      <c r="B113" s="3902"/>
      <c r="C113" s="3902"/>
      <c r="D113" s="3902"/>
      <c r="E113" s="3902"/>
      <c r="F113" s="3902"/>
      <c r="G113" s="3902"/>
      <c r="H113" s="3902"/>
      <c r="I113" s="3902"/>
      <c r="J113" s="3902"/>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916" t="s">
        <v>2101</v>
      </c>
      <c r="B20" s="3922" t="s">
        <v>2111</v>
      </c>
      <c r="C20" s="579" t="s">
        <v>2112</v>
      </c>
      <c r="D20" s="580"/>
      <c r="E20" s="581">
        <v>1</v>
      </c>
      <c r="F20" s="582" t="s">
        <v>2113</v>
      </c>
      <c r="G20" s="582"/>
    </row>
    <row r="21" spans="1:13" ht="19.5" customHeight="1">
      <c r="A21" s="3917"/>
      <c r="B21" s="3915"/>
      <c r="C21" s="583" t="s">
        <v>2114</v>
      </c>
      <c r="D21" s="584"/>
      <c r="E21" s="585">
        <v>1</v>
      </c>
      <c r="F21" s="582" t="s">
        <v>2115</v>
      </c>
      <c r="G21" s="582"/>
    </row>
    <row r="22" spans="1:13" ht="19.5" customHeight="1">
      <c r="A22" s="3917"/>
      <c r="B22" s="3915"/>
      <c r="C22" s="583" t="s">
        <v>2116</v>
      </c>
      <c r="D22" s="584"/>
      <c r="E22" s="585">
        <v>0.9</v>
      </c>
      <c r="F22" s="582" t="s">
        <v>2117</v>
      </c>
      <c r="G22" s="582"/>
    </row>
    <row r="23" spans="1:13" ht="19.5" customHeight="1">
      <c r="A23" s="3917"/>
      <c r="B23" s="3915"/>
      <c r="C23" s="583" t="s">
        <v>2118</v>
      </c>
      <c r="D23" s="584"/>
      <c r="E23" s="585">
        <v>0.9</v>
      </c>
      <c r="F23" s="582" t="s">
        <v>2119</v>
      </c>
      <c r="G23" s="582"/>
    </row>
    <row r="24" spans="1:13" ht="19.5" customHeight="1">
      <c r="A24" s="3917"/>
      <c r="B24" s="3915"/>
      <c r="C24" s="583" t="s">
        <v>2120</v>
      </c>
      <c r="D24" s="584"/>
      <c r="E24" s="585">
        <v>0.8</v>
      </c>
      <c r="F24" s="582" t="s">
        <v>2121</v>
      </c>
      <c r="G24" s="582"/>
    </row>
    <row r="25" spans="1:13" ht="19.5" customHeight="1">
      <c r="A25" s="3918"/>
      <c r="B25" s="3923"/>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919" t="s">
        <v>280</v>
      </c>
      <c r="B27" s="3922" t="s">
        <v>280</v>
      </c>
      <c r="C27" s="579" t="s">
        <v>2126</v>
      </c>
      <c r="D27" s="580"/>
      <c r="E27" s="581">
        <v>1</v>
      </c>
      <c r="F27" s="582" t="s">
        <v>2127</v>
      </c>
      <c r="G27" s="582"/>
    </row>
    <row r="28" spans="1:13" ht="19.5" customHeight="1">
      <c r="A28" s="3920"/>
      <c r="B28" s="3915"/>
      <c r="C28" s="583" t="s">
        <v>2128</v>
      </c>
      <c r="D28" s="584"/>
      <c r="E28" s="585">
        <v>1</v>
      </c>
      <c r="F28" s="582" t="s">
        <v>2129</v>
      </c>
      <c r="G28" s="582"/>
    </row>
    <row r="29" spans="1:13" ht="19.5" customHeight="1">
      <c r="A29" s="3920"/>
      <c r="B29" s="3915"/>
      <c r="C29" s="583" t="s">
        <v>2130</v>
      </c>
      <c r="D29" s="584"/>
      <c r="E29" s="585">
        <v>0.8</v>
      </c>
      <c r="F29" s="582" t="s">
        <v>2131</v>
      </c>
      <c r="G29" s="582"/>
    </row>
    <row r="30" spans="1:13" ht="19.5" customHeight="1">
      <c r="A30" s="3920"/>
      <c r="B30" s="3915"/>
      <c r="C30" s="583" t="s">
        <v>2132</v>
      </c>
      <c r="D30" s="584"/>
      <c r="E30" s="585">
        <v>0.8</v>
      </c>
      <c r="F30" s="582" t="s">
        <v>2133</v>
      </c>
      <c r="G30" s="582"/>
    </row>
    <row r="31" spans="1:13" ht="19.5" customHeight="1">
      <c r="A31" s="3920"/>
      <c r="B31" s="3915"/>
      <c r="C31" s="583" t="s">
        <v>2134</v>
      </c>
      <c r="D31" s="584"/>
      <c r="E31" s="585">
        <v>0.8</v>
      </c>
      <c r="F31" s="582" t="s">
        <v>2135</v>
      </c>
      <c r="G31" s="582"/>
    </row>
    <row r="32" spans="1:13" ht="19.5" customHeight="1">
      <c r="A32" s="3920"/>
      <c r="B32" s="3915"/>
      <c r="C32" s="583" t="s">
        <v>2136</v>
      </c>
      <c r="D32" s="584"/>
      <c r="E32" s="585">
        <v>0.7</v>
      </c>
      <c r="F32" s="582" t="s">
        <v>2137</v>
      </c>
      <c r="G32" s="582"/>
    </row>
    <row r="33" spans="1:7" ht="19.5" customHeight="1">
      <c r="A33" s="3920"/>
      <c r="B33" s="3915"/>
      <c r="C33" s="583" t="s">
        <v>2138</v>
      </c>
      <c r="D33" s="584"/>
      <c r="E33" s="585">
        <v>0.8</v>
      </c>
      <c r="F33" s="582" t="s">
        <v>2139</v>
      </c>
      <c r="G33" s="582"/>
    </row>
    <row r="34" spans="1:7" ht="19.5" customHeight="1">
      <c r="A34" s="3920"/>
      <c r="B34" s="3915"/>
      <c r="C34" s="583" t="s">
        <v>2140</v>
      </c>
      <c r="D34" s="584"/>
      <c r="E34" s="585">
        <v>0.6</v>
      </c>
      <c r="F34" s="582" t="s">
        <v>2141</v>
      </c>
      <c r="G34" s="582"/>
    </row>
    <row r="35" spans="1:7" ht="19.5" customHeight="1">
      <c r="A35" s="3920"/>
      <c r="B35" s="3915"/>
      <c r="C35" s="583" t="s">
        <v>2142</v>
      </c>
      <c r="D35" s="584"/>
      <c r="E35" s="585">
        <v>0.2</v>
      </c>
      <c r="F35" s="582" t="s">
        <v>2143</v>
      </c>
      <c r="G35" s="582"/>
    </row>
    <row r="36" spans="1:7" ht="19.5" customHeight="1">
      <c r="A36" s="3920"/>
      <c r="B36" s="3915"/>
      <c r="C36" s="583" t="s">
        <v>2144</v>
      </c>
      <c r="D36" s="584"/>
      <c r="E36" s="585">
        <v>0.2</v>
      </c>
      <c r="F36" s="582" t="s">
        <v>2145</v>
      </c>
      <c r="G36" s="582"/>
    </row>
    <row r="37" spans="1:7" ht="19.5" customHeight="1">
      <c r="A37" s="3920"/>
      <c r="B37" s="3913" t="s">
        <v>2146</v>
      </c>
      <c r="C37" s="583" t="s">
        <v>2147</v>
      </c>
      <c r="D37" s="584"/>
      <c r="E37" s="585">
        <v>0.6</v>
      </c>
      <c r="F37" s="582" t="s">
        <v>2148</v>
      </c>
      <c r="G37" s="582"/>
    </row>
    <row r="38" spans="1:7" ht="19.5" customHeight="1">
      <c r="A38" s="3920"/>
      <c r="B38" s="3915"/>
      <c r="C38" s="583" t="s">
        <v>2149</v>
      </c>
      <c r="D38" s="584"/>
      <c r="E38" s="585">
        <v>0.6</v>
      </c>
      <c r="F38" s="582" t="s">
        <v>2150</v>
      </c>
      <c r="G38" s="582"/>
    </row>
    <row r="39" spans="1:7" ht="19.5" customHeight="1">
      <c r="A39" s="3921"/>
      <c r="B39" s="3923"/>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916" t="s">
        <v>408</v>
      </c>
      <c r="B41" s="3922" t="s">
        <v>2155</v>
      </c>
      <c r="C41" s="579" t="s">
        <v>2156</v>
      </c>
      <c r="D41" s="580"/>
      <c r="E41" s="581">
        <v>1</v>
      </c>
      <c r="F41" s="582" t="s">
        <v>2157</v>
      </c>
      <c r="G41" s="582"/>
    </row>
    <row r="42" spans="1:7" ht="19.5" customHeight="1">
      <c r="A42" s="3917"/>
      <c r="B42" s="3915"/>
      <c r="C42" s="583" t="s">
        <v>2158</v>
      </c>
      <c r="D42" s="584"/>
      <c r="E42" s="585">
        <v>1</v>
      </c>
      <c r="F42" s="582" t="s">
        <v>2159</v>
      </c>
      <c r="G42" s="582"/>
    </row>
    <row r="43" spans="1:7" ht="19.5" customHeight="1">
      <c r="A43" s="3917"/>
      <c r="B43" s="3914"/>
      <c r="C43" s="583" t="s">
        <v>2160</v>
      </c>
      <c r="D43" s="584"/>
      <c r="E43" s="585">
        <v>1.5</v>
      </c>
      <c r="F43" s="582" t="s">
        <v>2161</v>
      </c>
      <c r="G43" s="582"/>
    </row>
    <row r="44" spans="1:7" ht="19.5" customHeight="1">
      <c r="A44" s="3917"/>
      <c r="B44" s="595" t="s">
        <v>280</v>
      </c>
      <c r="C44" s="583" t="s">
        <v>2103</v>
      </c>
      <c r="D44" s="584"/>
      <c r="E44" s="585">
        <v>2</v>
      </c>
      <c r="F44" s="582" t="s">
        <v>2162</v>
      </c>
      <c r="G44" s="582"/>
    </row>
    <row r="45" spans="1:7" ht="19.5" customHeight="1">
      <c r="A45" s="3917"/>
      <c r="B45" s="3913" t="s">
        <v>2163</v>
      </c>
      <c r="C45" s="583" t="s">
        <v>2164</v>
      </c>
      <c r="D45" s="584"/>
      <c r="E45" s="585">
        <v>1</v>
      </c>
      <c r="F45" s="582" t="s">
        <v>2165</v>
      </c>
      <c r="G45" s="582"/>
    </row>
    <row r="46" spans="1:7" ht="19.5" customHeight="1">
      <c r="A46" s="3917"/>
      <c r="B46" s="3915"/>
      <c r="C46" s="583" t="s">
        <v>2166</v>
      </c>
      <c r="D46" s="584"/>
      <c r="E46" s="585">
        <v>1</v>
      </c>
      <c r="F46" s="582" t="s">
        <v>2167</v>
      </c>
      <c r="G46" s="582"/>
    </row>
    <row r="47" spans="1:7" ht="19.5" customHeight="1">
      <c r="A47" s="3917"/>
      <c r="B47" s="3915"/>
      <c r="C47" s="583" t="s">
        <v>2168</v>
      </c>
      <c r="D47" s="584"/>
      <c r="E47" s="585">
        <v>1</v>
      </c>
      <c r="F47" s="582" t="s">
        <v>2169</v>
      </c>
      <c r="G47" s="582"/>
    </row>
    <row r="48" spans="1:7" ht="19.5" customHeight="1">
      <c r="A48" s="3917"/>
      <c r="B48" s="3915"/>
      <c r="C48" s="583" t="s">
        <v>2170</v>
      </c>
      <c r="D48" s="584"/>
      <c r="E48" s="585">
        <v>1</v>
      </c>
      <c r="F48" s="582" t="s">
        <v>2171</v>
      </c>
      <c r="G48" s="582"/>
    </row>
    <row r="49" spans="1:7" ht="19.5" customHeight="1">
      <c r="A49" s="3917"/>
      <c r="B49" s="3915"/>
      <c r="C49" s="583" t="s">
        <v>2172</v>
      </c>
      <c r="D49" s="584"/>
      <c r="E49" s="585">
        <v>1</v>
      </c>
      <c r="F49" s="582" t="s">
        <v>2173</v>
      </c>
      <c r="G49" s="582"/>
    </row>
    <row r="50" spans="1:7" ht="19.5" customHeight="1">
      <c r="A50" s="3917"/>
      <c r="B50" s="3915"/>
      <c r="C50" s="583" t="s">
        <v>2174</v>
      </c>
      <c r="D50" s="584"/>
      <c r="E50" s="585">
        <v>1</v>
      </c>
      <c r="F50" s="582" t="s">
        <v>2175</v>
      </c>
      <c r="G50" s="582"/>
    </row>
    <row r="51" spans="1:7" ht="19.5" customHeight="1">
      <c r="A51" s="3918"/>
      <c r="B51" s="3923"/>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913" t="s">
        <v>2189</v>
      </c>
      <c r="C73" s="571" t="s">
        <v>2190</v>
      </c>
      <c r="D73" s="571" t="s">
        <v>2191</v>
      </c>
      <c r="E73" s="595">
        <v>0.2</v>
      </c>
      <c r="F73" s="595">
        <v>25</v>
      </c>
    </row>
    <row r="74" spans="1:7" ht="24">
      <c r="A74" s="595">
        <v>2</v>
      </c>
      <c r="B74" s="3915"/>
      <c r="C74" s="571" t="s">
        <v>2192</v>
      </c>
      <c r="D74" s="571" t="s">
        <v>2193</v>
      </c>
      <c r="E74" s="595">
        <v>0.2</v>
      </c>
      <c r="F74" s="595">
        <v>25</v>
      </c>
    </row>
    <row r="75" spans="1:7" ht="24">
      <c r="A75" s="595">
        <v>3</v>
      </c>
      <c r="B75" s="3915"/>
      <c r="C75" s="571" t="s">
        <v>2194</v>
      </c>
      <c r="D75" s="571" t="s">
        <v>2195</v>
      </c>
      <c r="E75" s="595">
        <v>0.2</v>
      </c>
      <c r="F75" s="595">
        <v>25</v>
      </c>
    </row>
    <row r="76" spans="1:7" ht="13.5">
      <c r="A76" s="595">
        <v>4</v>
      </c>
      <c r="B76" s="3915"/>
      <c r="C76" s="571" t="s">
        <v>2196</v>
      </c>
      <c r="D76" s="571" t="s">
        <v>2197</v>
      </c>
      <c r="E76" s="595">
        <v>0.15</v>
      </c>
      <c r="F76" s="595">
        <v>20</v>
      </c>
    </row>
    <row r="77" spans="1:7" ht="24">
      <c r="A77" s="595">
        <v>5</v>
      </c>
      <c r="B77" s="3915"/>
      <c r="C77" s="571" t="s">
        <v>2198</v>
      </c>
      <c r="D77" s="571" t="s">
        <v>2199</v>
      </c>
      <c r="E77" s="595">
        <v>0.15</v>
      </c>
      <c r="F77" s="595">
        <v>20</v>
      </c>
    </row>
    <row r="78" spans="1:7" ht="24">
      <c r="A78" s="595">
        <v>6</v>
      </c>
      <c r="B78" s="3915"/>
      <c r="C78" s="571" t="s">
        <v>2200</v>
      </c>
      <c r="D78" s="571" t="s">
        <v>2201</v>
      </c>
      <c r="E78" s="595">
        <v>0.15</v>
      </c>
      <c r="F78" s="595">
        <v>20</v>
      </c>
    </row>
    <row r="79" spans="1:7" ht="24">
      <c r="A79" s="595">
        <v>7</v>
      </c>
      <c r="B79" s="3915"/>
      <c r="C79" s="571" t="s">
        <v>2202</v>
      </c>
      <c r="D79" s="571" t="s">
        <v>2203</v>
      </c>
      <c r="E79" s="595">
        <v>0.15</v>
      </c>
      <c r="F79" s="595">
        <v>20</v>
      </c>
    </row>
    <row r="80" spans="1:7" ht="24">
      <c r="A80" s="595">
        <v>8</v>
      </c>
      <c r="B80" s="3915"/>
      <c r="C80" s="571" t="s">
        <v>2204</v>
      </c>
      <c r="D80" s="571" t="s">
        <v>2205</v>
      </c>
      <c r="E80" s="595">
        <v>0.1</v>
      </c>
      <c r="F80" s="595">
        <v>15</v>
      </c>
    </row>
    <row r="81" spans="1:6" ht="24">
      <c r="A81" s="595">
        <v>9</v>
      </c>
      <c r="B81" s="3915"/>
      <c r="C81" s="571" t="s">
        <v>2206</v>
      </c>
      <c r="D81" s="571" t="s">
        <v>2207</v>
      </c>
      <c r="E81" s="595">
        <v>0.1</v>
      </c>
      <c r="F81" s="595">
        <v>15</v>
      </c>
    </row>
    <row r="82" spans="1:6" ht="24">
      <c r="A82" s="595">
        <v>10</v>
      </c>
      <c r="B82" s="3915"/>
      <c r="C82" s="571" t="s">
        <v>2208</v>
      </c>
      <c r="D82" s="571" t="s">
        <v>2209</v>
      </c>
      <c r="E82" s="595">
        <v>0.1</v>
      </c>
      <c r="F82" s="595">
        <v>15</v>
      </c>
    </row>
    <row r="83" spans="1:6" ht="24">
      <c r="A83" s="595">
        <v>11</v>
      </c>
      <c r="B83" s="3915"/>
      <c r="C83" s="571" t="s">
        <v>2210</v>
      </c>
      <c r="D83" s="571" t="s">
        <v>2211</v>
      </c>
      <c r="E83" s="595">
        <v>0.1</v>
      </c>
      <c r="F83" s="595">
        <v>15</v>
      </c>
    </row>
    <row r="84" spans="1:6" ht="24">
      <c r="A84" s="595">
        <v>12</v>
      </c>
      <c r="B84" s="3915"/>
      <c r="C84" s="571" t="s">
        <v>2212</v>
      </c>
      <c r="D84" s="571" t="s">
        <v>2213</v>
      </c>
      <c r="E84" s="595">
        <v>0.1</v>
      </c>
      <c r="F84" s="595">
        <v>15</v>
      </c>
    </row>
    <row r="85" spans="1:6" ht="13.5">
      <c r="A85" s="595">
        <v>13</v>
      </c>
      <c r="B85" s="3915"/>
      <c r="C85" s="571" t="s">
        <v>2214</v>
      </c>
      <c r="D85" s="571" t="s">
        <v>2215</v>
      </c>
      <c r="E85" s="595">
        <v>0.1</v>
      </c>
      <c r="F85" s="595">
        <v>15</v>
      </c>
    </row>
    <row r="86" spans="1:6" ht="13.5">
      <c r="A86" s="595">
        <v>14</v>
      </c>
      <c r="B86" s="3915"/>
      <c r="C86" s="571" t="s">
        <v>2216</v>
      </c>
      <c r="D86" s="571" t="s">
        <v>2217</v>
      </c>
      <c r="E86" s="595">
        <v>0.1</v>
      </c>
      <c r="F86" s="595">
        <v>15</v>
      </c>
    </row>
    <row r="87" spans="1:6" ht="13.5">
      <c r="A87" s="595">
        <v>15</v>
      </c>
      <c r="B87" s="3915"/>
      <c r="C87" s="571" t="s">
        <v>2218</v>
      </c>
      <c r="D87" s="571" t="s">
        <v>2219</v>
      </c>
      <c r="E87" s="595">
        <v>0.1</v>
      </c>
      <c r="F87" s="595">
        <v>15</v>
      </c>
    </row>
    <row r="88" spans="1:6" ht="24">
      <c r="A88" s="595">
        <v>16</v>
      </c>
      <c r="B88" s="3915"/>
      <c r="C88" s="571" t="s">
        <v>2220</v>
      </c>
      <c r="D88" s="571" t="s">
        <v>2221</v>
      </c>
      <c r="E88" s="595">
        <v>0.1</v>
      </c>
      <c r="F88" s="595">
        <v>15</v>
      </c>
    </row>
    <row r="89" spans="1:6" ht="24">
      <c r="A89" s="595">
        <v>17</v>
      </c>
      <c r="B89" s="3914"/>
      <c r="C89" s="571" t="s">
        <v>2222</v>
      </c>
      <c r="D89" s="571" t="s">
        <v>2223</v>
      </c>
      <c r="E89" s="595">
        <v>0.1</v>
      </c>
      <c r="F89" s="595">
        <v>15</v>
      </c>
    </row>
    <row r="90" spans="1:6" ht="13.5">
      <c r="A90" s="595">
        <v>18</v>
      </c>
      <c r="B90" s="3913" t="s">
        <v>2224</v>
      </c>
      <c r="C90" s="571" t="s">
        <v>2225</v>
      </c>
      <c r="D90" s="571" t="s">
        <v>2226</v>
      </c>
      <c r="E90" s="595">
        <v>0.2</v>
      </c>
      <c r="F90" s="595">
        <v>25</v>
      </c>
    </row>
    <row r="91" spans="1:6" ht="24">
      <c r="A91" s="595">
        <v>19</v>
      </c>
      <c r="B91" s="3915"/>
      <c r="C91" s="571" t="s">
        <v>2227</v>
      </c>
      <c r="D91" s="571" t="s">
        <v>2228</v>
      </c>
      <c r="E91" s="595">
        <v>0.2</v>
      </c>
      <c r="F91" s="595">
        <v>25</v>
      </c>
    </row>
    <row r="92" spans="1:6" ht="13.5">
      <c r="A92" s="595">
        <v>20</v>
      </c>
      <c r="B92" s="3915"/>
      <c r="C92" s="571" t="s">
        <v>2229</v>
      </c>
      <c r="D92" s="571" t="s">
        <v>2230</v>
      </c>
      <c r="E92" s="595">
        <v>0.15</v>
      </c>
      <c r="F92" s="595">
        <v>20</v>
      </c>
    </row>
    <row r="93" spans="1:6" ht="13.5">
      <c r="A93" s="595">
        <v>21</v>
      </c>
      <c r="B93" s="3915"/>
      <c r="C93" s="571" t="s">
        <v>2231</v>
      </c>
      <c r="D93" s="571" t="s">
        <v>2232</v>
      </c>
      <c r="E93" s="595">
        <v>0.15</v>
      </c>
      <c r="F93" s="595">
        <v>20</v>
      </c>
    </row>
    <row r="94" spans="1:6" ht="13.5">
      <c r="A94" s="595">
        <v>22</v>
      </c>
      <c r="B94" s="3915"/>
      <c r="C94" s="571" t="s">
        <v>2233</v>
      </c>
      <c r="D94" s="571" t="s">
        <v>2234</v>
      </c>
      <c r="E94" s="595">
        <v>0.15</v>
      </c>
      <c r="F94" s="595">
        <v>20</v>
      </c>
    </row>
    <row r="95" spans="1:6" ht="36">
      <c r="A95" s="595">
        <v>23</v>
      </c>
      <c r="B95" s="3915"/>
      <c r="C95" s="571" t="s">
        <v>2235</v>
      </c>
      <c r="D95" s="571" t="s">
        <v>2236</v>
      </c>
      <c r="E95" s="595">
        <v>0.15</v>
      </c>
      <c r="F95" s="595">
        <v>20</v>
      </c>
    </row>
    <row r="96" spans="1:6" ht="13.5">
      <c r="A96" s="595">
        <v>24</v>
      </c>
      <c r="B96" s="3915"/>
      <c r="C96" s="571" t="s">
        <v>2237</v>
      </c>
      <c r="D96" s="571" t="s">
        <v>2238</v>
      </c>
      <c r="E96" s="595">
        <v>0.1</v>
      </c>
      <c r="F96" s="595">
        <v>15</v>
      </c>
    </row>
    <row r="97" spans="1:6" ht="13.5">
      <c r="A97" s="595">
        <v>25</v>
      </c>
      <c r="B97" s="3915"/>
      <c r="C97" s="571" t="s">
        <v>2239</v>
      </c>
      <c r="D97" s="571" t="s">
        <v>2240</v>
      </c>
      <c r="E97" s="595">
        <v>0.1</v>
      </c>
      <c r="F97" s="595">
        <v>15</v>
      </c>
    </row>
    <row r="98" spans="1:6" ht="24">
      <c r="A98" s="595">
        <v>26</v>
      </c>
      <c r="B98" s="3915"/>
      <c r="C98" s="571" t="s">
        <v>2241</v>
      </c>
      <c r="D98" s="571" t="s">
        <v>2242</v>
      </c>
      <c r="E98" s="595">
        <v>0.1</v>
      </c>
      <c r="F98" s="595">
        <v>15</v>
      </c>
    </row>
    <row r="99" spans="1:6" ht="24">
      <c r="A99" s="595">
        <v>27</v>
      </c>
      <c r="B99" s="3915"/>
      <c r="C99" s="571" t="s">
        <v>2243</v>
      </c>
      <c r="D99" s="571" t="s">
        <v>2244</v>
      </c>
      <c r="E99" s="595">
        <v>0.1</v>
      </c>
      <c r="F99" s="595">
        <v>15</v>
      </c>
    </row>
    <row r="100" spans="1:6" ht="13.5">
      <c r="A100" s="595">
        <v>28</v>
      </c>
      <c r="B100" s="3915"/>
      <c r="C100" s="571" t="s">
        <v>2245</v>
      </c>
      <c r="D100" s="571" t="s">
        <v>2246</v>
      </c>
      <c r="E100" s="595">
        <v>0.1</v>
      </c>
      <c r="F100" s="595">
        <v>15</v>
      </c>
    </row>
    <row r="101" spans="1:6" ht="13.5">
      <c r="A101" s="595">
        <v>29</v>
      </c>
      <c r="B101" s="3915"/>
      <c r="C101" s="571" t="s">
        <v>2247</v>
      </c>
      <c r="D101" s="571" t="s">
        <v>2248</v>
      </c>
      <c r="E101" s="595">
        <v>0.1</v>
      </c>
      <c r="F101" s="595">
        <v>15</v>
      </c>
    </row>
    <row r="102" spans="1:6" ht="13.5">
      <c r="A102" s="595">
        <v>30</v>
      </c>
      <c r="B102" s="3915"/>
      <c r="C102" s="571" t="s">
        <v>2249</v>
      </c>
      <c r="D102" s="571" t="s">
        <v>2250</v>
      </c>
      <c r="E102" s="595">
        <v>0.1</v>
      </c>
      <c r="F102" s="595">
        <v>15</v>
      </c>
    </row>
    <row r="103" spans="1:6" ht="24">
      <c r="A103" s="595">
        <v>31</v>
      </c>
      <c r="B103" s="3915"/>
      <c r="C103" s="571" t="s">
        <v>2251</v>
      </c>
      <c r="D103" s="571" t="s">
        <v>2252</v>
      </c>
      <c r="E103" s="595">
        <v>0.1</v>
      </c>
      <c r="F103" s="595">
        <v>15</v>
      </c>
    </row>
    <row r="104" spans="1:6" ht="24">
      <c r="A104" s="595">
        <v>32</v>
      </c>
      <c r="B104" s="3915"/>
      <c r="C104" s="571" t="s">
        <v>2253</v>
      </c>
      <c r="D104" s="571" t="s">
        <v>2254</v>
      </c>
      <c r="E104" s="595">
        <v>0.1</v>
      </c>
      <c r="F104" s="595">
        <v>15</v>
      </c>
    </row>
    <row r="105" spans="1:6" ht="24">
      <c r="A105" s="595">
        <v>33</v>
      </c>
      <c r="B105" s="3915"/>
      <c r="C105" s="571" t="s">
        <v>2255</v>
      </c>
      <c r="D105" s="571" t="s">
        <v>2256</v>
      </c>
      <c r="E105" s="595">
        <v>0.1</v>
      </c>
      <c r="F105" s="595">
        <v>15</v>
      </c>
    </row>
    <row r="106" spans="1:6" ht="24">
      <c r="A106" s="595">
        <v>34</v>
      </c>
      <c r="B106" s="3914"/>
      <c r="C106" s="571" t="s">
        <v>2257</v>
      </c>
      <c r="D106" s="571" t="s">
        <v>2258</v>
      </c>
      <c r="E106" s="595">
        <v>0.1</v>
      </c>
      <c r="F106" s="595">
        <v>15</v>
      </c>
    </row>
    <row r="107" spans="1:6" ht="24">
      <c r="A107" s="595">
        <v>35</v>
      </c>
      <c r="B107" s="3913" t="s">
        <v>1711</v>
      </c>
      <c r="C107" s="595" t="s">
        <v>2259</v>
      </c>
      <c r="D107" s="571" t="s">
        <v>2260</v>
      </c>
      <c r="E107" s="595">
        <v>0.15</v>
      </c>
      <c r="F107" s="595">
        <v>20</v>
      </c>
    </row>
    <row r="108" spans="1:6" ht="13.5">
      <c r="A108" s="595">
        <v>36</v>
      </c>
      <c r="B108" s="3915"/>
      <c r="C108" s="595" t="s">
        <v>2261</v>
      </c>
      <c r="D108" s="571" t="s">
        <v>2262</v>
      </c>
      <c r="E108" s="595">
        <v>0.15</v>
      </c>
      <c r="F108" s="595">
        <v>20</v>
      </c>
    </row>
    <row r="109" spans="1:6" ht="13.5">
      <c r="A109" s="595">
        <v>37</v>
      </c>
      <c r="B109" s="3915"/>
      <c r="C109" s="595" t="s">
        <v>2263</v>
      </c>
      <c r="D109" s="571" t="s">
        <v>2264</v>
      </c>
      <c r="E109" s="595">
        <v>0.15</v>
      </c>
      <c r="F109" s="595">
        <v>20</v>
      </c>
    </row>
    <row r="110" spans="1:6" ht="13.5">
      <c r="A110" s="595">
        <v>38</v>
      </c>
      <c r="B110" s="3915"/>
      <c r="C110" s="595" t="s">
        <v>2265</v>
      </c>
      <c r="D110" s="571" t="s">
        <v>2266</v>
      </c>
      <c r="E110" s="595">
        <v>0.1</v>
      </c>
      <c r="F110" s="595">
        <v>15</v>
      </c>
    </row>
    <row r="111" spans="1:6" ht="24">
      <c r="A111" s="595">
        <v>39</v>
      </c>
      <c r="B111" s="3915"/>
      <c r="C111" s="595" t="s">
        <v>2267</v>
      </c>
      <c r="D111" s="571" t="s">
        <v>2268</v>
      </c>
      <c r="E111" s="595">
        <v>0.1</v>
      </c>
      <c r="F111" s="595">
        <v>15</v>
      </c>
    </row>
    <row r="112" spans="1:6" ht="24">
      <c r="A112" s="595">
        <v>40</v>
      </c>
      <c r="B112" s="3914"/>
      <c r="C112" s="595" t="s">
        <v>2269</v>
      </c>
      <c r="D112" s="571" t="s">
        <v>2270</v>
      </c>
      <c r="E112" s="595">
        <v>0.1</v>
      </c>
      <c r="F112" s="595">
        <v>15</v>
      </c>
    </row>
    <row r="113" spans="1:6" ht="13.5">
      <c r="A113" s="595">
        <v>41</v>
      </c>
      <c r="B113" s="3912" t="s">
        <v>2271</v>
      </c>
      <c r="C113" s="595" t="s">
        <v>2272</v>
      </c>
      <c r="D113" s="571" t="s">
        <v>2273</v>
      </c>
      <c r="E113" s="595">
        <v>0.1</v>
      </c>
      <c r="F113" s="595">
        <v>15</v>
      </c>
    </row>
    <row r="114" spans="1:6" ht="13.5">
      <c r="A114" s="595">
        <v>42</v>
      </c>
      <c r="B114" s="3912"/>
      <c r="C114" s="595" t="s">
        <v>2274</v>
      </c>
      <c r="D114" s="571" t="s">
        <v>2275</v>
      </c>
      <c r="E114" s="595">
        <v>0.1</v>
      </c>
      <c r="F114" s="595">
        <v>15</v>
      </c>
    </row>
    <row r="115" spans="1:6" ht="24">
      <c r="A115" s="595">
        <v>43</v>
      </c>
      <c r="B115" s="3912"/>
      <c r="C115" s="595" t="s">
        <v>2276</v>
      </c>
      <c r="D115" s="571" t="s">
        <v>2277</v>
      </c>
      <c r="E115" s="595">
        <v>0.1</v>
      </c>
      <c r="F115" s="595">
        <v>15</v>
      </c>
    </row>
    <row r="116" spans="1:6" ht="13.5">
      <c r="A116" s="595">
        <v>44</v>
      </c>
      <c r="B116" s="3913" t="s">
        <v>2278</v>
      </c>
      <c r="C116" s="595" t="s">
        <v>2279</v>
      </c>
      <c r="D116" s="571" t="s">
        <v>2280</v>
      </c>
      <c r="E116" s="595">
        <v>0.1</v>
      </c>
      <c r="F116" s="595">
        <v>15</v>
      </c>
    </row>
    <row r="117" spans="1:6" ht="24">
      <c r="A117" s="595">
        <v>45</v>
      </c>
      <c r="B117" s="3914"/>
      <c r="C117" s="571" t="s">
        <v>2281</v>
      </c>
      <c r="D117" s="571" t="s">
        <v>2282</v>
      </c>
      <c r="E117" s="595">
        <v>0.1</v>
      </c>
      <c r="F117" s="595">
        <v>15</v>
      </c>
    </row>
    <row r="118" spans="1:6" ht="24">
      <c r="A118" s="595">
        <v>46</v>
      </c>
      <c r="B118" s="3913" t="s">
        <v>2283</v>
      </c>
      <c r="C118" s="595" t="s">
        <v>2284</v>
      </c>
      <c r="D118" s="571" t="s">
        <v>2285</v>
      </c>
      <c r="E118" s="595">
        <v>0.1</v>
      </c>
      <c r="F118" s="595">
        <v>15</v>
      </c>
    </row>
    <row r="119" spans="1:6" ht="24">
      <c r="A119" s="595">
        <v>47</v>
      </c>
      <c r="B119" s="3914"/>
      <c r="C119" s="595" t="s">
        <v>2286</v>
      </c>
      <c r="D119" s="571" t="s">
        <v>2287</v>
      </c>
      <c r="E119" s="595">
        <v>0.1</v>
      </c>
      <c r="F119" s="595">
        <v>15</v>
      </c>
    </row>
    <row r="120" spans="1:6" ht="13.5">
      <c r="A120" s="595">
        <v>48</v>
      </c>
      <c r="B120" s="3913" t="s">
        <v>2288</v>
      </c>
      <c r="C120" s="595" t="s">
        <v>2289</v>
      </c>
      <c r="D120" s="571" t="s">
        <v>2290</v>
      </c>
      <c r="E120" s="595">
        <v>0.1</v>
      </c>
      <c r="F120" s="595">
        <v>15</v>
      </c>
    </row>
    <row r="121" spans="1:6" ht="13.5">
      <c r="A121" s="595">
        <v>49</v>
      </c>
      <c r="B121" s="3914"/>
      <c r="C121" s="595" t="s">
        <v>2291</v>
      </c>
      <c r="D121" s="571" t="s">
        <v>2292</v>
      </c>
      <c r="E121" s="595">
        <v>0.1</v>
      </c>
      <c r="F121" s="595">
        <v>15</v>
      </c>
    </row>
    <row r="122" spans="1:6" ht="24">
      <c r="A122" s="595">
        <v>50</v>
      </c>
      <c r="B122" s="3912" t="s">
        <v>2293</v>
      </c>
      <c r="C122" s="595" t="s">
        <v>2294</v>
      </c>
      <c r="D122" s="571" t="s">
        <v>2295</v>
      </c>
      <c r="E122" s="595">
        <v>0.1</v>
      </c>
      <c r="F122" s="595">
        <v>15</v>
      </c>
    </row>
    <row r="123" spans="1:6" ht="24">
      <c r="A123" s="595">
        <v>51</v>
      </c>
      <c r="B123" s="3912"/>
      <c r="C123" s="595" t="s">
        <v>2296</v>
      </c>
      <c r="D123" s="571" t="s">
        <v>2297</v>
      </c>
      <c r="E123" s="595">
        <v>0.1</v>
      </c>
      <c r="F123" s="595">
        <v>15</v>
      </c>
    </row>
    <row r="124" spans="1:6" ht="24">
      <c r="A124" s="595">
        <v>52</v>
      </c>
      <c r="B124" s="3912" t="s">
        <v>2298</v>
      </c>
      <c r="C124" s="595" t="s">
        <v>2299</v>
      </c>
      <c r="D124" s="571" t="s">
        <v>2300</v>
      </c>
      <c r="E124" s="595">
        <v>0.1</v>
      </c>
      <c r="F124" s="595">
        <v>15</v>
      </c>
    </row>
    <row r="125" spans="1:6" ht="24">
      <c r="A125" s="595">
        <v>53</v>
      </c>
      <c r="B125" s="3912"/>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12" t="s">
        <v>2306</v>
      </c>
      <c r="C127" s="595" t="s">
        <v>2307</v>
      </c>
      <c r="D127" s="571" t="s">
        <v>2308</v>
      </c>
      <c r="E127" s="595">
        <v>0.1</v>
      </c>
      <c r="F127" s="595">
        <v>15</v>
      </c>
    </row>
    <row r="128" spans="1:6" ht="13.5">
      <c r="A128" s="595">
        <v>56</v>
      </c>
      <c r="B128" s="3912"/>
      <c r="C128" s="595" t="s">
        <v>2309</v>
      </c>
      <c r="D128" s="571" t="s">
        <v>2310</v>
      </c>
      <c r="E128" s="595">
        <v>0.1</v>
      </c>
      <c r="F128" s="595">
        <v>15</v>
      </c>
    </row>
    <row r="129" spans="1:6" ht="24">
      <c r="A129" s="595">
        <v>57</v>
      </c>
      <c r="B129" s="3912"/>
      <c r="C129" s="595" t="s">
        <v>2311</v>
      </c>
      <c r="D129" s="571" t="s">
        <v>2312</v>
      </c>
      <c r="E129" s="595">
        <v>0.1</v>
      </c>
      <c r="F129" s="595">
        <v>15</v>
      </c>
    </row>
    <row r="130" spans="1:6" ht="24">
      <c r="A130" s="595">
        <v>58</v>
      </c>
      <c r="B130" s="3912" t="s">
        <v>2313</v>
      </c>
      <c r="C130" s="595" t="s">
        <v>2314</v>
      </c>
      <c r="D130" s="571" t="s">
        <v>2315</v>
      </c>
      <c r="E130" s="595">
        <v>0.1</v>
      </c>
      <c r="F130" s="595">
        <v>15</v>
      </c>
    </row>
    <row r="131" spans="1:6" ht="13.5">
      <c r="A131" s="595">
        <v>59</v>
      </c>
      <c r="B131" s="3912"/>
      <c r="C131" s="595" t="s">
        <v>2316</v>
      </c>
      <c r="D131" s="571" t="s">
        <v>2317</v>
      </c>
      <c r="E131" s="595">
        <v>0.1</v>
      </c>
      <c r="F131" s="595">
        <v>15</v>
      </c>
    </row>
    <row r="132" spans="1:6" ht="13.5">
      <c r="A132" s="595">
        <v>60</v>
      </c>
      <c r="B132" s="3913" t="s">
        <v>2318</v>
      </c>
      <c r="C132" s="595" t="s">
        <v>2319</v>
      </c>
      <c r="D132" s="571" t="s">
        <v>2320</v>
      </c>
      <c r="E132" s="595">
        <v>0.1</v>
      </c>
      <c r="F132" s="595">
        <v>15</v>
      </c>
    </row>
    <row r="133" spans="1:6" ht="13.5">
      <c r="A133" s="595">
        <v>61</v>
      </c>
      <c r="B133" s="3914"/>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12" t="s">
        <v>2326</v>
      </c>
      <c r="C135" s="595" t="s">
        <v>2327</v>
      </c>
      <c r="D135" s="571" t="s">
        <v>2328</v>
      </c>
      <c r="E135" s="595">
        <v>0.1</v>
      </c>
      <c r="F135" s="595">
        <v>15</v>
      </c>
    </row>
    <row r="136" spans="1:6" ht="13.5">
      <c r="A136" s="595">
        <v>64</v>
      </c>
      <c r="B136" s="3912"/>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1"/>
      <c r="C2" s="3611"/>
      <c r="D2" s="3611"/>
      <c r="E2" s="3611"/>
    </row>
    <row r="3" spans="1:5" ht="18">
      <c r="A3" s="3612" t="str">
        <f>IF(项目基本情况!B9="房地产市场价值","估价结果一览表（市场价值不需“结果表-1”）","估价结果一览表")</f>
        <v>估价结果一览表（市场价值不需“结果表-1”）</v>
      </c>
      <c r="B3" s="3612"/>
      <c r="C3" s="3612"/>
      <c r="D3" s="3612"/>
      <c r="E3" s="3612"/>
    </row>
    <row r="4" spans="1:5" ht="18.75">
      <c r="A4" s="3499"/>
      <c r="B4" s="3613" t="s">
        <v>95</v>
      </c>
      <c r="C4" s="3613"/>
      <c r="D4" s="3613"/>
      <c r="E4" s="3499"/>
    </row>
    <row r="5" spans="1:5" ht="15.75">
      <c r="A5" s="3498"/>
      <c r="B5" s="3605" t="s">
        <v>96</v>
      </c>
      <c r="C5" s="3500" t="s">
        <v>97</v>
      </c>
      <c r="D5" s="3501" t="e">
        <f ca="1">结果表!H101</f>
        <v>#REF!</v>
      </c>
      <c r="E5" s="3498"/>
    </row>
    <row r="6" spans="1:5" ht="15.75">
      <c r="A6" s="3498"/>
      <c r="B6" s="3605"/>
      <c r="C6" s="3500" t="s">
        <v>98</v>
      </c>
      <c r="D6" s="3501" t="e">
        <f ca="1">NUMBERSTRING(INT(D5*10000),2)&amp;"元整"</f>
        <v>#REF!</v>
      </c>
      <c r="E6" s="3498"/>
    </row>
    <row r="7" spans="1:5" ht="15.75">
      <c r="A7" s="3498"/>
      <c r="B7" s="3606"/>
      <c r="C7" s="3502" t="s">
        <v>99</v>
      </c>
      <c r="D7" s="3503" t="e">
        <f ca="1">结果表!H102</f>
        <v>#REF!</v>
      </c>
      <c r="E7" s="3498"/>
    </row>
    <row r="8" spans="1:5" ht="15.75">
      <c r="A8" s="3498"/>
      <c r="B8" s="3607" t="str">
        <f>结果表!E103</f>
        <v>2.估价师知悉的法定优先受偿款</v>
      </c>
      <c r="C8" s="3504" t="s">
        <v>100</v>
      </c>
      <c r="D8" s="3503">
        <f>结果表!H103</f>
        <v>0</v>
      </c>
      <c r="E8" s="3498"/>
    </row>
    <row r="9" spans="1:5" ht="15.75">
      <c r="A9" s="3498"/>
      <c r="B9" s="3609"/>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604" t="str">
        <f>结果表!E107</f>
        <v>——</v>
      </c>
      <c r="C13" s="3508" t="s">
        <v>97</v>
      </c>
      <c r="D13" s="3509" t="str">
        <f>结果表!H107</f>
        <v>——</v>
      </c>
      <c r="E13" s="3498"/>
    </row>
    <row r="14" spans="1:5" ht="15.75">
      <c r="A14" s="3498"/>
      <c r="B14" s="3605"/>
      <c r="C14" s="3500" t="s">
        <v>98</v>
      </c>
      <c r="D14" s="3501" t="e">
        <f>NUMBERSTRING(INT(D13*10000),2)&amp;"元整"</f>
        <v>#VALUE!</v>
      </c>
      <c r="E14" s="3498"/>
    </row>
    <row r="15" spans="1:5" ht="15">
      <c r="A15" s="3498"/>
      <c r="B15" s="3606"/>
      <c r="C15" s="3502" t="s">
        <v>99</v>
      </c>
      <c r="D15" s="3510" t="e">
        <f ca="1">结果表!H108</f>
        <v>#REF!</v>
      </c>
      <c r="E15" s="3498"/>
    </row>
    <row r="16" spans="1:5" ht="15">
      <c r="A16" s="3498"/>
      <c r="B16" s="3607" t="str">
        <f>结果表!E109</f>
        <v>3.抵押担保权已注销时的房地产抵押价值</v>
      </c>
      <c r="C16" s="3508" t="s">
        <v>97</v>
      </c>
      <c r="D16" s="3511" t="str">
        <f ca="1">结果表!H109</f>
        <v>——</v>
      </c>
      <c r="E16" s="3498"/>
    </row>
    <row r="17" spans="1:5" ht="15.75">
      <c r="A17" s="3498"/>
      <c r="B17" s="3608"/>
      <c r="C17" s="3500" t="s">
        <v>98</v>
      </c>
      <c r="D17" s="3501" t="e">
        <f ca="1">NUMBERSTRING(INT(D16*10000),2)&amp;"元整"</f>
        <v>#VALUE!</v>
      </c>
      <c r="E17" s="3498"/>
    </row>
    <row r="18" spans="1:5" ht="15">
      <c r="A18" s="3498"/>
      <c r="B18" s="3609"/>
      <c r="C18" s="3502" t="s">
        <v>99</v>
      </c>
      <c r="D18" s="3510" t="str">
        <f ca="1">结果表!H110</f>
        <v>——</v>
      </c>
      <c r="E18" s="3498"/>
    </row>
    <row r="19" spans="1:5" ht="15.75">
      <c r="A19" s="3498"/>
      <c r="B19" s="3604" t="str">
        <f>结果表!E111</f>
        <v>——</v>
      </c>
      <c r="C19" s="3508" t="s">
        <v>97</v>
      </c>
      <c r="D19" s="3503" t="str">
        <f>结果表!H111</f>
        <v>——</v>
      </c>
      <c r="E19" s="3498"/>
    </row>
    <row r="20" spans="1:5" ht="15.75">
      <c r="A20" s="3498"/>
      <c r="B20" s="3605"/>
      <c r="C20" s="3500" t="s">
        <v>98</v>
      </c>
      <c r="D20" s="3501" t="e">
        <f>NUMBERSTRING(INT(D19*10000),2)&amp;"元整"</f>
        <v>#VALUE!</v>
      </c>
      <c r="E20" s="3498"/>
    </row>
    <row r="21" spans="1:5" ht="15">
      <c r="A21" s="3498"/>
      <c r="B21" s="3610"/>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26221</v>
      </c>
      <c r="C2" s="455" t="s">
        <v>1336</v>
      </c>
      <c r="D2" s="452"/>
      <c r="E2" s="452"/>
      <c r="F2" s="452"/>
      <c r="G2" s="452"/>
    </row>
    <row r="3" spans="1:7" s="441" customFormat="1" ht="18" customHeight="1">
      <c r="A3" s="456" t="s">
        <v>2348</v>
      </c>
      <c r="B3" s="457">
        <f>ROUND(B2*10000/'数据-汇总表'!E3,0)</f>
        <v>4497599</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58.3</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58.3</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2692</v>
      </c>
      <c r="D22" s="492">
        <f>C26</f>
        <v>5.9999999999999995E-4</v>
      </c>
      <c r="E22" s="493" t="s">
        <v>2372</v>
      </c>
      <c r="F22" s="496">
        <f>'数据-取费表'!B40</f>
        <v>6.3E-2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2679</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13</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1041</v>
      </c>
      <c r="D27" s="492">
        <f>C29</f>
        <v>5.0000000000000001E-4</v>
      </c>
      <c r="E27" s="493" t="s">
        <v>2372</v>
      </c>
      <c r="F27" s="507">
        <f>'数据-取费表'!Q16</f>
        <v>0.05</v>
      </c>
      <c r="G27" s="508" t="s">
        <v>2383</v>
      </c>
    </row>
    <row r="28" spans="1:7" s="443" customFormat="1" ht="13.5" customHeight="1">
      <c r="A28" s="497" t="s">
        <v>994</v>
      </c>
      <c r="B28" s="509" t="s">
        <v>2384</v>
      </c>
      <c r="C28" s="510">
        <f>ROUND((C5+C19+C20)*F27*'数据-取费表'!B21/'数据-取费表'!B20,0)</f>
        <v>1041</v>
      </c>
      <c r="D28" s="492"/>
      <c r="E28" s="493"/>
      <c r="F28" s="507"/>
      <c r="G28" s="508"/>
    </row>
    <row r="29" spans="1:7" s="443" customFormat="1" ht="13.5" customHeight="1">
      <c r="A29" s="497" t="s">
        <v>996</v>
      </c>
      <c r="B29" s="509" t="s">
        <v>2385</v>
      </c>
      <c r="C29" s="499">
        <f>ROUND(C21*F27*'数据-取费表'!B21/'数据-取费表'!B20,4)</f>
        <v>5.0000000000000001E-4</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26214</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9</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8</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58.3</v>
      </c>
      <c r="E37" s="510">
        <f>'数据-取费表'!B35</f>
        <v>120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786" t="s">
        <v>2405</v>
      </c>
    </row>
    <row r="43" spans="1:7" ht="13.5" customHeight="1">
      <c r="A43" s="497" t="s">
        <v>996</v>
      </c>
      <c r="B43" s="467" t="s">
        <v>2377</v>
      </c>
      <c r="C43" s="499">
        <f>ROUND(IF('数据-取费表'!B22&lt;=1,C39*F22*'数据-取费表'!B21/2,C39*(POWER((1+F22),'数据-取费表'!B21/2)-1)),0)</f>
        <v>0</v>
      </c>
      <c r="D43" s="499"/>
      <c r="E43" s="499"/>
      <c r="F43" s="500"/>
      <c r="G43" s="3787"/>
    </row>
    <row r="44" spans="1:7" ht="13.5" customHeight="1">
      <c r="A44" s="497" t="s">
        <v>998</v>
      </c>
      <c r="B44" s="467" t="s">
        <v>2379</v>
      </c>
      <c r="C44" s="499">
        <f>ROUND(IF('数据-取费表'!B22&lt;=1,C40*F22*'数据-取费表'!B21/2,C40*(POWER((1+F22),'数据-取费表'!B21/2)-1)),4)</f>
        <v>5.9999999999999995E-4</v>
      </c>
      <c r="D44" s="499"/>
      <c r="E44" s="499"/>
      <c r="F44" s="500"/>
      <c r="G44" s="3788"/>
    </row>
    <row r="45" spans="1:7" s="443" customFormat="1" ht="13.5" customHeight="1">
      <c r="A45" s="486" t="s">
        <v>1972</v>
      </c>
      <c r="B45" s="505" t="s">
        <v>2382</v>
      </c>
      <c r="C45" s="506">
        <f>C46</f>
        <v>0</v>
      </c>
      <c r="D45" s="492">
        <f>C47</f>
        <v>5.0000000000000001E-4</v>
      </c>
      <c r="E45" s="493" t="s">
        <v>2403</v>
      </c>
      <c r="F45" s="507"/>
      <c r="G45" s="508" t="s">
        <v>2406</v>
      </c>
    </row>
    <row r="46" spans="1:7" s="443" customFormat="1" ht="13.5" customHeight="1">
      <c r="A46" s="497" t="s">
        <v>994</v>
      </c>
      <c r="B46" s="509" t="s">
        <v>2407</v>
      </c>
      <c r="C46" s="510">
        <f>ROUND((C33+C39)*F27,0)</f>
        <v>0</v>
      </c>
      <c r="D46" s="523"/>
      <c r="E46" s="493"/>
      <c r="F46" s="507"/>
      <c r="G46" s="508"/>
    </row>
    <row r="47" spans="1:7" s="443" customFormat="1" ht="13.5" customHeight="1">
      <c r="A47" s="497" t="s">
        <v>996</v>
      </c>
      <c r="B47" s="509" t="s">
        <v>2408</v>
      </c>
      <c r="C47" s="499">
        <f>ROUND(C40*F27,4)</f>
        <v>5.0000000000000001E-4</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11</v>
      </c>
      <c r="D49" s="489"/>
      <c r="E49" s="489"/>
      <c r="F49" s="524"/>
      <c r="G49" s="494" t="s">
        <v>2412</v>
      </c>
    </row>
    <row r="50" spans="1:7" s="445" customFormat="1" ht="24">
      <c r="A50" s="486" t="s">
        <v>2413</v>
      </c>
      <c r="B50" s="462" t="s">
        <v>2414</v>
      </c>
      <c r="C50" s="489"/>
      <c r="D50" s="489"/>
      <c r="E50" s="489"/>
      <c r="F50" s="524">
        <f>IF('数据-取费表'!B24=0,'数据-取费表'!N16,1)</f>
        <v>0.6</v>
      </c>
      <c r="G50" s="508" t="s">
        <v>2415</v>
      </c>
    </row>
    <row r="51" spans="1:7" ht="16.5" customHeight="1">
      <c r="A51" s="486" t="s">
        <v>2416</v>
      </c>
      <c r="B51" s="462" t="s">
        <v>2417</v>
      </c>
      <c r="C51" s="489">
        <f>ROUND(C49*F50,0)</f>
        <v>7</v>
      </c>
      <c r="D51" s="489"/>
      <c r="E51" s="489"/>
      <c r="F51" s="524"/>
      <c r="G51" s="494" t="s">
        <v>2418</v>
      </c>
    </row>
    <row r="52" spans="1:7" s="442" customFormat="1" ht="15.75">
      <c r="A52" s="525" t="s">
        <v>2419</v>
      </c>
      <c r="B52" s="526"/>
      <c r="C52" s="527">
        <f>C31+C51</f>
        <v>26221</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24" t="s">
        <v>2423</v>
      </c>
      <c r="B1" s="3924"/>
      <c r="C1" s="3924"/>
      <c r="D1" s="3924"/>
      <c r="E1" s="3924"/>
      <c r="F1" s="3924"/>
      <c r="G1" s="3925"/>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26"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27"/>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28" t="s">
        <v>2809</v>
      </c>
      <c r="B1" s="3928"/>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29" t="s">
        <v>2814</v>
      </c>
      <c r="B1" s="3929"/>
      <c r="C1" s="3929"/>
      <c r="D1" s="3929"/>
      <c r="E1" s="3929"/>
      <c r="F1" s="3930"/>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39031</v>
      </c>
      <c r="B1" s="293" t="s">
        <v>2819</v>
      </c>
      <c r="C1" s="294"/>
      <c r="D1" s="294"/>
      <c r="E1" s="294"/>
      <c r="F1" s="294"/>
      <c r="G1" s="294"/>
      <c r="H1" s="294"/>
      <c r="I1" s="294"/>
      <c r="J1" s="320"/>
      <c r="K1" s="294" t="s">
        <v>2820</v>
      </c>
      <c r="L1" s="294"/>
      <c r="M1" s="294"/>
      <c r="N1" s="294"/>
      <c r="O1" s="294"/>
      <c r="P1" s="294"/>
      <c r="Q1" s="320"/>
      <c r="R1" s="3931" t="s">
        <v>2821</v>
      </c>
      <c r="S1" s="3932"/>
      <c r="T1" s="3932"/>
      <c r="U1" s="3932"/>
      <c r="V1" s="3932"/>
      <c r="W1" s="3932"/>
      <c r="X1" s="320"/>
      <c r="Y1" s="3931" t="s">
        <v>2822</v>
      </c>
      <c r="Z1" s="3932"/>
      <c r="AA1" s="3932"/>
      <c r="AB1" s="3932"/>
      <c r="AC1" s="3932"/>
      <c r="AD1" s="3932"/>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ROUND(IF([3]项目基本情况!B8="出让",SUMPRODUCT(PRODUCT(1+K9:K16)),SUMPRODUCT(PRODUCT(1+K9:K15))),4)</f>
        <v>1.0565</v>
      </c>
      <c r="S9" s="346">
        <f>ROUND(IF([3]项目基本情况!B8="出让",SUMPRODUCT(PRODUCT(1+L9:L16)),SUMPRODUCT(PRODUCT(1+L9:L15))),4)</f>
        <v>1.0250999999999999</v>
      </c>
      <c r="T9" s="346">
        <f>ROUND(IF([3]项目基本情况!B8="出让",SUMPRODUCT(PRODUCT(1+M9:M16)),SUMPRODUCT(PRODUCT(1+M9:M15))),4)</f>
        <v>1.0145</v>
      </c>
      <c r="U9" s="346">
        <f>ROUND(IF([3]项目基本情况!B8="出让",SUMPRODUCT(PRODUCT(1+N9:N16)),SUMPRODUCT(PRODUCT(1+N9:N15))),4)</f>
        <v>1.0618000000000001</v>
      </c>
      <c r="V9" s="346">
        <f>ROUND(IF([3]项目基本情况!B8="出让",SUMPRODUCT(PRODUCT(1+O9:O16)),SUMPRODUCT(PRODUCT(1+O9:O15))),4)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ROUND(IF([3]项目基本情况!B8="出让",SUMPRODUCT(PRODUCT(1+K10:K16)),SUMPRODUCT(PRODUCT(1+K10:K15))),4)</f>
        <v>1.05</v>
      </c>
      <c r="S10" s="346">
        <f>ROUND(IF([3]项目基本情况!B8="出让",SUMPRODUCT(PRODUCT(1+L10:L16)),SUMPRODUCT(PRODUCT(1+L10:L15))),4)</f>
        <v>1.0229999999999999</v>
      </c>
      <c r="T10" s="346">
        <f>ROUND(IF([3]项目基本情况!B8="出让",SUMPRODUCT(PRODUCT(1+M10:M16)),SUMPRODUCT(PRODUCT(1+M10:M15))),4)</f>
        <v>1.0134000000000001</v>
      </c>
      <c r="U10" s="346">
        <f>ROUND(IF([3]项目基本情况!B8="出让",SUMPRODUCT(PRODUCT(1+N10:N16)),SUMPRODUCT(PRODUCT(1+N10:N15))),4)</f>
        <v>1.0545</v>
      </c>
      <c r="V10" s="346">
        <f>ROUND(IF([3]项目基本情况!B8="出让",SUMPRODUCT(PRODUCT(1+O10:O16)),SUMPRODUCT(PRODUCT(1+O10:O15))),4)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ROUND(IF([3]项目基本情况!B8="出让",SUMPRODUCT(PRODUCT(1+K11:K16)),SUMPRODUCT(PRODUCT(1+K11:K15))),4)</f>
        <v>1.0430999999999999</v>
      </c>
      <c r="S11" s="346">
        <f>ROUND(IF([3]项目基本情况!B8="出让",SUMPRODUCT(PRODUCT(1+L11:L16)),SUMPRODUCT(PRODUCT(1+L11:L15))),4)</f>
        <v>1.0197000000000001</v>
      </c>
      <c r="T11" s="346">
        <f>ROUND(IF([3]项目基本情况!B8="出让",SUMPRODUCT(PRODUCT(1+M11:M16)),SUMPRODUCT(PRODUCT(1+M11:M15))),4)</f>
        <v>1.0109999999999999</v>
      </c>
      <c r="U11" s="346">
        <f>ROUND(IF([3]项目基本情况!B8="出让",SUMPRODUCT(PRODUCT(1+N11:N16)),SUMPRODUCT(PRODUCT(1+N11:N15))),4)</f>
        <v>1.0468999999999999</v>
      </c>
      <c r="V11" s="346">
        <f>ROUND(IF([3]项目基本情况!B8="出让",SUMPRODUCT(PRODUCT(1+O11:O16)),SUMPRODUCT(PRODUCT(1+O11:O15))),4)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ROUND(IF([3]项目基本情况!B8="出让",SUMPRODUCT(PRODUCT(1+K12:K16)),SUMPRODUCT(PRODUCT(1+K12:K15))),4)</f>
        <v>1.0335000000000001</v>
      </c>
      <c r="S12" s="346">
        <f>ROUND(IF([3]项目基本情况!B8="出让",SUMPRODUCT(PRODUCT(1+L12:L16)),SUMPRODUCT(PRODUCT(1+L12:L15))),4)</f>
        <v>1.0182</v>
      </c>
      <c r="T12" s="346">
        <f>ROUND(IF([3]项目基本情况!B8="出让",SUMPRODUCT(PRODUCT(1+M12:M16)),SUMPRODUCT(PRODUCT(1+M12:M15))),4)</f>
        <v>1.0108999999999999</v>
      </c>
      <c r="U12" s="346">
        <f>ROUND(IF([3]项目基本情况!B8="出让",SUMPRODUCT(PRODUCT(1+N12:N16)),SUMPRODUCT(PRODUCT(1+N12:N15))),4)</f>
        <v>1.0361</v>
      </c>
      <c r="V12" s="346">
        <f>ROUND(IF([3]项目基本情况!B8="出让",SUMPRODUCT(PRODUCT(1+O12:O16)),SUMPRODUCT(PRODUCT(1+O12:O15))),4)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ROUND(IF([3]项目基本情况!B8="出让",SUMPRODUCT(PRODUCT(1+K13:K16)),SUMPRODUCT(PRODUCT(1+K13:K15))),4)</f>
        <v>1.0244</v>
      </c>
      <c r="S13" s="346">
        <f>ROUND(IF([3]项目基本情况!B8="出让",SUMPRODUCT(PRODUCT(1+L13:L16)),SUMPRODUCT(PRODUCT(1+L13:L15))),4)</f>
        <v>1.0138</v>
      </c>
      <c r="T13" s="346">
        <f>ROUND(IF([3]项目基本情况!B8="出让",SUMPRODUCT(PRODUCT(1+M13:M16)),SUMPRODUCT(PRODUCT(1+M13:M15))),4)</f>
        <v>1.0072000000000001</v>
      </c>
      <c r="U13" s="346">
        <f>ROUND(IF([3]项目基本情况!B8="出让",SUMPRODUCT(PRODUCT(1+N13:N16)),SUMPRODUCT(PRODUCT(1+N13:N15))),4)</f>
        <v>1.0262</v>
      </c>
      <c r="V13" s="346">
        <f>ROUND(IF([3]项目基本情况!B8="出让",SUMPRODUCT(PRODUCT(1+O13:O16)),SUMPRODUCT(PRODUCT(1+O13:O15))),4)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ROUND(IF([3]项目基本情况!B8="出让",SUMPRODUCT(PRODUCT(1+K14:K16)),SUMPRODUCT(PRODUCT(1+K14:K15))),4)</f>
        <v>1.0139</v>
      </c>
      <c r="S14" s="346">
        <f>ROUND(IF([3]项目基本情况!B8="出让",SUMPRODUCT(PRODUCT(1+L14:L16)),SUMPRODUCT(PRODUCT(1+L14:L15))),4)</f>
        <v>1.0113000000000001</v>
      </c>
      <c r="T14" s="346">
        <f>ROUND(IF([3]项目基本情况!B8="出让",SUMPRODUCT(PRODUCT(1+M14:M16)),SUMPRODUCT(PRODUCT(1+M14:M15))),4)</f>
        <v>1.0065</v>
      </c>
      <c r="U14" s="346">
        <f>ROUND(IF([3]项目基本情况!B8="出让",SUMPRODUCT(PRODUCT(1+N14:N16)),SUMPRODUCT(PRODUCT(1+N14:N15))),4)</f>
        <v>1.0143</v>
      </c>
      <c r="V14" s="346">
        <f>ROUND(IF([3]项目基本情况!B8="出让",SUMPRODUCT(PRODUCT(1+O14:O16)),SUMPRODUCT(PRODUCT(1+O14:O15))),4)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ROUND(IF([3]项目基本情况!B8="出让",SUMPRODUCT(PRODUCT(1+K15:K16)),SUMPRODUCT(PRODUCT(1+K15:K15))),4)</f>
        <v>1.0092000000000001</v>
      </c>
      <c r="S15" s="346">
        <f>ROUND(IF([3]项目基本情况!B8="出让",SUMPRODUCT(PRODUCT(1+L15:L16)),SUMPRODUCT(PRODUCT(1+L15:L15))),4)</f>
        <v>1.0072000000000001</v>
      </c>
      <c r="T15" s="346">
        <f>ROUND(IF([3]项目基本情况!B8="出让",SUMPRODUCT(PRODUCT(1+M15:M16)),SUMPRODUCT(PRODUCT(1+M15:M15))),4)</f>
        <v>1.0041</v>
      </c>
      <c r="U15" s="346">
        <f>ROUND(IF([3]项目基本情况!B8="出让",SUMPRODUCT(PRODUCT(1+N15:N16)),SUMPRODUCT(PRODUCT(1+N15:N15))),4)</f>
        <v>1.0095000000000001</v>
      </c>
      <c r="V15" s="346">
        <f>ROUND(IF([3]项目基本情况!B8="出让",SUMPRODUCT(PRODUCT(1+O15:O16)),SUMPRODUCT(PRODUCT(1+O15:O15))),4)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31" t="s">
        <v>2821</v>
      </c>
      <c r="S21" s="3932"/>
      <c r="T21" s="3932"/>
      <c r="U21" s="3932"/>
      <c r="V21" s="3932"/>
      <c r="W21" s="3932"/>
      <c r="X21" s="320"/>
      <c r="Y21" s="3931" t="s">
        <v>2822</v>
      </c>
      <c r="Z21" s="3932"/>
      <c r="AA21" s="3932"/>
      <c r="AB21" s="3932"/>
      <c r="AC21" s="3932"/>
      <c r="AD21" s="3932"/>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ROUND(IF([3]项目基本情况!$B$8="出让",SUMPRODUCT(PRODUCT(1+L25:L$36)),SUMPRODUCT(PRODUCT(1+L25:L$35))),4)</f>
        <v>1.0396000000000001</v>
      </c>
      <c r="T25" s="346">
        <f>ROUND(IF([3]项目基本情况!$B$8="出让",SUMPRODUCT(PRODUCT(1+M25:M$36)),SUMPRODUCT(PRODUCT(1+M25:M$35))),4)</f>
        <v>1.0269999999999999</v>
      </c>
      <c r="U25" s="346">
        <f>ROUND(IF([3]项目基本情况!$B$8="出让",SUMPRODUCT(PRODUCT(1+N25:N$36)),SUMPRODUCT(PRODUCT(1+N25:N$35))),4)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ROUND(IF([3]项目基本情况!$B$8="出让",SUMPRODUCT(PRODUCT(1+L26:L$36)),SUMPRODUCT(PRODUCT(1+L26:L$35))),4)</f>
        <v>1.0396000000000001</v>
      </c>
      <c r="T26" s="346">
        <f>ROUND(IF([3]项目基本情况!$B$8="出让",SUMPRODUCT(PRODUCT(1+M26:M$36)),SUMPRODUCT(PRODUCT(1+M26:M$35))),4)</f>
        <v>1.0269999999999999</v>
      </c>
      <c r="U26" s="346">
        <f>ROUND(IF([3]项目基本情况!$B$8="出让",SUMPRODUCT(PRODUCT(1+N26:N$36)),SUMPRODUCT(PRODUCT(1+N26:N$35))),4)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ROUND(IF([3]项目基本情况!$B$8="出让",SUMPRODUCT(PRODUCT(1+L27:L$36)),SUMPRODUCT(PRODUCT(1+L27:L$35))),4)</f>
        <v>1.0396000000000001</v>
      </c>
      <c r="T27" s="332">
        <f>ROUND(IF([3]项目基本情况!$B$8="出让",SUMPRODUCT(PRODUCT(1+M27:M$36)),SUMPRODUCT(PRODUCT(1+M27:M$35))),4)</f>
        <v>1.0269999999999999</v>
      </c>
      <c r="U27" s="332">
        <f>ROUND(IF([3]项目基本情况!$B$8="出让",SUMPRODUCT(PRODUCT(1+N27:N$36)),SUMPRODUCT(PRODUCT(1+N27:N$35))),4)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ROUND(IF([3]项目基本情况!$B$8="出让",SUMPRODUCT(PRODUCT(1+L28:L$36)),SUMPRODUCT(PRODUCT(1+L28:L$35))),4)</f>
        <v>1.0344</v>
      </c>
      <c r="T28" s="346">
        <f>ROUND(IF([3]项目基本情况!$B$8="出让",SUMPRODUCT(PRODUCT(1+M28:M$36)),SUMPRODUCT(PRODUCT(1+M28:M$35))),4)</f>
        <v>1.0224</v>
      </c>
      <c r="U28" s="346">
        <f>ROUND(IF([3]项目基本情况!$B$8="出让",SUMPRODUCT(PRODUCT(1+N28:N$36)),SUMPRODUCT(PRODUCT(1+N28:N$35))),4)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ROUND(IF([3]项目基本情况!$B$8="出让",SUMPRODUCT(PRODUCT(1+L29:L$36)),SUMPRODUCT(PRODUCT(1+L29:L$35))),4)</f>
        <v>1.0286999999999999</v>
      </c>
      <c r="T29" s="346">
        <f>ROUND(IF([3]项目基本情况!$B$8="出让",SUMPRODUCT(PRODUCT(1+M29:M$36)),SUMPRODUCT(PRODUCT(1+M29:M$35))),4)</f>
        <v>1.0164</v>
      </c>
      <c r="U29" s="346">
        <f>ROUND(IF([3]项目基本情况!$B$8="出让",SUMPRODUCT(PRODUCT(1+N29:N$36)),SUMPRODUCT(PRODUCT(1+N29:N$35))),4)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ROUND(IF([3]项目基本情况!$B$8="出让",SUMPRODUCT(PRODUCT(1+L30:L$36)),SUMPRODUCT(PRODUCT(1+L30:L$35))),4)</f>
        <v>1.0241</v>
      </c>
      <c r="T30" s="346">
        <f>ROUND(IF([3]项目基本情况!$B$8="出让",SUMPRODUCT(PRODUCT(1+M30:M$36)),SUMPRODUCT(PRODUCT(1+M30:M$35))),4)</f>
        <v>1.0144</v>
      </c>
      <c r="U30" s="346">
        <f>ROUND(IF([3]项目基本情况!$B$8="出让",SUMPRODUCT(PRODUCT(1+N30:N$36)),SUMPRODUCT(PRODUCT(1+N30:N$35))),4)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ROUND(IF([3]项目基本情况!$B$8="出让",SUMPRODUCT(PRODUCT(1+L31:L$36)),SUMPRODUCT(PRODUCT(1+L31:L$35))),4)</f>
        <v>1.0210999999999999</v>
      </c>
      <c r="T31" s="346">
        <f>ROUND(IF([3]项目基本情况!$B$8="出让",SUMPRODUCT(PRODUCT(1+M31:M$36)),SUMPRODUCT(PRODUCT(1+M31:M$35))),4)</f>
        <v>1.0114000000000001</v>
      </c>
      <c r="U31" s="346">
        <f>ROUND(IF([3]项目基本情况!$B$8="出让",SUMPRODUCT(PRODUCT(1+N31:N$36)),SUMPRODUCT(PRODUCT(1+N31:N$35))),4)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ROUND(IF([3]项目基本情况!$B$8="出让",SUMPRODUCT(PRODUCT(1+L32:L$36)),SUMPRODUCT(PRODUCT(1+L32:L$35))),4)</f>
        <v>1.0222</v>
      </c>
      <c r="T32" s="346">
        <f>ROUND(IF([3]项目基本情况!$B$8="出让",SUMPRODUCT(PRODUCT(1+M32:M$36)),SUMPRODUCT(PRODUCT(1+M32:M$35))),4)</f>
        <v>1.0127999999999999</v>
      </c>
      <c r="U32" s="346">
        <f>ROUND(IF([3]项目基本情况!$B$8="出让",SUMPRODUCT(PRODUCT(1+N32:N$36)),SUMPRODUCT(PRODUCT(1+N32:N$35))),4)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ROUND(IF([3]项目基本情况!$B$8="出让",SUMPRODUCT(PRODUCT(1+L33:L$36)),SUMPRODUCT(PRODUCT(1+L33:L$35))),4)</f>
        <v>1.0161</v>
      </c>
      <c r="T33" s="346">
        <f>ROUND(IF([3]项目基本情况!$B$8="出让",SUMPRODUCT(PRODUCT(1+M33:M$36)),SUMPRODUCT(PRODUCT(1+M33:M$35))),4)</f>
        <v>1.0082</v>
      </c>
      <c r="U33" s="346">
        <f>ROUND(IF([3]项目基本情况!$B$8="出让",SUMPRODUCT(PRODUCT(1+N33:N$36)),SUMPRODUCT(PRODUCT(1+N33:N$35))),4)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ROUND(IF([3]项目基本情况!$B$8="出让",SUMPRODUCT(PRODUCT(1+L34:L$36)),SUMPRODUCT(PRODUCT(1+L34:L$35))),4)</f>
        <v>1.0102</v>
      </c>
      <c r="T34" s="346">
        <f>ROUND(IF([3]项目基本情况!$B$8="出让",SUMPRODUCT(PRODUCT(1+M34:M$36)),SUMPRODUCT(PRODUCT(1+M34:M$35))),4)</f>
        <v>1.0074000000000001</v>
      </c>
      <c r="U34" s="346">
        <f>ROUND(IF([3]项目基本情况!$B$8="出让",SUMPRODUCT(PRODUCT(1+N34:N$36)),SUMPRODUCT(PRODUCT(1+N34:N$35))),4)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ROUND(IF([3]项目基本情况!$B$8="出让",SUMPRODUCT(PRODUCT(1+L35:L$36)),SUMPRODUCT(PRODUCT(1+L35:L$35))),4)</f>
        <v>1.0055000000000001</v>
      </c>
      <c r="T35" s="346">
        <f>ROUND(IF([3]项目基本情况!$B$8="出让",SUMPRODUCT(PRODUCT(1+M35:M$36)),SUMPRODUCT(PRODUCT(1+M35:M$35))),4)</f>
        <v>1.0045999999999999</v>
      </c>
      <c r="U35" s="346">
        <f>ROUND(IF([3]项目基本情况!$B$8="出让",SUMPRODUCT(PRODUCT(1+N35:N$36)),SUMPRODUCT(PRODUCT(1+N35:N$35))),4)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43" t="s">
        <v>2840</v>
      </c>
      <c r="C1" s="3943"/>
      <c r="D1" s="3943"/>
      <c r="E1" s="3943"/>
      <c r="F1" s="3943"/>
      <c r="G1" s="3940" t="s">
        <v>2841</v>
      </c>
      <c r="H1" s="3940"/>
      <c r="I1" s="3940"/>
      <c r="J1" s="3940"/>
      <c r="K1" s="3940"/>
      <c r="L1" s="3940"/>
      <c r="N1" s="3940" t="s">
        <v>2820</v>
      </c>
      <c r="O1" s="3940"/>
      <c r="P1" s="3940"/>
      <c r="Q1" s="3940"/>
      <c r="S1" s="3940" t="s">
        <v>2842</v>
      </c>
      <c r="T1" s="3940"/>
      <c r="U1" s="3940"/>
      <c r="V1" s="3940"/>
      <c r="X1" s="3939" t="s">
        <v>2821</v>
      </c>
      <c r="Y1" s="3940"/>
      <c r="Z1" s="3940"/>
      <c r="AA1" s="3940"/>
      <c r="AB1" s="3940"/>
      <c r="AD1" s="3939" t="s">
        <v>2822</v>
      </c>
      <c r="AE1" s="3940"/>
      <c r="AF1" s="3940"/>
      <c r="AG1" s="3940"/>
      <c r="AH1" s="3940"/>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34">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34"/>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34"/>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41"/>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42">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34"/>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34"/>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41"/>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42">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34"/>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34"/>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35"/>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33">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34"/>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34"/>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35"/>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33">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34"/>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34"/>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35"/>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36">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37"/>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37"/>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38"/>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33">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34"/>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34"/>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35"/>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33">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34">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34">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35">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33">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34">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34">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35">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33">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34">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34">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35">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33">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34">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34">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35">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33">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34">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34">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35">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33">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34">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34">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35">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33">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34">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34">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35">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33">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34">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34">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35">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33">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34">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34">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35">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33">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34">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34">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35">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80"/>
  <sheetViews>
    <sheetView workbookViewId="0">
      <selection activeCell="C9" sqref="C9"/>
    </sheetView>
  </sheetViews>
  <sheetFormatPr defaultRowHeight="13.5"/>
  <cols>
    <col min="1" max="1" width="22.875" customWidth="1"/>
    <col min="59" max="59" width="15.875" customWidth="1"/>
  </cols>
  <sheetData>
    <row r="1" spans="1:70" s="3567"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554"/>
      <c r="AE1" s="3554"/>
      <c r="AF1" s="3551"/>
      <c r="AG1" s="3551"/>
      <c r="AH1" s="3553"/>
      <c r="AI1" s="3551"/>
      <c r="AJ1" s="3558"/>
      <c r="AK1" s="3551"/>
      <c r="AL1" s="3944" t="s">
        <v>3103</v>
      </c>
      <c r="AM1" s="3944"/>
      <c r="AN1" s="3559" t="s">
        <v>3104</v>
      </c>
      <c r="AO1" s="3559" t="s">
        <v>3105</v>
      </c>
      <c r="AP1" s="3559"/>
      <c r="AQ1" s="3559"/>
      <c r="AR1" s="3560"/>
      <c r="AS1" s="3560" t="s">
        <v>3106</v>
      </c>
      <c r="AT1" s="3560"/>
      <c r="AU1" s="3560"/>
      <c r="AV1" s="3559"/>
      <c r="AW1" s="3553"/>
      <c r="AX1" s="3553"/>
      <c r="AY1" s="3561"/>
      <c r="AZ1" s="3553"/>
      <c r="BA1" s="3553"/>
      <c r="BB1" s="3561"/>
      <c r="BC1" s="3553"/>
      <c r="BD1" s="3562"/>
      <c r="BE1" s="3553"/>
      <c r="BF1" s="3563"/>
      <c r="BG1" s="3564"/>
      <c r="BH1" s="3553"/>
      <c r="BI1" s="3553"/>
      <c r="BJ1" s="3565" t="s">
        <v>3107</v>
      </c>
      <c r="BK1" s="3566" t="s">
        <v>3108</v>
      </c>
      <c r="BL1" s="3553"/>
      <c r="BM1" s="3559"/>
      <c r="BN1" s="3559"/>
      <c r="BO1" s="3559"/>
      <c r="BP1" s="3559"/>
      <c r="BQ1" s="3560"/>
      <c r="BR1" s="3560"/>
    </row>
    <row r="2" spans="1:70" s="3575" customFormat="1" ht="15.75">
      <c r="A2" s="3568" t="s">
        <v>3109</v>
      </c>
      <c r="B2" s="3559" t="s">
        <v>3110</v>
      </c>
      <c r="C2" s="3568" t="s">
        <v>3111</v>
      </c>
      <c r="D2" s="3568" t="s">
        <v>1629</v>
      </c>
      <c r="E2" s="3568" t="s">
        <v>1579</v>
      </c>
      <c r="F2" s="3568" t="s">
        <v>3112</v>
      </c>
      <c r="G2" s="3568" t="s">
        <v>3113</v>
      </c>
      <c r="H2" s="3568" t="s">
        <v>3114</v>
      </c>
      <c r="I2" s="3568" t="s">
        <v>3115</v>
      </c>
      <c r="J2" s="3568" t="s">
        <v>3116</v>
      </c>
      <c r="K2" s="3559" t="s">
        <v>1585</v>
      </c>
      <c r="L2" s="3559" t="s">
        <v>1586</v>
      </c>
      <c r="M2" s="3559" t="s">
        <v>3117</v>
      </c>
      <c r="N2" s="3559" t="s">
        <v>3118</v>
      </c>
      <c r="O2" s="3559" t="s">
        <v>3119</v>
      </c>
      <c r="P2" s="3559" t="s">
        <v>3120</v>
      </c>
      <c r="Q2" s="3559" t="s">
        <v>3121</v>
      </c>
      <c r="R2" s="3559" t="s">
        <v>3122</v>
      </c>
      <c r="S2" s="3559" t="s">
        <v>1593</v>
      </c>
      <c r="T2" s="3569" t="s">
        <v>1594</v>
      </c>
      <c r="U2" s="3559" t="s">
        <v>3123</v>
      </c>
      <c r="V2" s="3559" t="s">
        <v>1596</v>
      </c>
      <c r="W2" s="3559" t="s">
        <v>1597</v>
      </c>
      <c r="X2" s="3569" t="s">
        <v>1598</v>
      </c>
      <c r="Y2" s="3559" t="s">
        <v>3124</v>
      </c>
      <c r="Z2" s="3559" t="s">
        <v>3125</v>
      </c>
      <c r="AA2" s="3559" t="s">
        <v>3126</v>
      </c>
      <c r="AB2" s="3559" t="s">
        <v>1602</v>
      </c>
      <c r="AC2" s="3559" t="s">
        <v>3127</v>
      </c>
      <c r="AD2" s="3559" t="s">
        <v>1604</v>
      </c>
      <c r="AE2" s="3559" t="s">
        <v>1605</v>
      </c>
      <c r="AF2" s="3559" t="s">
        <v>1606</v>
      </c>
      <c r="AG2" s="3559" t="s">
        <v>1607</v>
      </c>
      <c r="AH2" s="3559" t="s">
        <v>1608</v>
      </c>
      <c r="AI2" s="3559" t="s">
        <v>3128</v>
      </c>
      <c r="AJ2" s="3570" t="s">
        <v>3129</v>
      </c>
      <c r="AK2" s="3559" t="s">
        <v>3130</v>
      </c>
      <c r="AL2" s="3559" t="s">
        <v>3131</v>
      </c>
      <c r="AM2" s="3559" t="s">
        <v>3132</v>
      </c>
      <c r="AN2" s="3559" t="s">
        <v>3133</v>
      </c>
      <c r="AO2" s="3559" t="s">
        <v>3134</v>
      </c>
      <c r="AP2" s="3559" t="s">
        <v>3135</v>
      </c>
      <c r="AQ2" s="3559" t="s">
        <v>3136</v>
      </c>
      <c r="AR2" s="3560" t="s">
        <v>3137</v>
      </c>
      <c r="AS2" s="3560" t="s">
        <v>3125</v>
      </c>
      <c r="AT2" s="3560" t="s">
        <v>3126</v>
      </c>
      <c r="AU2" s="3560" t="s">
        <v>3138</v>
      </c>
      <c r="AV2" s="1759" t="s">
        <v>3139</v>
      </c>
      <c r="AW2" s="3559" t="s">
        <v>3140</v>
      </c>
      <c r="AX2" s="3571" t="s">
        <v>3141</v>
      </c>
      <c r="AY2" s="3568" t="s">
        <v>3142</v>
      </c>
      <c r="AZ2" s="3559" t="s">
        <v>3143</v>
      </c>
      <c r="BA2" s="3559" t="s">
        <v>3144</v>
      </c>
      <c r="BB2" s="3568" t="s">
        <v>3145</v>
      </c>
      <c r="BC2" s="3559" t="s">
        <v>3146</v>
      </c>
      <c r="BD2" s="3572" t="s">
        <v>3147</v>
      </c>
      <c r="BE2" s="3559" t="s">
        <v>3148</v>
      </c>
      <c r="BF2" s="3573" t="s">
        <v>3149</v>
      </c>
      <c r="BG2" s="3565" t="s">
        <v>3150</v>
      </c>
      <c r="BH2" s="3574" t="s">
        <v>3151</v>
      </c>
      <c r="BI2" s="3574" t="s">
        <v>3152</v>
      </c>
      <c r="BJ2" s="3565" t="s">
        <v>3153</v>
      </c>
      <c r="BK2" s="3566" t="s">
        <v>3154</v>
      </c>
      <c r="BL2" s="3560" t="s">
        <v>3155</v>
      </c>
      <c r="BM2" s="3559" t="s">
        <v>3156</v>
      </c>
      <c r="BN2" s="3559" t="s">
        <v>3157</v>
      </c>
      <c r="BO2" s="3559" t="s">
        <v>3158</v>
      </c>
      <c r="BP2" s="3559"/>
      <c r="BQ2" s="3560" t="s">
        <v>3159</v>
      </c>
      <c r="BR2" s="3560" t="s">
        <v>3160</v>
      </c>
    </row>
    <row r="3" spans="1:70" s="3579" customFormat="1">
      <c r="A3" s="3579" t="s">
        <v>3161</v>
      </c>
      <c r="B3" s="3579" t="s">
        <v>3162</v>
      </c>
      <c r="C3" s="3579" t="s">
        <v>3163</v>
      </c>
      <c r="D3" s="3579" t="s">
        <v>3164</v>
      </c>
      <c r="E3" s="3579" t="s">
        <v>2271</v>
      </c>
      <c r="F3" s="3579" t="s">
        <v>3165</v>
      </c>
      <c r="H3" s="3579" t="s">
        <v>3166</v>
      </c>
      <c r="I3" s="3579" t="s">
        <v>3167</v>
      </c>
      <c r="J3" s="3579" t="s">
        <v>3168</v>
      </c>
      <c r="K3" s="3579" t="s">
        <v>3169</v>
      </c>
      <c r="L3" s="3579">
        <v>42</v>
      </c>
      <c r="M3" s="3579">
        <v>4</v>
      </c>
      <c r="N3" s="3579" t="s">
        <v>2945</v>
      </c>
      <c r="P3" s="3579" t="s">
        <v>1780</v>
      </c>
      <c r="Q3" s="3579">
        <v>420000</v>
      </c>
      <c r="R3" s="3579">
        <v>10000</v>
      </c>
      <c r="S3" s="3579">
        <v>32.130000000000003</v>
      </c>
      <c r="T3" s="3579">
        <v>321300</v>
      </c>
      <c r="U3" s="3579">
        <v>7650</v>
      </c>
      <c r="V3" s="3579">
        <v>0.2</v>
      </c>
      <c r="W3" s="3579">
        <v>25.7</v>
      </c>
      <c r="X3" s="3579">
        <v>257000</v>
      </c>
      <c r="Y3" s="3579">
        <v>2006</v>
      </c>
      <c r="Z3" s="3579">
        <v>12</v>
      </c>
      <c r="AA3" s="3579">
        <v>26</v>
      </c>
      <c r="AB3" s="3579">
        <v>960</v>
      </c>
      <c r="AC3" s="3579" t="s">
        <v>2984</v>
      </c>
      <c r="AD3" s="3579" t="s">
        <v>3170</v>
      </c>
      <c r="AE3" s="3579" t="s">
        <v>3171</v>
      </c>
      <c r="AF3" s="3579" t="s">
        <v>1719</v>
      </c>
      <c r="AG3" s="3579" t="s">
        <v>1720</v>
      </c>
      <c r="AH3" s="3579" t="s">
        <v>3172</v>
      </c>
      <c r="AI3" s="3579" t="s">
        <v>2963</v>
      </c>
      <c r="AK3" s="3579" t="s">
        <v>3009</v>
      </c>
      <c r="AL3" s="3579">
        <v>38</v>
      </c>
      <c r="AN3" s="3579" t="s">
        <v>2993</v>
      </c>
      <c r="AP3" s="3579" t="s">
        <v>2950</v>
      </c>
      <c r="AQ3" s="3579" t="s">
        <v>2951</v>
      </c>
      <c r="AW3" s="3579" t="s">
        <v>3173</v>
      </c>
      <c r="AZ3" s="3579" t="s">
        <v>3169</v>
      </c>
      <c r="BE3" s="3579">
        <v>13126662579</v>
      </c>
      <c r="BG3" s="3580">
        <v>39073</v>
      </c>
      <c r="BH3" s="3579" t="s">
        <v>2953</v>
      </c>
      <c r="BI3" s="3579" t="s">
        <v>2950</v>
      </c>
      <c r="BJ3" s="3580">
        <v>39073</v>
      </c>
      <c r="BL3" s="3579" t="s">
        <v>2955</v>
      </c>
      <c r="BM3" s="3579" t="s">
        <v>1483</v>
      </c>
      <c r="BN3" s="3579" t="s">
        <v>2966</v>
      </c>
      <c r="BO3" s="3579" t="s">
        <v>3174</v>
      </c>
      <c r="BQ3" s="3581" t="e">
        <v>#DIV/0!</v>
      </c>
      <c r="BR3" s="3581" t="e">
        <v>#DIV/0!</v>
      </c>
    </row>
    <row r="4" spans="1:70">
      <c r="A4" t="s">
        <v>3175</v>
      </c>
      <c r="B4" t="s">
        <v>3176</v>
      </c>
      <c r="C4" t="s">
        <v>3177</v>
      </c>
      <c r="D4">
        <v>13521291060</v>
      </c>
      <c r="E4" t="s">
        <v>2271</v>
      </c>
      <c r="F4" t="s">
        <v>3178</v>
      </c>
      <c r="H4" t="s">
        <v>3179</v>
      </c>
      <c r="J4" t="s">
        <v>1657</v>
      </c>
      <c r="K4" t="s">
        <v>3176</v>
      </c>
      <c r="L4">
        <v>75.260000000000005</v>
      </c>
      <c r="M4">
        <v>17</v>
      </c>
      <c r="N4" t="s">
        <v>1779</v>
      </c>
      <c r="P4" t="s">
        <v>1780</v>
      </c>
      <c r="Q4">
        <v>680000</v>
      </c>
      <c r="R4">
        <v>9035</v>
      </c>
      <c r="S4">
        <v>48.82</v>
      </c>
      <c r="T4">
        <v>488200</v>
      </c>
      <c r="U4">
        <v>6488</v>
      </c>
      <c r="V4">
        <v>0.05</v>
      </c>
      <c r="W4">
        <v>46.37</v>
      </c>
      <c r="X4">
        <v>463700</v>
      </c>
      <c r="Y4">
        <v>2006</v>
      </c>
      <c r="Z4">
        <v>4</v>
      </c>
      <c r="AA4">
        <v>5</v>
      </c>
      <c r="AB4">
        <v>1460</v>
      </c>
      <c r="AC4" t="s">
        <v>3180</v>
      </c>
      <c r="AE4" t="s">
        <v>1739</v>
      </c>
      <c r="AF4" t="s">
        <v>1719</v>
      </c>
      <c r="AG4" t="s">
        <v>1720</v>
      </c>
      <c r="AI4" t="s">
        <v>3032</v>
      </c>
      <c r="AK4">
        <v>4</v>
      </c>
      <c r="AL4">
        <v>82253558</v>
      </c>
      <c r="AN4" t="s">
        <v>2948</v>
      </c>
      <c r="AO4" t="s">
        <v>3181</v>
      </c>
      <c r="AP4" t="s">
        <v>2973</v>
      </c>
      <c r="AQ4" t="s">
        <v>2994</v>
      </c>
      <c r="AR4">
        <v>2006</v>
      </c>
      <c r="AS4">
        <v>4</v>
      </c>
      <c r="AT4">
        <v>5</v>
      </c>
      <c r="AW4" t="s">
        <v>2952</v>
      </c>
      <c r="AZ4" t="s">
        <v>3182</v>
      </c>
      <c r="BE4">
        <v>13391880950</v>
      </c>
      <c r="BG4" s="3576">
        <v>38770</v>
      </c>
      <c r="BI4" t="s">
        <v>3183</v>
      </c>
      <c r="BJ4" s="3576">
        <v>38796</v>
      </c>
      <c r="BL4" t="s">
        <v>2953</v>
      </c>
      <c r="BM4" t="s">
        <v>1483</v>
      </c>
      <c r="BN4" t="s">
        <v>2956</v>
      </c>
      <c r="BO4" t="s">
        <v>3184</v>
      </c>
      <c r="BQ4" t="e">
        <v>#DIV/0!</v>
      </c>
      <c r="BR4" t="e">
        <v>#DIV/0!</v>
      </c>
    </row>
    <row r="5" spans="1:70">
      <c r="A5" t="s">
        <v>3185</v>
      </c>
      <c r="B5" t="s">
        <v>3186</v>
      </c>
      <c r="C5" t="s">
        <v>3187</v>
      </c>
      <c r="D5" t="s">
        <v>3188</v>
      </c>
      <c r="E5" t="s">
        <v>2271</v>
      </c>
      <c r="F5" t="s">
        <v>3189</v>
      </c>
      <c r="H5" t="s">
        <v>3190</v>
      </c>
      <c r="J5" t="s">
        <v>3191</v>
      </c>
      <c r="K5" t="s">
        <v>3186</v>
      </c>
      <c r="L5">
        <v>79.599999999999994</v>
      </c>
      <c r="M5">
        <v>7</v>
      </c>
      <c r="N5" t="s">
        <v>2961</v>
      </c>
      <c r="P5" t="s">
        <v>1780</v>
      </c>
      <c r="Q5">
        <v>530000</v>
      </c>
      <c r="R5">
        <v>6658</v>
      </c>
      <c r="S5">
        <v>47.36</v>
      </c>
      <c r="T5">
        <v>473600</v>
      </c>
      <c r="U5">
        <v>5950</v>
      </c>
      <c r="V5">
        <v>0.05</v>
      </c>
      <c r="W5">
        <v>44.99</v>
      </c>
      <c r="X5">
        <v>449900</v>
      </c>
      <c r="Y5">
        <v>2006</v>
      </c>
      <c r="Z5">
        <v>3</v>
      </c>
      <c r="AA5">
        <v>21</v>
      </c>
      <c r="AB5">
        <v>1420</v>
      </c>
      <c r="AC5" t="s">
        <v>3180</v>
      </c>
      <c r="AE5" t="s">
        <v>3032</v>
      </c>
      <c r="AF5" t="s">
        <v>1719</v>
      </c>
      <c r="AG5" t="s">
        <v>1720</v>
      </c>
      <c r="AI5" t="s">
        <v>2963</v>
      </c>
      <c r="AK5">
        <v>3</v>
      </c>
      <c r="AL5">
        <v>67641700</v>
      </c>
      <c r="AN5" t="s">
        <v>2972</v>
      </c>
      <c r="AP5" t="s">
        <v>2950</v>
      </c>
      <c r="AQ5" t="s">
        <v>2994</v>
      </c>
      <c r="AW5" t="s">
        <v>3173</v>
      </c>
      <c r="AZ5" t="s">
        <v>3192</v>
      </c>
      <c r="BG5" s="3576">
        <v>38734</v>
      </c>
      <c r="BH5" t="s">
        <v>2953</v>
      </c>
      <c r="BI5" t="s">
        <v>2950</v>
      </c>
      <c r="BJ5" s="3576">
        <v>38734</v>
      </c>
      <c r="BL5" t="s">
        <v>2955</v>
      </c>
      <c r="BM5" t="s">
        <v>1483</v>
      </c>
      <c r="BN5" t="s">
        <v>2966</v>
      </c>
      <c r="BO5" t="s">
        <v>3174</v>
      </c>
      <c r="BQ5" t="e">
        <v>#DIV/0!</v>
      </c>
      <c r="BR5" t="e">
        <v>#DIV/0!</v>
      </c>
    </row>
    <row r="6" spans="1:70">
      <c r="A6" t="s">
        <v>3193</v>
      </c>
      <c r="B6" t="s">
        <v>3194</v>
      </c>
      <c r="C6" t="s">
        <v>3195</v>
      </c>
      <c r="D6" t="s">
        <v>3196</v>
      </c>
      <c r="E6" t="s">
        <v>2271</v>
      </c>
      <c r="F6" s="3582" t="s">
        <v>3589</v>
      </c>
      <c r="H6" t="s">
        <v>3046</v>
      </c>
      <c r="J6" t="s">
        <v>3198</v>
      </c>
      <c r="K6" t="s">
        <v>3199</v>
      </c>
      <c r="L6">
        <v>83.7</v>
      </c>
      <c r="M6">
        <v>11</v>
      </c>
      <c r="N6" t="s">
        <v>2961</v>
      </c>
      <c r="P6" t="s">
        <v>1780</v>
      </c>
      <c r="Q6">
        <v>830000</v>
      </c>
      <c r="R6">
        <v>9916</v>
      </c>
      <c r="S6">
        <v>71.11</v>
      </c>
      <c r="T6">
        <v>711100</v>
      </c>
      <c r="U6">
        <v>8496</v>
      </c>
      <c r="V6">
        <v>0.2</v>
      </c>
      <c r="W6">
        <v>56.88</v>
      </c>
      <c r="X6">
        <v>568800</v>
      </c>
      <c r="Y6">
        <v>2006</v>
      </c>
      <c r="Z6">
        <v>11</v>
      </c>
      <c r="AA6">
        <v>29</v>
      </c>
      <c r="AB6">
        <v>1500</v>
      </c>
      <c r="AC6" t="s">
        <v>2984</v>
      </c>
      <c r="AD6" t="s">
        <v>3200</v>
      </c>
      <c r="AE6" t="s">
        <v>2947</v>
      </c>
      <c r="AF6" t="s">
        <v>1719</v>
      </c>
      <c r="AG6" t="s">
        <v>1720</v>
      </c>
      <c r="AH6" t="s">
        <v>3201</v>
      </c>
      <c r="AI6" t="s">
        <v>2963</v>
      </c>
      <c r="AK6" t="s">
        <v>3015</v>
      </c>
      <c r="AL6">
        <v>46</v>
      </c>
      <c r="AN6" t="s">
        <v>2993</v>
      </c>
      <c r="AP6" t="s">
        <v>2950</v>
      </c>
      <c r="AQ6" t="s">
        <v>2951</v>
      </c>
      <c r="AW6" t="s">
        <v>2952</v>
      </c>
      <c r="AZ6" t="s">
        <v>3199</v>
      </c>
      <c r="BE6" t="s">
        <v>3202</v>
      </c>
      <c r="BG6" s="3576">
        <v>38990</v>
      </c>
      <c r="BH6" t="s">
        <v>2953</v>
      </c>
      <c r="BI6" t="s">
        <v>2950</v>
      </c>
      <c r="BJ6" s="3576">
        <v>39048</v>
      </c>
      <c r="BL6" t="s">
        <v>2955</v>
      </c>
      <c r="BM6" t="s">
        <v>1483</v>
      </c>
      <c r="BN6" t="s">
        <v>2966</v>
      </c>
      <c r="BO6" t="s">
        <v>3203</v>
      </c>
      <c r="BQ6" t="e">
        <v>#DIV/0!</v>
      </c>
      <c r="BR6" t="e">
        <v>#DIV/0!</v>
      </c>
    </row>
    <row r="7" spans="1:70">
      <c r="A7" t="s">
        <v>3204</v>
      </c>
      <c r="B7" t="s">
        <v>3205</v>
      </c>
      <c r="C7" t="s">
        <v>3206</v>
      </c>
      <c r="D7" t="s">
        <v>3207</v>
      </c>
      <c r="E7" t="s">
        <v>2271</v>
      </c>
      <c r="F7" t="s">
        <v>3189</v>
      </c>
      <c r="H7" t="s">
        <v>3208</v>
      </c>
      <c r="J7" t="s">
        <v>3209</v>
      </c>
      <c r="K7" t="s">
        <v>3205</v>
      </c>
      <c r="L7">
        <v>69.900000000000006</v>
      </c>
      <c r="M7" t="s">
        <v>3210</v>
      </c>
      <c r="N7" t="s">
        <v>3050</v>
      </c>
      <c r="P7" t="s">
        <v>1780</v>
      </c>
      <c r="Q7">
        <v>650000</v>
      </c>
      <c r="R7">
        <v>9299</v>
      </c>
      <c r="S7">
        <v>50.53</v>
      </c>
      <c r="T7">
        <v>505300</v>
      </c>
      <c r="U7">
        <v>7229</v>
      </c>
      <c r="V7">
        <v>0.2</v>
      </c>
      <c r="W7">
        <v>40.42</v>
      </c>
      <c r="X7">
        <v>404200</v>
      </c>
      <c r="Y7">
        <v>2006</v>
      </c>
      <c r="Z7">
        <v>5</v>
      </c>
      <c r="AA7">
        <v>23</v>
      </c>
      <c r="AB7">
        <v>1500</v>
      </c>
      <c r="AC7" t="s">
        <v>2984</v>
      </c>
      <c r="AE7" t="s">
        <v>2947</v>
      </c>
      <c r="AF7" t="s">
        <v>1719</v>
      </c>
      <c r="AG7" t="s">
        <v>1720</v>
      </c>
      <c r="AH7" t="s">
        <v>3211</v>
      </c>
      <c r="AI7" t="s">
        <v>2963</v>
      </c>
      <c r="AK7">
        <v>5</v>
      </c>
      <c r="AL7">
        <v>67641700</v>
      </c>
      <c r="AN7" t="s">
        <v>2949</v>
      </c>
      <c r="AP7" t="s">
        <v>2950</v>
      </c>
      <c r="AQ7" t="s">
        <v>2965</v>
      </c>
      <c r="AW7" t="s">
        <v>2978</v>
      </c>
      <c r="AZ7" t="s">
        <v>3212</v>
      </c>
      <c r="BE7">
        <v>13522687447</v>
      </c>
      <c r="BG7" s="3576">
        <v>38851</v>
      </c>
      <c r="BH7" t="s">
        <v>2953</v>
      </c>
      <c r="BI7" t="s">
        <v>2950</v>
      </c>
      <c r="BJ7" s="3576">
        <v>38855</v>
      </c>
      <c r="BL7" t="s">
        <v>2955</v>
      </c>
      <c r="BM7" t="s">
        <v>1483</v>
      </c>
      <c r="BN7" t="s">
        <v>2956</v>
      </c>
      <c r="BO7" t="s">
        <v>3174</v>
      </c>
    </row>
    <row r="8" spans="1:70" s="3577" customFormat="1">
      <c r="A8" s="3585" t="s">
        <v>3590</v>
      </c>
      <c r="B8" s="3577" t="s">
        <v>3213</v>
      </c>
      <c r="C8" s="3577" t="s">
        <v>3214</v>
      </c>
      <c r="D8" s="3577" t="s">
        <v>3215</v>
      </c>
      <c r="E8" s="3577" t="s">
        <v>2271</v>
      </c>
      <c r="F8" s="3585" t="s">
        <v>3593</v>
      </c>
      <c r="H8" s="3577" t="s">
        <v>1772</v>
      </c>
      <c r="I8" s="3577" t="s">
        <v>2986</v>
      </c>
      <c r="J8" s="3577" t="s">
        <v>3168</v>
      </c>
      <c r="K8" s="3577" t="s">
        <v>3216</v>
      </c>
      <c r="L8" s="3577">
        <v>53.1</v>
      </c>
      <c r="M8" s="3577">
        <v>4</v>
      </c>
      <c r="N8" s="3577" t="s">
        <v>1779</v>
      </c>
      <c r="P8" s="3577" t="s">
        <v>1780</v>
      </c>
      <c r="Q8" s="3577">
        <v>530000</v>
      </c>
      <c r="R8" s="3577">
        <v>9981</v>
      </c>
      <c r="S8" s="3577">
        <v>40.299999999999997</v>
      </c>
      <c r="T8" s="3577">
        <v>403000</v>
      </c>
      <c r="U8" s="3577">
        <v>7591</v>
      </c>
      <c r="V8" s="3577">
        <v>0.2</v>
      </c>
      <c r="W8" s="3577">
        <v>32.24</v>
      </c>
      <c r="X8" s="3577">
        <v>322400</v>
      </c>
      <c r="Y8" s="3577">
        <v>2006</v>
      </c>
      <c r="Z8" s="3577">
        <v>8</v>
      </c>
      <c r="AA8" s="3577">
        <v>22</v>
      </c>
      <c r="AB8" s="3577">
        <v>1205</v>
      </c>
      <c r="AC8" s="3577" t="s">
        <v>2984</v>
      </c>
      <c r="AD8" s="3577" t="s">
        <v>3217</v>
      </c>
      <c r="AE8" s="3577" t="s">
        <v>2947</v>
      </c>
      <c r="AF8" s="3577" t="s">
        <v>1719</v>
      </c>
      <c r="AG8" s="3577" t="s">
        <v>1720</v>
      </c>
      <c r="AI8" s="3577" t="s">
        <v>2963</v>
      </c>
      <c r="AK8" s="3577">
        <v>8</v>
      </c>
      <c r="AL8" s="3577">
        <v>26</v>
      </c>
      <c r="AM8" s="3577" t="s">
        <v>1439</v>
      </c>
      <c r="AN8" s="3577" t="s">
        <v>2972</v>
      </c>
      <c r="AP8" s="3577" t="s">
        <v>2950</v>
      </c>
      <c r="AQ8" s="3577" t="s">
        <v>2994</v>
      </c>
      <c r="AW8" s="3577" t="s">
        <v>2952</v>
      </c>
      <c r="AZ8" s="3577" t="s">
        <v>3216</v>
      </c>
      <c r="BE8" s="3577">
        <v>13901282943</v>
      </c>
      <c r="BG8" s="3578">
        <v>38936</v>
      </c>
      <c r="BH8" s="3577" t="s">
        <v>2953</v>
      </c>
      <c r="BI8" s="3577" t="s">
        <v>2950</v>
      </c>
      <c r="BJ8" s="3578">
        <v>38939</v>
      </c>
      <c r="BL8" s="3577" t="s">
        <v>2955</v>
      </c>
      <c r="BM8" s="3577" t="s">
        <v>1483</v>
      </c>
      <c r="BN8" s="3577" t="s">
        <v>2966</v>
      </c>
      <c r="BO8" s="3577" t="s">
        <v>3174</v>
      </c>
      <c r="BQ8" s="3577" t="e">
        <v>#DIV/0!</v>
      </c>
      <c r="BR8" s="3577" t="e">
        <v>#DIV/0!</v>
      </c>
    </row>
    <row r="9" spans="1:70" s="3583" customFormat="1">
      <c r="A9" s="3583" t="s">
        <v>3218</v>
      </c>
      <c r="B9" s="3583" t="s">
        <v>3219</v>
      </c>
      <c r="C9" s="3583" t="s">
        <v>3220</v>
      </c>
      <c r="D9" s="3583" t="s">
        <v>3221</v>
      </c>
      <c r="E9" s="3583" t="s">
        <v>2271</v>
      </c>
      <c r="F9" s="3583" t="s">
        <v>3222</v>
      </c>
      <c r="H9" s="3583" t="s">
        <v>3166</v>
      </c>
      <c r="J9" s="3583" t="s">
        <v>3223</v>
      </c>
      <c r="K9" s="3583" t="s">
        <v>3224</v>
      </c>
      <c r="L9" s="3583">
        <v>55.22</v>
      </c>
      <c r="M9" s="3583">
        <v>11</v>
      </c>
      <c r="N9" s="3583" t="s">
        <v>1779</v>
      </c>
      <c r="P9" s="3583" t="s">
        <v>1780</v>
      </c>
      <c r="Q9" s="3583">
        <v>515000</v>
      </c>
      <c r="R9" s="3583">
        <v>9326</v>
      </c>
      <c r="S9" s="3583">
        <v>45.16</v>
      </c>
      <c r="T9" s="3583">
        <v>451600</v>
      </c>
      <c r="U9" s="3583">
        <v>8179</v>
      </c>
      <c r="V9" s="3583">
        <v>0.2</v>
      </c>
      <c r="W9" s="3583">
        <v>36.119999999999997</v>
      </c>
      <c r="X9" s="3583">
        <v>361200</v>
      </c>
      <c r="Y9" s="3583">
        <v>2006</v>
      </c>
      <c r="Z9" s="3583">
        <v>10</v>
      </c>
      <c r="AA9" s="3583">
        <v>24</v>
      </c>
      <c r="AB9" s="3583">
        <v>1350</v>
      </c>
      <c r="AC9" s="3583" t="s">
        <v>2984</v>
      </c>
      <c r="AD9" s="3583" t="s">
        <v>3225</v>
      </c>
      <c r="AE9" s="3583" t="s">
        <v>3032</v>
      </c>
      <c r="AF9" s="3583" t="s">
        <v>1719</v>
      </c>
      <c r="AG9" s="3583" t="s">
        <v>1720</v>
      </c>
      <c r="AI9" s="3583" t="s">
        <v>2963</v>
      </c>
      <c r="AK9" s="3583" t="s">
        <v>3063</v>
      </c>
      <c r="AL9" s="3583">
        <v>49</v>
      </c>
      <c r="AN9" s="3583" t="s">
        <v>2949</v>
      </c>
      <c r="AP9" s="3583" t="s">
        <v>2950</v>
      </c>
      <c r="AQ9" s="3583" t="s">
        <v>2994</v>
      </c>
      <c r="AW9" s="3583" t="s">
        <v>3173</v>
      </c>
      <c r="AZ9" s="3583" t="s">
        <v>3224</v>
      </c>
      <c r="BG9" s="3584">
        <v>38941</v>
      </c>
      <c r="BH9" s="3583" t="s">
        <v>2953</v>
      </c>
      <c r="BI9" s="3583" t="s">
        <v>2950</v>
      </c>
      <c r="BJ9" s="3584">
        <v>38952</v>
      </c>
      <c r="BL9" s="3583" t="s">
        <v>2955</v>
      </c>
      <c r="BM9" s="3583" t="s">
        <v>1483</v>
      </c>
      <c r="BN9" s="3583" t="s">
        <v>2956</v>
      </c>
      <c r="BO9" s="3583" t="s">
        <v>3226</v>
      </c>
      <c r="BQ9" s="3583" t="e">
        <v>#DIV/0!</v>
      </c>
      <c r="BR9" s="3583" t="e">
        <v>#DIV/0!</v>
      </c>
    </row>
    <row r="10" spans="1:70">
      <c r="A10" t="s">
        <v>3227</v>
      </c>
      <c r="B10" t="s">
        <v>3228</v>
      </c>
      <c r="C10" t="s">
        <v>3229</v>
      </c>
      <c r="D10" t="s">
        <v>3230</v>
      </c>
      <c r="E10" t="s">
        <v>2271</v>
      </c>
      <c r="F10" t="s">
        <v>3189</v>
      </c>
      <c r="H10" t="s">
        <v>3231</v>
      </c>
      <c r="I10" t="s">
        <v>3000</v>
      </c>
      <c r="J10" t="s">
        <v>3232</v>
      </c>
      <c r="K10" t="s">
        <v>3233</v>
      </c>
      <c r="L10">
        <v>40.799999999999997</v>
      </c>
      <c r="M10">
        <v>2</v>
      </c>
      <c r="N10" t="s">
        <v>2945</v>
      </c>
      <c r="P10" t="s">
        <v>1780</v>
      </c>
      <c r="Q10">
        <v>390000</v>
      </c>
      <c r="R10">
        <v>9559</v>
      </c>
      <c r="S10">
        <v>32.61</v>
      </c>
      <c r="T10">
        <v>326100</v>
      </c>
      <c r="U10">
        <v>7993</v>
      </c>
      <c r="V10">
        <v>0.2</v>
      </c>
      <c r="W10">
        <v>26.08</v>
      </c>
      <c r="X10">
        <v>260800</v>
      </c>
      <c r="Y10">
        <v>2006</v>
      </c>
      <c r="Z10">
        <v>10</v>
      </c>
      <c r="AA10">
        <v>19</v>
      </c>
      <c r="AB10">
        <v>975</v>
      </c>
      <c r="AC10" t="s">
        <v>2984</v>
      </c>
      <c r="AD10" t="s">
        <v>3234</v>
      </c>
      <c r="AE10" t="s">
        <v>3032</v>
      </c>
      <c r="AF10" t="s">
        <v>1719</v>
      </c>
      <c r="AG10" t="s">
        <v>1720</v>
      </c>
      <c r="AI10" t="s">
        <v>2963</v>
      </c>
      <c r="AK10" t="s">
        <v>3063</v>
      </c>
      <c r="AL10">
        <v>25</v>
      </c>
      <c r="AN10" t="s">
        <v>2964</v>
      </c>
      <c r="AP10" t="s">
        <v>2950</v>
      </c>
      <c r="AQ10" t="s">
        <v>2994</v>
      </c>
      <c r="AW10" t="s">
        <v>3173</v>
      </c>
      <c r="AZ10" t="s">
        <v>3233</v>
      </c>
      <c r="BG10" s="3576">
        <v>38967</v>
      </c>
      <c r="BH10" t="s">
        <v>2953</v>
      </c>
      <c r="BI10" t="s">
        <v>2950</v>
      </c>
      <c r="BJ10" s="3576">
        <v>38979</v>
      </c>
      <c r="BL10" t="s">
        <v>2955</v>
      </c>
      <c r="BM10" t="s">
        <v>1483</v>
      </c>
      <c r="BN10" t="s">
        <v>2956</v>
      </c>
      <c r="BO10" t="s">
        <v>3226</v>
      </c>
      <c r="BQ10" t="e">
        <v>#DIV/0!</v>
      </c>
      <c r="BR10" t="e">
        <v>#DIV/0!</v>
      </c>
    </row>
    <row r="11" spans="1:70" s="3583" customFormat="1">
      <c r="A11" s="3583" t="s">
        <v>3235</v>
      </c>
      <c r="B11" s="3583" t="s">
        <v>3236</v>
      </c>
      <c r="C11" s="3583" t="s">
        <v>3237</v>
      </c>
      <c r="D11" s="3583" t="s">
        <v>3238</v>
      </c>
      <c r="E11" s="3583" t="s">
        <v>2271</v>
      </c>
      <c r="F11" s="3583" t="s">
        <v>3189</v>
      </c>
      <c r="H11" s="3583" t="s">
        <v>1637</v>
      </c>
      <c r="I11" s="3583" t="s">
        <v>3000</v>
      </c>
      <c r="J11" s="3583" t="s">
        <v>3239</v>
      </c>
      <c r="K11" s="3583" t="s">
        <v>3240</v>
      </c>
      <c r="L11" s="3583">
        <v>40.6</v>
      </c>
      <c r="M11" s="3583">
        <v>4</v>
      </c>
      <c r="N11" s="3583" t="s">
        <v>2945</v>
      </c>
      <c r="P11" s="3583" t="s">
        <v>1780</v>
      </c>
      <c r="Q11" s="3583">
        <v>450000</v>
      </c>
      <c r="R11" s="3583">
        <v>11084</v>
      </c>
      <c r="S11" s="3583">
        <v>35.29</v>
      </c>
      <c r="T11" s="3583">
        <v>352900</v>
      </c>
      <c r="U11" s="3583">
        <v>8693</v>
      </c>
      <c r="V11" s="3583">
        <v>0.2</v>
      </c>
      <c r="W11" s="3583">
        <v>28.23</v>
      </c>
      <c r="X11" s="3583">
        <v>282300</v>
      </c>
      <c r="Y11" s="3583">
        <v>2006</v>
      </c>
      <c r="Z11" s="3583">
        <v>10</v>
      </c>
      <c r="AA11" s="3583">
        <v>17</v>
      </c>
      <c r="AB11" s="3583">
        <v>1055</v>
      </c>
      <c r="AC11" s="3583" t="s">
        <v>2984</v>
      </c>
      <c r="AD11" s="3583">
        <v>91302006091712</v>
      </c>
      <c r="AE11" s="3583" t="s">
        <v>3032</v>
      </c>
      <c r="AF11" s="3583" t="s">
        <v>1719</v>
      </c>
      <c r="AG11" s="3583" t="s">
        <v>1720</v>
      </c>
      <c r="AI11" s="3583" t="s">
        <v>2963</v>
      </c>
      <c r="AK11" s="3583" t="s">
        <v>3063</v>
      </c>
      <c r="AL11" s="3583">
        <v>35</v>
      </c>
      <c r="AN11" s="3583" t="s">
        <v>2972</v>
      </c>
      <c r="AP11" s="3583" t="s">
        <v>3241</v>
      </c>
      <c r="AQ11" s="3583" t="s">
        <v>2994</v>
      </c>
      <c r="AW11" s="3583" t="s">
        <v>3173</v>
      </c>
      <c r="AZ11" s="3583" t="s">
        <v>3240</v>
      </c>
      <c r="BG11" s="3584">
        <v>38979</v>
      </c>
      <c r="BH11" s="3583" t="s">
        <v>2953</v>
      </c>
      <c r="BI11" s="3583" t="s">
        <v>3241</v>
      </c>
      <c r="BJ11" s="3584">
        <v>38986</v>
      </c>
      <c r="BL11" s="3583" t="s">
        <v>2955</v>
      </c>
      <c r="BM11" s="3583" t="s">
        <v>1483</v>
      </c>
      <c r="BN11" s="3583" t="s">
        <v>2956</v>
      </c>
      <c r="BO11" s="3583" t="s">
        <v>3226</v>
      </c>
      <c r="BQ11" s="3583" t="e">
        <v>#DIV/0!</v>
      </c>
      <c r="BR11" s="3583" t="e">
        <v>#DIV/0!</v>
      </c>
    </row>
    <row r="12" spans="1:70">
      <c r="A12" t="s">
        <v>3242</v>
      </c>
      <c r="B12" t="s">
        <v>3243</v>
      </c>
      <c r="C12" t="s">
        <v>3244</v>
      </c>
      <c r="D12" t="s">
        <v>3245</v>
      </c>
      <c r="E12" t="s">
        <v>2271</v>
      </c>
      <c r="F12" t="s">
        <v>3246</v>
      </c>
      <c r="H12" t="s">
        <v>3247</v>
      </c>
      <c r="I12" t="s">
        <v>3248</v>
      </c>
      <c r="J12" t="s">
        <v>3249</v>
      </c>
      <c r="K12" t="s">
        <v>3243</v>
      </c>
      <c r="L12">
        <v>53.18</v>
      </c>
      <c r="M12">
        <v>1</v>
      </c>
      <c r="N12" t="s">
        <v>1779</v>
      </c>
      <c r="P12" t="s">
        <v>1780</v>
      </c>
      <c r="Q12">
        <v>600000</v>
      </c>
      <c r="R12">
        <v>11282</v>
      </c>
      <c r="S12">
        <v>44.32</v>
      </c>
      <c r="T12">
        <v>443200</v>
      </c>
      <c r="U12">
        <v>8335</v>
      </c>
      <c r="V12">
        <v>0.2</v>
      </c>
      <c r="W12">
        <v>35.450000000000003</v>
      </c>
      <c r="X12">
        <v>354500</v>
      </c>
      <c r="Y12">
        <v>2006</v>
      </c>
      <c r="Z12">
        <v>12</v>
      </c>
      <c r="AA12">
        <v>13</v>
      </c>
      <c r="AB12">
        <v>1325</v>
      </c>
      <c r="AC12" t="s">
        <v>2984</v>
      </c>
      <c r="AD12" t="s">
        <v>3250</v>
      </c>
      <c r="AE12" t="s">
        <v>2947</v>
      </c>
      <c r="AF12" t="s">
        <v>1719</v>
      </c>
      <c r="AG12" t="s">
        <v>1720</v>
      </c>
      <c r="AH12" t="s">
        <v>3251</v>
      </c>
      <c r="AI12" t="s">
        <v>2963</v>
      </c>
      <c r="AK12" t="s">
        <v>3009</v>
      </c>
      <c r="AL12">
        <v>25</v>
      </c>
      <c r="AM12" t="s">
        <v>3252</v>
      </c>
      <c r="AN12" t="s">
        <v>2949</v>
      </c>
      <c r="AP12" t="s">
        <v>2950</v>
      </c>
      <c r="AQ12" t="s">
        <v>2994</v>
      </c>
      <c r="AW12" t="s">
        <v>2952</v>
      </c>
      <c r="AZ12" t="s">
        <v>3243</v>
      </c>
      <c r="BE12">
        <v>13501233308</v>
      </c>
      <c r="BG12" s="3576">
        <v>39002</v>
      </c>
      <c r="BH12" t="s">
        <v>2953</v>
      </c>
      <c r="BI12" t="s">
        <v>2950</v>
      </c>
      <c r="BJ12" s="3576">
        <v>39013</v>
      </c>
      <c r="BL12" t="s">
        <v>2955</v>
      </c>
      <c r="BM12" t="s">
        <v>1483</v>
      </c>
      <c r="BN12" t="s">
        <v>2966</v>
      </c>
      <c r="BO12" t="s">
        <v>3174</v>
      </c>
      <c r="BQ12" t="e">
        <v>#DIV/0!</v>
      </c>
      <c r="BR12" t="e">
        <v>#DIV/0!</v>
      </c>
    </row>
    <row r="13" spans="1:70" s="3577" customFormat="1">
      <c r="A13" s="3585" t="s">
        <v>3591</v>
      </c>
      <c r="B13" s="3577" t="s">
        <v>3253</v>
      </c>
      <c r="C13" s="3577" t="s">
        <v>3254</v>
      </c>
      <c r="D13" s="3577" t="s">
        <v>3255</v>
      </c>
      <c r="E13" s="3577" t="s">
        <v>2271</v>
      </c>
      <c r="F13" s="3577" t="s">
        <v>3256</v>
      </c>
      <c r="H13" s="3577" t="s">
        <v>1637</v>
      </c>
      <c r="I13" s="3577" t="s">
        <v>3000</v>
      </c>
      <c r="J13" s="3577" t="s">
        <v>3257</v>
      </c>
      <c r="K13" s="3577" t="s">
        <v>3258</v>
      </c>
      <c r="L13" s="3577">
        <v>57.1</v>
      </c>
      <c r="M13" s="3577">
        <v>2</v>
      </c>
      <c r="N13" s="3577" t="s">
        <v>3259</v>
      </c>
      <c r="P13" s="3577" t="s">
        <v>1780</v>
      </c>
      <c r="Q13" s="3577">
        <v>570000</v>
      </c>
      <c r="R13" s="3577">
        <v>9982</v>
      </c>
      <c r="S13" s="3577">
        <v>47.91</v>
      </c>
      <c r="T13" s="3577">
        <v>479100</v>
      </c>
      <c r="U13" s="3577">
        <v>8391</v>
      </c>
      <c r="V13" s="3577">
        <v>0.2</v>
      </c>
      <c r="W13" s="3577">
        <v>38.32</v>
      </c>
      <c r="X13" s="3577">
        <v>383200</v>
      </c>
      <c r="Y13" s="3577">
        <v>2006</v>
      </c>
      <c r="Z13" s="3577">
        <v>12</v>
      </c>
      <c r="AA13" s="3577">
        <v>11</v>
      </c>
      <c r="AB13" s="3577">
        <v>1435</v>
      </c>
      <c r="AC13" s="3577" t="s">
        <v>2984</v>
      </c>
      <c r="AD13" s="3577" t="s">
        <v>3260</v>
      </c>
      <c r="AE13" s="3577" t="s">
        <v>2947</v>
      </c>
      <c r="AF13" s="3577" t="s">
        <v>1719</v>
      </c>
      <c r="AG13" s="3577" t="s">
        <v>1720</v>
      </c>
      <c r="AH13" s="3577" t="s">
        <v>3261</v>
      </c>
      <c r="AI13" s="3577" t="s">
        <v>2963</v>
      </c>
      <c r="AK13" s="3577" t="s">
        <v>3009</v>
      </c>
      <c r="AL13" s="3577">
        <v>32</v>
      </c>
      <c r="AN13" s="3577" t="s">
        <v>2949</v>
      </c>
      <c r="AP13" s="3577" t="s">
        <v>2950</v>
      </c>
      <c r="AQ13" s="3577" t="s">
        <v>2994</v>
      </c>
      <c r="AW13" s="3577" t="s">
        <v>2952</v>
      </c>
      <c r="AZ13" s="3577" t="s">
        <v>3258</v>
      </c>
      <c r="BG13" s="3578">
        <v>39006</v>
      </c>
      <c r="BH13" s="3577" t="s">
        <v>2953</v>
      </c>
      <c r="BI13" s="3577" t="s">
        <v>2950</v>
      </c>
      <c r="BJ13" s="3578">
        <v>39017</v>
      </c>
      <c r="BL13" s="3577" t="s">
        <v>2955</v>
      </c>
      <c r="BM13" s="3577" t="s">
        <v>1483</v>
      </c>
      <c r="BN13" s="3577" t="s">
        <v>2966</v>
      </c>
      <c r="BO13" s="3577" t="s">
        <v>3174</v>
      </c>
      <c r="BQ13" s="3577" t="e">
        <v>#DIV/0!</v>
      </c>
      <c r="BR13" s="3577" t="e">
        <v>#DIV/0!</v>
      </c>
    </row>
    <row r="14" spans="1:70" s="3577" customFormat="1">
      <c r="A14" s="3585" t="s">
        <v>3592</v>
      </c>
      <c r="B14" s="3577" t="s">
        <v>3262</v>
      </c>
      <c r="C14" s="3577" t="s">
        <v>3263</v>
      </c>
      <c r="D14" s="3577" t="s">
        <v>3264</v>
      </c>
      <c r="E14" s="3577" t="s">
        <v>2271</v>
      </c>
      <c r="F14" s="3577" t="s">
        <v>3222</v>
      </c>
      <c r="H14" s="3577" t="s">
        <v>3265</v>
      </c>
      <c r="J14" s="3577" t="s">
        <v>3266</v>
      </c>
      <c r="K14" s="3577" t="s">
        <v>3267</v>
      </c>
      <c r="L14" s="3577">
        <v>70.23</v>
      </c>
      <c r="M14" s="3577">
        <v>3</v>
      </c>
      <c r="N14" s="3577" t="s">
        <v>2961</v>
      </c>
      <c r="P14" s="3577" t="s">
        <v>1780</v>
      </c>
      <c r="Q14" s="3577">
        <v>700000</v>
      </c>
      <c r="R14" s="3577">
        <v>9967</v>
      </c>
      <c r="S14" s="3577">
        <v>57.17</v>
      </c>
      <c r="T14" s="3577">
        <v>571700</v>
      </c>
      <c r="U14" s="3577">
        <v>8141</v>
      </c>
      <c r="V14" s="3577">
        <v>0.2</v>
      </c>
      <c r="W14" s="3577">
        <v>45.73</v>
      </c>
      <c r="X14" s="3577">
        <v>457299.99999999994</v>
      </c>
      <c r="Y14" s="3577">
        <v>2006</v>
      </c>
      <c r="Z14" s="3577">
        <v>11</v>
      </c>
      <c r="AA14" s="3577">
        <v>17</v>
      </c>
      <c r="AB14" s="3577">
        <v>1500</v>
      </c>
      <c r="AC14" s="3577" t="s">
        <v>2984</v>
      </c>
      <c r="AD14" s="3577" t="s">
        <v>3268</v>
      </c>
      <c r="AE14" s="3577" t="s">
        <v>2947</v>
      </c>
      <c r="AF14" s="3577" t="s">
        <v>1719</v>
      </c>
      <c r="AG14" s="3577" t="s">
        <v>1720</v>
      </c>
      <c r="AI14" s="3577" t="s">
        <v>2963</v>
      </c>
      <c r="AK14" s="3577" t="s">
        <v>3015</v>
      </c>
      <c r="AL14" s="3577">
        <v>42</v>
      </c>
      <c r="AN14" s="3577" t="s">
        <v>2949</v>
      </c>
      <c r="AP14" s="3577" t="s">
        <v>3269</v>
      </c>
      <c r="AQ14" s="3577" t="s">
        <v>2965</v>
      </c>
      <c r="AW14" s="3577" t="s">
        <v>2952</v>
      </c>
      <c r="AZ14" s="3577" t="s">
        <v>3267</v>
      </c>
      <c r="BE14" s="3577">
        <v>62295695</v>
      </c>
      <c r="BG14" s="3578">
        <v>39001</v>
      </c>
      <c r="BH14" s="3577" t="s">
        <v>2953</v>
      </c>
      <c r="BI14" s="3577" t="s">
        <v>3269</v>
      </c>
      <c r="BJ14" s="3578">
        <v>39020</v>
      </c>
      <c r="BL14" s="3577" t="s">
        <v>2955</v>
      </c>
      <c r="BM14" s="3577" t="s">
        <v>1483</v>
      </c>
      <c r="BN14" s="3577" t="s">
        <v>2966</v>
      </c>
      <c r="BO14" s="3577" t="s">
        <v>3174</v>
      </c>
      <c r="BQ14" s="3577" t="e">
        <v>#DIV/0!</v>
      </c>
      <c r="BR14" s="3577" t="e">
        <v>#DIV/0!</v>
      </c>
    </row>
    <row r="15" spans="1:70">
      <c r="A15" t="s">
        <v>3270</v>
      </c>
      <c r="B15" t="s">
        <v>3194</v>
      </c>
      <c r="C15" t="s">
        <v>3195</v>
      </c>
      <c r="D15" t="s">
        <v>3196</v>
      </c>
      <c r="E15" t="s">
        <v>2271</v>
      </c>
      <c r="F15" t="s">
        <v>3197</v>
      </c>
      <c r="H15" t="s">
        <v>3046</v>
      </c>
      <c r="J15" t="s">
        <v>3198</v>
      </c>
      <c r="K15" t="s">
        <v>3199</v>
      </c>
      <c r="L15">
        <v>83.7</v>
      </c>
      <c r="M15">
        <v>11</v>
      </c>
      <c r="N15" t="s">
        <v>2961</v>
      </c>
      <c r="P15" t="s">
        <v>1780</v>
      </c>
      <c r="Q15">
        <v>830000</v>
      </c>
      <c r="R15">
        <v>9916</v>
      </c>
      <c r="S15">
        <v>71.11</v>
      </c>
      <c r="T15">
        <v>711100</v>
      </c>
      <c r="U15">
        <v>8496</v>
      </c>
      <c r="V15">
        <v>0.2</v>
      </c>
      <c r="W15">
        <v>56.88</v>
      </c>
      <c r="X15">
        <v>568800</v>
      </c>
      <c r="Y15">
        <v>2006</v>
      </c>
      <c r="Z15">
        <v>12</v>
      </c>
      <c r="AA15">
        <v>25</v>
      </c>
      <c r="AB15">
        <v>1500</v>
      </c>
      <c r="AC15" t="s">
        <v>2984</v>
      </c>
      <c r="AD15" t="s">
        <v>3200</v>
      </c>
      <c r="AE15" t="s">
        <v>2947</v>
      </c>
      <c r="AF15" t="s">
        <v>1719</v>
      </c>
      <c r="AG15" t="s">
        <v>1720</v>
      </c>
      <c r="AH15" t="s">
        <v>3201</v>
      </c>
      <c r="AI15" t="s">
        <v>2963</v>
      </c>
      <c r="AK15" t="s">
        <v>3009</v>
      </c>
      <c r="AL15">
        <v>46</v>
      </c>
      <c r="AN15" t="s">
        <v>2993</v>
      </c>
      <c r="AP15" t="s">
        <v>2950</v>
      </c>
      <c r="AQ15" t="s">
        <v>2994</v>
      </c>
      <c r="AW15" t="s">
        <v>2952</v>
      </c>
      <c r="AZ15" t="s">
        <v>3199</v>
      </c>
      <c r="BE15" t="s">
        <v>3202</v>
      </c>
      <c r="BG15" s="3576">
        <v>38990</v>
      </c>
      <c r="BH15" t="s">
        <v>2953</v>
      </c>
      <c r="BI15" t="s">
        <v>2950</v>
      </c>
      <c r="BJ15" s="3576">
        <v>39048</v>
      </c>
      <c r="BL15" t="s">
        <v>2955</v>
      </c>
      <c r="BM15" t="s">
        <v>1483</v>
      </c>
      <c r="BN15" t="s">
        <v>2966</v>
      </c>
      <c r="BO15" t="s">
        <v>3203</v>
      </c>
      <c r="BQ15" t="e">
        <v>#DIV/0!</v>
      </c>
      <c r="BR15" t="e">
        <v>#DIV/0!</v>
      </c>
    </row>
    <row r="16" spans="1:70">
      <c r="A16" t="s">
        <v>3271</v>
      </c>
      <c r="B16" t="s">
        <v>3272</v>
      </c>
      <c r="C16" t="s">
        <v>3273</v>
      </c>
      <c r="D16" t="s">
        <v>3274</v>
      </c>
      <c r="E16" t="s">
        <v>2271</v>
      </c>
      <c r="F16" t="s">
        <v>3275</v>
      </c>
      <c r="H16" t="s">
        <v>1439</v>
      </c>
      <c r="I16" t="s">
        <v>3276</v>
      </c>
      <c r="J16" t="s">
        <v>3277</v>
      </c>
      <c r="K16" t="s">
        <v>3278</v>
      </c>
      <c r="L16">
        <v>38.659999999999997</v>
      </c>
      <c r="M16">
        <v>7</v>
      </c>
      <c r="N16" t="s">
        <v>3007</v>
      </c>
      <c r="O16">
        <v>27.83</v>
      </c>
      <c r="P16" t="s">
        <v>1780</v>
      </c>
      <c r="Q16">
        <v>382579</v>
      </c>
      <c r="R16">
        <v>9896</v>
      </c>
      <c r="S16">
        <v>37.96</v>
      </c>
      <c r="T16">
        <v>379600</v>
      </c>
      <c r="U16">
        <v>9820</v>
      </c>
      <c r="V16">
        <v>0.1</v>
      </c>
      <c r="W16">
        <v>34.159999999999997</v>
      </c>
      <c r="X16">
        <v>341599.99999999994</v>
      </c>
      <c r="Y16">
        <v>2006</v>
      </c>
      <c r="Z16">
        <v>2</v>
      </c>
      <c r="AA16">
        <v>9</v>
      </c>
      <c r="AB16">
        <v>1135</v>
      </c>
      <c r="AC16" t="s">
        <v>3279</v>
      </c>
      <c r="AE16" t="s">
        <v>1739</v>
      </c>
      <c r="AF16" t="s">
        <v>1643</v>
      </c>
      <c r="AG16" t="s">
        <v>1720</v>
      </c>
      <c r="AI16" t="s">
        <v>3032</v>
      </c>
      <c r="AJ16">
        <v>38898</v>
      </c>
      <c r="AK16" t="s">
        <v>2964</v>
      </c>
      <c r="AL16">
        <v>82253558</v>
      </c>
      <c r="AN16" t="s">
        <v>2948</v>
      </c>
      <c r="AP16" t="s">
        <v>2973</v>
      </c>
      <c r="AQ16" t="s">
        <v>2965</v>
      </c>
      <c r="AW16" t="s">
        <v>2989</v>
      </c>
      <c r="AX16" t="s">
        <v>3024</v>
      </c>
      <c r="AY16" t="s">
        <v>3280</v>
      </c>
      <c r="AZ16" t="s">
        <v>1439</v>
      </c>
      <c r="BA16" t="s">
        <v>1439</v>
      </c>
      <c r="BB16" t="s">
        <v>1439</v>
      </c>
      <c r="BC16" t="s">
        <v>1439</v>
      </c>
      <c r="BD16" t="s">
        <v>1439</v>
      </c>
      <c r="BE16" t="s">
        <v>1439</v>
      </c>
      <c r="BF16" t="s">
        <v>1439</v>
      </c>
      <c r="BG16" s="3576">
        <v>38713</v>
      </c>
      <c r="BI16" t="s">
        <v>3281</v>
      </c>
      <c r="BJ16" s="3576">
        <v>38757</v>
      </c>
      <c r="BK16" t="s">
        <v>1439</v>
      </c>
      <c r="BL16" t="s">
        <v>3027</v>
      </c>
      <c r="BQ16">
        <v>13640</v>
      </c>
      <c r="BR16">
        <v>13747</v>
      </c>
    </row>
    <row r="17" spans="1:70">
      <c r="A17" t="s">
        <v>3282</v>
      </c>
      <c r="B17" t="s">
        <v>3283</v>
      </c>
      <c r="C17" t="s">
        <v>3284</v>
      </c>
      <c r="D17" t="s">
        <v>3285</v>
      </c>
      <c r="E17" t="s">
        <v>2271</v>
      </c>
      <c r="F17" t="s">
        <v>3275</v>
      </c>
      <c r="H17" t="s">
        <v>1439</v>
      </c>
      <c r="J17" t="s">
        <v>3286</v>
      </c>
      <c r="K17" t="s">
        <v>3278</v>
      </c>
      <c r="L17">
        <v>53.04</v>
      </c>
      <c r="M17">
        <v>6</v>
      </c>
      <c r="N17" t="s">
        <v>3007</v>
      </c>
      <c r="O17">
        <v>38.18</v>
      </c>
      <c r="P17" t="s">
        <v>1780</v>
      </c>
      <c r="Q17">
        <v>509396</v>
      </c>
      <c r="R17">
        <v>9604</v>
      </c>
      <c r="S17">
        <v>50.6</v>
      </c>
      <c r="T17">
        <v>506000</v>
      </c>
      <c r="U17">
        <v>9540</v>
      </c>
      <c r="V17">
        <v>0.1</v>
      </c>
      <c r="W17">
        <v>45.54</v>
      </c>
      <c r="X17">
        <v>455400</v>
      </c>
      <c r="Y17">
        <v>2006</v>
      </c>
      <c r="Z17">
        <v>2</v>
      </c>
      <c r="AA17">
        <v>9</v>
      </c>
      <c r="AB17">
        <v>1500</v>
      </c>
      <c r="AC17" t="s">
        <v>3279</v>
      </c>
      <c r="AE17" t="s">
        <v>1739</v>
      </c>
      <c r="AF17" t="s">
        <v>1643</v>
      </c>
      <c r="AG17" t="s">
        <v>1720</v>
      </c>
      <c r="AI17" t="s">
        <v>3032</v>
      </c>
      <c r="AJ17">
        <v>38898</v>
      </c>
      <c r="AK17" t="s">
        <v>2964</v>
      </c>
      <c r="AL17">
        <v>82253558</v>
      </c>
      <c r="AN17" t="s">
        <v>2948</v>
      </c>
      <c r="AP17" t="s">
        <v>2973</v>
      </c>
      <c r="AQ17" t="s">
        <v>2965</v>
      </c>
      <c r="AW17" t="s">
        <v>2989</v>
      </c>
      <c r="AX17" t="s">
        <v>3024</v>
      </c>
      <c r="AY17" t="s">
        <v>3287</v>
      </c>
      <c r="AZ17" t="s">
        <v>1439</v>
      </c>
      <c r="BA17" t="s">
        <v>1439</v>
      </c>
      <c r="BB17" t="s">
        <v>1439</v>
      </c>
      <c r="BC17" t="s">
        <v>1439</v>
      </c>
      <c r="BD17" t="s">
        <v>1439</v>
      </c>
      <c r="BE17" t="s">
        <v>1439</v>
      </c>
      <c r="BF17" t="s">
        <v>1439</v>
      </c>
      <c r="BG17" s="3576">
        <v>38710</v>
      </c>
      <c r="BI17" t="s">
        <v>3281</v>
      </c>
      <c r="BJ17" s="3576">
        <v>38757</v>
      </c>
      <c r="BK17" t="s">
        <v>1439</v>
      </c>
      <c r="BL17" t="s">
        <v>3027</v>
      </c>
      <c r="BQ17">
        <v>13253</v>
      </c>
      <c r="BR17">
        <v>13342</v>
      </c>
    </row>
    <row r="18" spans="1:70">
      <c r="A18" t="s">
        <v>3288</v>
      </c>
      <c r="B18" t="s">
        <v>3289</v>
      </c>
      <c r="C18" t="s">
        <v>3290</v>
      </c>
      <c r="D18" t="s">
        <v>3291</v>
      </c>
      <c r="E18" t="s">
        <v>2271</v>
      </c>
      <c r="F18" t="s">
        <v>3292</v>
      </c>
      <c r="H18" t="s">
        <v>1439</v>
      </c>
      <c r="I18" t="s">
        <v>3276</v>
      </c>
      <c r="J18" t="s">
        <v>3293</v>
      </c>
      <c r="K18" t="s">
        <v>3278</v>
      </c>
      <c r="L18">
        <v>53.04</v>
      </c>
      <c r="M18">
        <v>7</v>
      </c>
      <c r="N18" t="s">
        <v>3007</v>
      </c>
      <c r="O18">
        <v>38.18</v>
      </c>
      <c r="P18" t="s">
        <v>1780</v>
      </c>
      <c r="Q18">
        <v>545838</v>
      </c>
      <c r="R18">
        <v>10291</v>
      </c>
      <c r="S18">
        <v>54.15</v>
      </c>
      <c r="T18">
        <v>541500</v>
      </c>
      <c r="U18">
        <v>10210</v>
      </c>
      <c r="V18">
        <v>0.2</v>
      </c>
      <c r="W18">
        <v>43.32</v>
      </c>
      <c r="X18">
        <v>433200</v>
      </c>
      <c r="Y18">
        <v>2006</v>
      </c>
      <c r="Z18">
        <v>5</v>
      </c>
      <c r="AA18">
        <v>12</v>
      </c>
      <c r="AB18">
        <v>1500</v>
      </c>
      <c r="AC18" t="s">
        <v>3180</v>
      </c>
      <c r="AE18" t="s">
        <v>1739</v>
      </c>
      <c r="AF18" t="s">
        <v>3294</v>
      </c>
      <c r="AG18" t="s">
        <v>1720</v>
      </c>
      <c r="AI18" t="s">
        <v>3032</v>
      </c>
      <c r="AJ18">
        <v>38898</v>
      </c>
      <c r="AK18">
        <v>5</v>
      </c>
      <c r="AL18">
        <v>82253558</v>
      </c>
      <c r="AN18" t="s">
        <v>2948</v>
      </c>
      <c r="AP18" t="s">
        <v>2973</v>
      </c>
      <c r="AQ18" t="s">
        <v>2965</v>
      </c>
      <c r="AW18" t="s">
        <v>2989</v>
      </c>
      <c r="AX18" t="s">
        <v>3024</v>
      </c>
      <c r="AY18" t="s">
        <v>3295</v>
      </c>
      <c r="AZ18" t="s">
        <v>1439</v>
      </c>
      <c r="BA18" t="s">
        <v>1439</v>
      </c>
      <c r="BB18" t="s">
        <v>1439</v>
      </c>
      <c r="BC18" t="s">
        <v>1439</v>
      </c>
      <c r="BD18" t="s">
        <v>1439</v>
      </c>
      <c r="BE18" t="s">
        <v>1439</v>
      </c>
      <c r="BF18" t="s">
        <v>1439</v>
      </c>
      <c r="BG18" s="3576">
        <v>38825</v>
      </c>
      <c r="BI18" t="s">
        <v>2947</v>
      </c>
      <c r="BJ18" s="3576">
        <v>38848</v>
      </c>
      <c r="BK18" t="s">
        <v>1439</v>
      </c>
      <c r="BL18" t="s">
        <v>3027</v>
      </c>
      <c r="BQ18">
        <v>14183</v>
      </c>
      <c r="BR18">
        <v>14296</v>
      </c>
    </row>
    <row r="19" spans="1:70">
      <c r="A19" t="s">
        <v>3296</v>
      </c>
      <c r="B19" t="s">
        <v>3297</v>
      </c>
      <c r="C19" t="s">
        <v>3298</v>
      </c>
      <c r="D19">
        <v>13611359476</v>
      </c>
      <c r="E19" t="s">
        <v>2271</v>
      </c>
      <c r="F19" t="s">
        <v>3292</v>
      </c>
      <c r="H19" t="s">
        <v>1439</v>
      </c>
      <c r="J19" t="s">
        <v>3299</v>
      </c>
      <c r="K19" t="s">
        <v>3278</v>
      </c>
      <c r="L19">
        <v>38.630000000000003</v>
      </c>
      <c r="M19">
        <v>9</v>
      </c>
      <c r="N19" t="s">
        <v>3007</v>
      </c>
      <c r="O19">
        <v>27.81</v>
      </c>
      <c r="P19" t="s">
        <v>1780</v>
      </c>
      <c r="Q19">
        <v>374556</v>
      </c>
      <c r="R19">
        <v>9696</v>
      </c>
      <c r="S19">
        <v>37.08</v>
      </c>
      <c r="T19">
        <v>370800</v>
      </c>
      <c r="U19">
        <v>9600</v>
      </c>
      <c r="V19">
        <v>0.1</v>
      </c>
      <c r="W19">
        <v>33.369999999999997</v>
      </c>
      <c r="X19">
        <v>333700</v>
      </c>
      <c r="Y19">
        <v>2006</v>
      </c>
      <c r="Z19">
        <v>1</v>
      </c>
      <c r="AA19">
        <v>9</v>
      </c>
      <c r="AB19">
        <v>1110</v>
      </c>
      <c r="AC19" t="s">
        <v>3022</v>
      </c>
      <c r="AE19" t="s">
        <v>192</v>
      </c>
      <c r="AF19" t="s">
        <v>1643</v>
      </c>
      <c r="AG19" t="s">
        <v>1720</v>
      </c>
      <c r="AI19" t="s">
        <v>2963</v>
      </c>
      <c r="AJ19">
        <v>38898</v>
      </c>
      <c r="AK19" t="s">
        <v>2948</v>
      </c>
      <c r="AL19">
        <v>67641700</v>
      </c>
      <c r="AN19" t="s">
        <v>2964</v>
      </c>
      <c r="AP19" t="s">
        <v>2950</v>
      </c>
      <c r="AQ19" t="s">
        <v>2965</v>
      </c>
      <c r="AW19" t="s">
        <v>2989</v>
      </c>
      <c r="AX19" t="s">
        <v>3024</v>
      </c>
      <c r="AY19" t="s">
        <v>3300</v>
      </c>
      <c r="AZ19" t="s">
        <v>3278</v>
      </c>
      <c r="BA19" t="s">
        <v>3301</v>
      </c>
      <c r="BB19" t="s">
        <v>3302</v>
      </c>
      <c r="BC19" t="s">
        <v>3303</v>
      </c>
      <c r="BD19">
        <v>100810</v>
      </c>
      <c r="BE19">
        <v>82058181</v>
      </c>
      <c r="BF19">
        <v>2.7</v>
      </c>
      <c r="BG19" s="3576">
        <v>38710</v>
      </c>
      <c r="BI19" t="s">
        <v>3026</v>
      </c>
      <c r="BJ19" s="3576">
        <v>38723</v>
      </c>
      <c r="BK19" t="s">
        <v>1439</v>
      </c>
      <c r="BL19" t="s">
        <v>3027</v>
      </c>
      <c r="BQ19">
        <v>13333</v>
      </c>
      <c r="BR19">
        <v>13468</v>
      </c>
    </row>
    <row r="20" spans="1:70">
      <c r="A20" t="s">
        <v>3304</v>
      </c>
      <c r="B20" t="s">
        <v>3305</v>
      </c>
      <c r="C20" t="s">
        <v>3306</v>
      </c>
      <c r="D20">
        <v>13552848876</v>
      </c>
      <c r="E20" t="s">
        <v>2271</v>
      </c>
      <c r="F20" t="s">
        <v>3275</v>
      </c>
      <c r="H20" t="s">
        <v>1439</v>
      </c>
      <c r="J20" t="s">
        <v>3307</v>
      </c>
      <c r="K20" t="s">
        <v>3278</v>
      </c>
      <c r="L20">
        <v>38.659999999999997</v>
      </c>
      <c r="M20">
        <v>5</v>
      </c>
      <c r="N20" t="s">
        <v>3007</v>
      </c>
      <c r="O20">
        <v>27.83</v>
      </c>
      <c r="P20" t="s">
        <v>1780</v>
      </c>
      <c r="Q20">
        <v>371139</v>
      </c>
      <c r="R20">
        <v>9600</v>
      </c>
      <c r="S20">
        <v>36.82</v>
      </c>
      <c r="T20">
        <v>368200</v>
      </c>
      <c r="U20">
        <v>9525</v>
      </c>
      <c r="V20">
        <v>0.1</v>
      </c>
      <c r="W20">
        <v>33.130000000000003</v>
      </c>
      <c r="X20">
        <v>331300</v>
      </c>
      <c r="Y20">
        <v>2006</v>
      </c>
      <c r="Z20">
        <v>1</v>
      </c>
      <c r="AA20">
        <v>10</v>
      </c>
      <c r="AB20">
        <v>1100</v>
      </c>
      <c r="AC20" t="s">
        <v>3308</v>
      </c>
      <c r="AE20" t="s">
        <v>192</v>
      </c>
      <c r="AF20" t="s">
        <v>3023</v>
      </c>
      <c r="AG20" t="s">
        <v>1720</v>
      </c>
      <c r="AI20" t="s">
        <v>2963</v>
      </c>
      <c r="AJ20">
        <v>38898</v>
      </c>
      <c r="AK20" t="s">
        <v>2948</v>
      </c>
      <c r="AL20">
        <v>67641700</v>
      </c>
      <c r="AN20" t="s">
        <v>2964</v>
      </c>
      <c r="AP20" t="s">
        <v>2950</v>
      </c>
      <c r="AQ20" t="s">
        <v>2965</v>
      </c>
      <c r="AW20" t="s">
        <v>2989</v>
      </c>
      <c r="AX20" t="s">
        <v>3024</v>
      </c>
      <c r="AY20" t="s">
        <v>3309</v>
      </c>
      <c r="BG20" s="3576">
        <v>38703</v>
      </c>
      <c r="BI20" t="s">
        <v>2979</v>
      </c>
      <c r="BJ20" s="3576">
        <v>38726</v>
      </c>
      <c r="BK20" t="s">
        <v>1439</v>
      </c>
      <c r="BQ20">
        <v>13232</v>
      </c>
      <c r="BR20">
        <v>13336</v>
      </c>
    </row>
    <row r="21" spans="1:70">
      <c r="A21" t="s">
        <v>3310</v>
      </c>
      <c r="B21" t="s">
        <v>3311</v>
      </c>
      <c r="C21" t="s">
        <v>3312</v>
      </c>
      <c r="D21">
        <v>13901251377</v>
      </c>
      <c r="E21" t="s">
        <v>2271</v>
      </c>
      <c r="F21" t="s">
        <v>3275</v>
      </c>
      <c r="H21" t="s">
        <v>1439</v>
      </c>
      <c r="J21" t="s">
        <v>3313</v>
      </c>
      <c r="K21" t="s">
        <v>3278</v>
      </c>
      <c r="L21">
        <v>40.53</v>
      </c>
      <c r="M21">
        <v>4</v>
      </c>
      <c r="N21" t="s">
        <v>3007</v>
      </c>
      <c r="O21">
        <v>29.18</v>
      </c>
      <c r="P21" t="s">
        <v>1780</v>
      </c>
      <c r="Q21">
        <v>377578</v>
      </c>
      <c r="R21">
        <v>9316</v>
      </c>
      <c r="S21">
        <v>37.49</v>
      </c>
      <c r="T21">
        <v>374900</v>
      </c>
      <c r="U21">
        <v>9250</v>
      </c>
      <c r="V21">
        <v>0.1</v>
      </c>
      <c r="W21">
        <v>33.74</v>
      </c>
      <c r="X21">
        <v>337400</v>
      </c>
      <c r="Y21">
        <v>2006</v>
      </c>
      <c r="Z21">
        <v>1</v>
      </c>
      <c r="AA21">
        <v>12</v>
      </c>
      <c r="AB21">
        <v>1120</v>
      </c>
      <c r="AC21" t="s">
        <v>3314</v>
      </c>
      <c r="AE21" t="s">
        <v>192</v>
      </c>
      <c r="AF21" t="s">
        <v>1643</v>
      </c>
      <c r="AG21" t="s">
        <v>1720</v>
      </c>
      <c r="AI21" t="s">
        <v>2963</v>
      </c>
      <c r="AJ21">
        <v>38898</v>
      </c>
      <c r="AK21" t="s">
        <v>2948</v>
      </c>
      <c r="AL21">
        <v>67641700</v>
      </c>
      <c r="AN21" t="s">
        <v>2964</v>
      </c>
      <c r="AP21" t="s">
        <v>2950</v>
      </c>
      <c r="AQ21" t="s">
        <v>2965</v>
      </c>
      <c r="AW21" t="s">
        <v>2989</v>
      </c>
      <c r="AX21" t="s">
        <v>3024</v>
      </c>
      <c r="AY21" t="s">
        <v>3315</v>
      </c>
      <c r="BG21" s="3576">
        <v>38709</v>
      </c>
      <c r="BI21" t="s">
        <v>3316</v>
      </c>
      <c r="BJ21" s="3576">
        <v>38726</v>
      </c>
      <c r="BK21" t="s">
        <v>1439</v>
      </c>
      <c r="BL21" t="s">
        <v>3027</v>
      </c>
      <c r="BQ21">
        <v>12848</v>
      </c>
      <c r="BR21">
        <v>12940</v>
      </c>
    </row>
    <row r="22" spans="1:70">
      <c r="A22" t="s">
        <v>3317</v>
      </c>
      <c r="B22" t="s">
        <v>3318</v>
      </c>
      <c r="C22" t="s">
        <v>3319</v>
      </c>
      <c r="D22" t="s">
        <v>3320</v>
      </c>
      <c r="E22" t="s">
        <v>2271</v>
      </c>
      <c r="F22" t="s">
        <v>3275</v>
      </c>
      <c r="H22" t="s">
        <v>1439</v>
      </c>
      <c r="J22" t="s">
        <v>3321</v>
      </c>
      <c r="K22" t="s">
        <v>3278</v>
      </c>
      <c r="L22">
        <v>40.53</v>
      </c>
      <c r="M22">
        <v>13</v>
      </c>
      <c r="N22" t="s">
        <v>3007</v>
      </c>
      <c r="O22">
        <v>29.18</v>
      </c>
      <c r="P22" t="s">
        <v>1780</v>
      </c>
      <c r="Q22">
        <v>404814</v>
      </c>
      <c r="R22">
        <v>9988</v>
      </c>
      <c r="S22">
        <v>40.200000000000003</v>
      </c>
      <c r="T22">
        <v>402000</v>
      </c>
      <c r="U22">
        <v>9920</v>
      </c>
      <c r="V22">
        <v>0.1</v>
      </c>
      <c r="W22">
        <v>36.18</v>
      </c>
      <c r="X22">
        <v>361800</v>
      </c>
      <c r="Y22">
        <v>2006</v>
      </c>
      <c r="Z22">
        <v>1</v>
      </c>
      <c r="AA22">
        <v>18</v>
      </c>
      <c r="AB22">
        <v>1205</v>
      </c>
      <c r="AC22" t="s">
        <v>3322</v>
      </c>
      <c r="AE22" t="s">
        <v>192</v>
      </c>
      <c r="AF22" t="s">
        <v>1643</v>
      </c>
      <c r="AG22" t="s">
        <v>1720</v>
      </c>
      <c r="AI22" t="s">
        <v>2963</v>
      </c>
      <c r="AJ22">
        <v>38898</v>
      </c>
      <c r="AK22" t="s">
        <v>2948</v>
      </c>
      <c r="AL22">
        <v>67641700</v>
      </c>
      <c r="AN22" t="s">
        <v>2949</v>
      </c>
      <c r="AP22" t="s">
        <v>2950</v>
      </c>
      <c r="AQ22" t="s">
        <v>2965</v>
      </c>
      <c r="AW22" t="s">
        <v>2989</v>
      </c>
      <c r="AX22" t="s">
        <v>3024</v>
      </c>
      <c r="AY22" t="s">
        <v>3323</v>
      </c>
      <c r="AZ22" t="s">
        <v>1439</v>
      </c>
      <c r="BA22" t="s">
        <v>1439</v>
      </c>
      <c r="BB22" t="s">
        <v>1439</v>
      </c>
      <c r="BC22" t="s">
        <v>1439</v>
      </c>
      <c r="BD22" t="s">
        <v>1439</v>
      </c>
      <c r="BE22" t="s">
        <v>1439</v>
      </c>
      <c r="BF22" t="s">
        <v>1439</v>
      </c>
      <c r="BG22" s="3576">
        <v>38711</v>
      </c>
      <c r="BI22" t="s">
        <v>3026</v>
      </c>
      <c r="BJ22" s="3576">
        <v>38733</v>
      </c>
      <c r="BK22" t="s">
        <v>1439</v>
      </c>
      <c r="BL22" t="s">
        <v>3027</v>
      </c>
      <c r="BQ22">
        <v>13777</v>
      </c>
      <c r="BR22">
        <v>13873</v>
      </c>
    </row>
    <row r="23" spans="1:70">
      <c r="A23" t="s">
        <v>3324</v>
      </c>
      <c r="B23" t="s">
        <v>3325</v>
      </c>
      <c r="C23" t="s">
        <v>3326</v>
      </c>
      <c r="D23" t="s">
        <v>3327</v>
      </c>
      <c r="E23" t="s">
        <v>2271</v>
      </c>
      <c r="F23" t="s">
        <v>3275</v>
      </c>
      <c r="H23" t="s">
        <v>1439</v>
      </c>
      <c r="J23" t="s">
        <v>3328</v>
      </c>
      <c r="K23" t="s">
        <v>3278</v>
      </c>
      <c r="L23">
        <v>69.95</v>
      </c>
      <c r="M23">
        <v>8</v>
      </c>
      <c r="N23" t="s">
        <v>3007</v>
      </c>
      <c r="O23">
        <v>50.35</v>
      </c>
      <c r="P23" t="s">
        <v>1780</v>
      </c>
      <c r="Q23">
        <v>646058</v>
      </c>
      <c r="R23">
        <v>9236</v>
      </c>
      <c r="S23">
        <v>64.14</v>
      </c>
      <c r="T23">
        <v>641400</v>
      </c>
      <c r="U23">
        <v>9170</v>
      </c>
      <c r="V23">
        <v>0.1</v>
      </c>
      <c r="W23">
        <v>57.72</v>
      </c>
      <c r="X23">
        <v>577200</v>
      </c>
      <c r="Y23">
        <v>2006</v>
      </c>
      <c r="Z23">
        <v>1</v>
      </c>
      <c r="AA23">
        <v>18</v>
      </c>
      <c r="AB23">
        <v>1500</v>
      </c>
      <c r="AC23" t="s">
        <v>3308</v>
      </c>
      <c r="AE23" t="s">
        <v>192</v>
      </c>
      <c r="AF23" t="s">
        <v>1643</v>
      </c>
      <c r="AG23" t="s">
        <v>1720</v>
      </c>
      <c r="AI23" t="s">
        <v>2963</v>
      </c>
      <c r="AJ23">
        <v>38898</v>
      </c>
      <c r="AK23" t="s">
        <v>2948</v>
      </c>
      <c r="AL23">
        <v>67641700</v>
      </c>
      <c r="AN23" t="s">
        <v>2949</v>
      </c>
      <c r="AP23" t="s">
        <v>2950</v>
      </c>
      <c r="AQ23" t="s">
        <v>2965</v>
      </c>
      <c r="AW23" t="s">
        <v>2989</v>
      </c>
      <c r="AX23" t="s">
        <v>3024</v>
      </c>
      <c r="AY23" t="s">
        <v>3329</v>
      </c>
      <c r="AZ23" t="s">
        <v>1439</v>
      </c>
      <c r="BA23" t="s">
        <v>1439</v>
      </c>
      <c r="BB23" t="s">
        <v>1439</v>
      </c>
      <c r="BC23" t="s">
        <v>1439</v>
      </c>
      <c r="BD23" t="s">
        <v>1439</v>
      </c>
      <c r="BE23" t="s">
        <v>1439</v>
      </c>
      <c r="BF23" t="s">
        <v>1439</v>
      </c>
      <c r="BG23" s="3576">
        <v>38674</v>
      </c>
      <c r="BI23" t="s">
        <v>3026</v>
      </c>
      <c r="BJ23" s="3576">
        <v>38734</v>
      </c>
      <c r="BK23" t="s">
        <v>1439</v>
      </c>
      <c r="BL23" t="s">
        <v>3027</v>
      </c>
      <c r="BQ23">
        <v>12739</v>
      </c>
      <c r="BR23">
        <v>12831</v>
      </c>
    </row>
    <row r="24" spans="1:70">
      <c r="A24" t="s">
        <v>3330</v>
      </c>
      <c r="B24" t="s">
        <v>3331</v>
      </c>
      <c r="C24" t="s">
        <v>3332</v>
      </c>
      <c r="D24">
        <v>13311362032</v>
      </c>
      <c r="E24" t="s">
        <v>2271</v>
      </c>
      <c r="F24" t="s">
        <v>3275</v>
      </c>
      <c r="H24" t="s">
        <v>1439</v>
      </c>
      <c r="J24" t="s">
        <v>3333</v>
      </c>
      <c r="K24" t="s">
        <v>3278</v>
      </c>
      <c r="L24">
        <v>40.08</v>
      </c>
      <c r="M24">
        <v>3</v>
      </c>
      <c r="N24" t="s">
        <v>3007</v>
      </c>
      <c r="O24">
        <v>28.85</v>
      </c>
      <c r="P24" t="s">
        <v>1780</v>
      </c>
      <c r="Q24">
        <v>355470</v>
      </c>
      <c r="R24">
        <v>8869</v>
      </c>
      <c r="S24">
        <v>35.270000000000003</v>
      </c>
      <c r="T24">
        <v>352700.00000000006</v>
      </c>
      <c r="U24">
        <v>8800</v>
      </c>
      <c r="V24">
        <v>0.1</v>
      </c>
      <c r="W24">
        <v>31.74</v>
      </c>
      <c r="X24">
        <v>317400</v>
      </c>
      <c r="Y24">
        <v>2006</v>
      </c>
      <c r="Z24">
        <v>1</v>
      </c>
      <c r="AA24">
        <v>23</v>
      </c>
      <c r="AB24">
        <v>1055</v>
      </c>
      <c r="AC24" t="s">
        <v>3334</v>
      </c>
      <c r="AE24" t="s">
        <v>192</v>
      </c>
      <c r="AF24" t="s">
        <v>1643</v>
      </c>
      <c r="AG24" t="s">
        <v>1720</v>
      </c>
      <c r="AI24" t="s">
        <v>2963</v>
      </c>
      <c r="AJ24">
        <v>38898</v>
      </c>
      <c r="AK24" t="s">
        <v>2948</v>
      </c>
      <c r="AL24">
        <v>67641700</v>
      </c>
      <c r="AN24" t="s">
        <v>2972</v>
      </c>
      <c r="AP24" t="s">
        <v>2950</v>
      </c>
      <c r="AQ24" t="s">
        <v>2965</v>
      </c>
      <c r="AW24" t="s">
        <v>2989</v>
      </c>
      <c r="AX24" t="s">
        <v>3024</v>
      </c>
      <c r="AY24" t="s">
        <v>3335</v>
      </c>
      <c r="BG24" s="3576">
        <v>38711</v>
      </c>
      <c r="BI24" t="s">
        <v>3316</v>
      </c>
      <c r="BJ24" s="3576">
        <v>38734</v>
      </c>
      <c r="BK24" t="s">
        <v>1439</v>
      </c>
      <c r="BL24" t="s">
        <v>3027</v>
      </c>
      <c r="BQ24">
        <v>12225</v>
      </c>
      <c r="BR24">
        <v>12321</v>
      </c>
    </row>
    <row r="25" spans="1:70">
      <c r="A25" t="s">
        <v>3336</v>
      </c>
      <c r="B25" t="s">
        <v>3337</v>
      </c>
      <c r="C25" t="s">
        <v>3338</v>
      </c>
      <c r="D25">
        <v>13910621692</v>
      </c>
      <c r="E25" t="s">
        <v>2271</v>
      </c>
      <c r="F25" t="s">
        <v>3275</v>
      </c>
      <c r="H25" t="s">
        <v>1439</v>
      </c>
      <c r="J25" t="s">
        <v>3339</v>
      </c>
      <c r="K25" t="s">
        <v>3278</v>
      </c>
      <c r="L25">
        <v>38.659999999999997</v>
      </c>
      <c r="M25">
        <v>8</v>
      </c>
      <c r="N25" t="s">
        <v>3007</v>
      </c>
      <c r="O25">
        <v>27.83</v>
      </c>
      <c r="P25" t="s">
        <v>1780</v>
      </c>
      <c r="Q25">
        <v>382579</v>
      </c>
      <c r="R25">
        <v>9896</v>
      </c>
      <c r="S25">
        <v>37.96</v>
      </c>
      <c r="T25">
        <v>379600</v>
      </c>
      <c r="U25">
        <v>9820</v>
      </c>
      <c r="V25">
        <v>0.1</v>
      </c>
      <c r="W25">
        <v>34.159999999999997</v>
      </c>
      <c r="X25">
        <v>341599.99999999994</v>
      </c>
      <c r="Y25">
        <v>2006</v>
      </c>
      <c r="Z25">
        <v>1</v>
      </c>
      <c r="AA25">
        <v>27</v>
      </c>
      <c r="AB25">
        <v>1135</v>
      </c>
      <c r="AC25" t="s">
        <v>3308</v>
      </c>
      <c r="AE25" t="s">
        <v>192</v>
      </c>
      <c r="AF25" t="s">
        <v>1643</v>
      </c>
      <c r="AG25" t="s">
        <v>1720</v>
      </c>
      <c r="AI25" t="s">
        <v>2963</v>
      </c>
      <c r="AJ25">
        <v>38898</v>
      </c>
      <c r="AK25" t="s">
        <v>2948</v>
      </c>
      <c r="AL25">
        <v>67641700</v>
      </c>
      <c r="AN25" t="s">
        <v>2972</v>
      </c>
      <c r="AP25" t="s">
        <v>2950</v>
      </c>
      <c r="AQ25" t="s">
        <v>2965</v>
      </c>
      <c r="AW25" t="s">
        <v>2989</v>
      </c>
      <c r="AX25" t="s">
        <v>3024</v>
      </c>
      <c r="AY25">
        <v>167229</v>
      </c>
      <c r="AZ25" t="s">
        <v>1439</v>
      </c>
      <c r="BA25" t="s">
        <v>1439</v>
      </c>
      <c r="BB25" t="s">
        <v>1439</v>
      </c>
      <c r="BC25" t="s">
        <v>1439</v>
      </c>
      <c r="BD25" t="s">
        <v>1439</v>
      </c>
      <c r="BE25" t="s">
        <v>1439</v>
      </c>
      <c r="BF25" t="s">
        <v>1439</v>
      </c>
      <c r="BG25" s="3576">
        <v>38700</v>
      </c>
      <c r="BI25" t="s">
        <v>3026</v>
      </c>
      <c r="BJ25" s="3576">
        <v>38743</v>
      </c>
      <c r="BK25" t="s">
        <v>1439</v>
      </c>
      <c r="BL25" t="s">
        <v>3027</v>
      </c>
      <c r="BQ25">
        <v>13640</v>
      </c>
      <c r="BR25">
        <v>13747</v>
      </c>
    </row>
    <row r="26" spans="1:70">
      <c r="A26" t="s">
        <v>3340</v>
      </c>
      <c r="B26" t="s">
        <v>3341</v>
      </c>
      <c r="C26" t="s">
        <v>3342</v>
      </c>
      <c r="D26">
        <v>13811817865</v>
      </c>
      <c r="E26" t="s">
        <v>2271</v>
      </c>
      <c r="F26" t="s">
        <v>3275</v>
      </c>
      <c r="H26" t="s">
        <v>1439</v>
      </c>
      <c r="J26" t="s">
        <v>3343</v>
      </c>
      <c r="K26" t="s">
        <v>3278</v>
      </c>
      <c r="L26">
        <v>40.53</v>
      </c>
      <c r="M26">
        <v>5</v>
      </c>
      <c r="N26" t="s">
        <v>3007</v>
      </c>
      <c r="O26">
        <v>29.18</v>
      </c>
      <c r="P26" t="s">
        <v>1780</v>
      </c>
      <c r="Q26">
        <v>381468</v>
      </c>
      <c r="R26">
        <v>9412</v>
      </c>
      <c r="S26">
        <v>37.85</v>
      </c>
      <c r="T26">
        <v>378500</v>
      </c>
      <c r="U26">
        <v>9340</v>
      </c>
      <c r="V26">
        <v>0.1</v>
      </c>
      <c r="W26">
        <v>34.06</v>
      </c>
      <c r="X26">
        <v>340600</v>
      </c>
      <c r="Y26">
        <v>2006</v>
      </c>
      <c r="Z26">
        <v>1</v>
      </c>
      <c r="AA26">
        <v>26</v>
      </c>
      <c r="AB26">
        <v>1135</v>
      </c>
      <c r="AC26" t="s">
        <v>3308</v>
      </c>
      <c r="AE26" t="s">
        <v>192</v>
      </c>
      <c r="AF26" t="s">
        <v>1643</v>
      </c>
      <c r="AG26" t="s">
        <v>1720</v>
      </c>
      <c r="AI26" t="s">
        <v>2963</v>
      </c>
      <c r="AJ26">
        <v>38898</v>
      </c>
      <c r="AK26" t="s">
        <v>2948</v>
      </c>
      <c r="AL26">
        <v>67641700</v>
      </c>
      <c r="AN26" t="s">
        <v>2972</v>
      </c>
      <c r="AP26" t="s">
        <v>2950</v>
      </c>
      <c r="AQ26" t="s">
        <v>2965</v>
      </c>
      <c r="AW26" t="s">
        <v>2989</v>
      </c>
      <c r="AX26" t="s">
        <v>3024</v>
      </c>
      <c r="AY26" t="s">
        <v>3344</v>
      </c>
      <c r="BG26" s="3576">
        <v>38704</v>
      </c>
      <c r="BI26" t="s">
        <v>3345</v>
      </c>
      <c r="BJ26" s="3576">
        <v>38741</v>
      </c>
      <c r="BK26" t="s">
        <v>1439</v>
      </c>
      <c r="BL26" t="s">
        <v>3027</v>
      </c>
      <c r="BQ26">
        <v>12973</v>
      </c>
      <c r="BR26">
        <v>13073</v>
      </c>
    </row>
    <row r="27" spans="1:70">
      <c r="A27" t="s">
        <v>3346</v>
      </c>
      <c r="B27" t="s">
        <v>3347</v>
      </c>
      <c r="C27" t="s">
        <v>3348</v>
      </c>
      <c r="D27">
        <v>13901394380</v>
      </c>
      <c r="E27" t="s">
        <v>2271</v>
      </c>
      <c r="F27" t="s">
        <v>3275</v>
      </c>
      <c r="H27" t="s">
        <v>1439</v>
      </c>
      <c r="I27" t="s">
        <v>3349</v>
      </c>
      <c r="J27" t="s">
        <v>3350</v>
      </c>
      <c r="K27" t="s">
        <v>3278</v>
      </c>
      <c r="L27">
        <v>52.59</v>
      </c>
      <c r="M27">
        <v>6</v>
      </c>
      <c r="N27" t="s">
        <v>3007</v>
      </c>
      <c r="O27">
        <v>37.86</v>
      </c>
      <c r="P27" t="s">
        <v>1780</v>
      </c>
      <c r="Q27">
        <v>494973</v>
      </c>
      <c r="R27">
        <v>9412</v>
      </c>
      <c r="S27">
        <v>49.06</v>
      </c>
      <c r="T27">
        <v>490600</v>
      </c>
      <c r="U27">
        <v>9330</v>
      </c>
      <c r="V27">
        <v>0.1</v>
      </c>
      <c r="W27">
        <v>44.15</v>
      </c>
      <c r="X27">
        <v>441500</v>
      </c>
      <c r="Y27">
        <v>2006</v>
      </c>
      <c r="Z27">
        <v>1</v>
      </c>
      <c r="AA27">
        <v>27</v>
      </c>
      <c r="AB27">
        <v>1470</v>
      </c>
      <c r="AC27" t="s">
        <v>3314</v>
      </c>
      <c r="AE27" t="s">
        <v>192</v>
      </c>
      <c r="AF27" t="s">
        <v>1643</v>
      </c>
      <c r="AG27" t="s">
        <v>1720</v>
      </c>
      <c r="AI27" t="s">
        <v>2963</v>
      </c>
      <c r="AJ27">
        <v>38898</v>
      </c>
      <c r="AK27" t="s">
        <v>2948</v>
      </c>
      <c r="AL27">
        <v>67641700</v>
      </c>
      <c r="AN27" t="s">
        <v>2972</v>
      </c>
      <c r="AP27" t="s">
        <v>2950</v>
      </c>
      <c r="AQ27" t="s">
        <v>2965</v>
      </c>
      <c r="AW27" t="s">
        <v>2989</v>
      </c>
      <c r="AX27" t="s">
        <v>3024</v>
      </c>
      <c r="AY27">
        <v>173871</v>
      </c>
      <c r="AZ27" t="s">
        <v>1439</v>
      </c>
      <c r="BA27" t="s">
        <v>1439</v>
      </c>
      <c r="BB27" t="s">
        <v>1439</v>
      </c>
      <c r="BC27" t="s">
        <v>1439</v>
      </c>
      <c r="BD27" t="s">
        <v>1439</v>
      </c>
      <c r="BE27" t="s">
        <v>1439</v>
      </c>
      <c r="BF27" t="s">
        <v>1439</v>
      </c>
      <c r="BG27" s="3576">
        <v>38717</v>
      </c>
      <c r="BI27" t="s">
        <v>3316</v>
      </c>
      <c r="BJ27" s="3576">
        <v>38743</v>
      </c>
      <c r="BK27" t="s">
        <v>1439</v>
      </c>
      <c r="BL27" t="s">
        <v>3027</v>
      </c>
      <c r="BQ27">
        <v>12958</v>
      </c>
      <c r="BR27">
        <v>13074</v>
      </c>
    </row>
    <row r="28" spans="1:70">
      <c r="A28" t="s">
        <v>3351</v>
      </c>
      <c r="B28" t="s">
        <v>3352</v>
      </c>
      <c r="C28" t="s">
        <v>3353</v>
      </c>
      <c r="D28" t="s">
        <v>3354</v>
      </c>
      <c r="E28" t="s">
        <v>2271</v>
      </c>
      <c r="F28" t="s">
        <v>3275</v>
      </c>
      <c r="H28" t="s">
        <v>1439</v>
      </c>
      <c r="J28" t="s">
        <v>3355</v>
      </c>
      <c r="K28" t="s">
        <v>3278</v>
      </c>
      <c r="L28">
        <v>69.95</v>
      </c>
      <c r="M28">
        <v>6</v>
      </c>
      <c r="N28" t="s">
        <v>3007</v>
      </c>
      <c r="O28">
        <v>50.35</v>
      </c>
      <c r="P28" t="s">
        <v>1780</v>
      </c>
      <c r="Q28">
        <v>626762</v>
      </c>
      <c r="R28">
        <v>8960</v>
      </c>
      <c r="S28">
        <v>62.04</v>
      </c>
      <c r="T28">
        <v>620400</v>
      </c>
      <c r="U28">
        <v>8870</v>
      </c>
      <c r="V28">
        <v>0.1</v>
      </c>
      <c r="W28">
        <v>55.83</v>
      </c>
      <c r="X28">
        <v>558300</v>
      </c>
      <c r="Y28">
        <v>2006</v>
      </c>
      <c r="Z28">
        <v>2</v>
      </c>
      <c r="AA28">
        <v>9</v>
      </c>
      <c r="AB28">
        <v>1500</v>
      </c>
      <c r="AC28" t="s">
        <v>3308</v>
      </c>
      <c r="AE28" t="s">
        <v>192</v>
      </c>
      <c r="AF28" t="s">
        <v>3294</v>
      </c>
      <c r="AG28" t="s">
        <v>1720</v>
      </c>
      <c r="AI28" t="s">
        <v>2963</v>
      </c>
      <c r="AJ28">
        <v>38898</v>
      </c>
      <c r="AK28">
        <v>2</v>
      </c>
      <c r="AL28">
        <v>67641700</v>
      </c>
      <c r="AN28" t="s">
        <v>2948</v>
      </c>
      <c r="AP28" t="s">
        <v>2950</v>
      </c>
      <c r="AQ28" t="s">
        <v>2965</v>
      </c>
      <c r="AW28" t="s">
        <v>2989</v>
      </c>
      <c r="AX28" t="s">
        <v>3024</v>
      </c>
      <c r="AY28" t="s">
        <v>3356</v>
      </c>
      <c r="BG28" s="3576">
        <v>38665</v>
      </c>
      <c r="BI28" t="s">
        <v>2950</v>
      </c>
      <c r="BJ28" s="3576">
        <v>38743</v>
      </c>
      <c r="BK28" t="s">
        <v>1439</v>
      </c>
      <c r="BL28" t="s">
        <v>3027</v>
      </c>
      <c r="BQ28">
        <v>12322</v>
      </c>
      <c r="BR28">
        <v>12448</v>
      </c>
    </row>
    <row r="29" spans="1:70">
      <c r="A29" t="s">
        <v>3357</v>
      </c>
      <c r="B29" t="s">
        <v>3358</v>
      </c>
      <c r="C29" t="s">
        <v>3359</v>
      </c>
      <c r="D29" t="s">
        <v>3360</v>
      </c>
      <c r="E29" t="s">
        <v>2271</v>
      </c>
      <c r="F29" t="s">
        <v>3275</v>
      </c>
      <c r="H29" t="s">
        <v>1439</v>
      </c>
      <c r="I29" t="s">
        <v>3361</v>
      </c>
      <c r="J29" t="s">
        <v>3362</v>
      </c>
      <c r="K29" t="s">
        <v>3278</v>
      </c>
      <c r="L29">
        <v>38.659999999999997</v>
      </c>
      <c r="M29">
        <v>14</v>
      </c>
      <c r="N29" t="s">
        <v>3007</v>
      </c>
      <c r="O29">
        <v>27.83</v>
      </c>
      <c r="P29" t="s">
        <v>1780</v>
      </c>
      <c r="Q29">
        <v>434770</v>
      </c>
      <c r="R29">
        <v>11246</v>
      </c>
      <c r="S29">
        <v>43.22</v>
      </c>
      <c r="T29">
        <v>432200</v>
      </c>
      <c r="U29">
        <v>11180</v>
      </c>
      <c r="V29">
        <v>0.1</v>
      </c>
      <c r="W29">
        <v>38.89</v>
      </c>
      <c r="X29">
        <v>388900</v>
      </c>
      <c r="Y29">
        <v>2006</v>
      </c>
      <c r="Z29">
        <v>2</v>
      </c>
      <c r="AA29">
        <v>13</v>
      </c>
      <c r="AB29">
        <v>1295</v>
      </c>
      <c r="AC29" t="s">
        <v>3314</v>
      </c>
      <c r="AE29" t="s">
        <v>192</v>
      </c>
      <c r="AF29" t="s">
        <v>3294</v>
      </c>
      <c r="AG29" t="s">
        <v>1720</v>
      </c>
      <c r="AI29" t="s">
        <v>2963</v>
      </c>
      <c r="AJ29">
        <v>38898</v>
      </c>
      <c r="AK29">
        <v>2</v>
      </c>
      <c r="AL29">
        <v>67641700</v>
      </c>
      <c r="AN29" t="s">
        <v>2964</v>
      </c>
      <c r="AP29" t="s">
        <v>2950</v>
      </c>
      <c r="AQ29" t="s">
        <v>2965</v>
      </c>
      <c r="AW29" t="s">
        <v>2989</v>
      </c>
      <c r="AX29" t="s">
        <v>3024</v>
      </c>
      <c r="AY29" t="s">
        <v>3356</v>
      </c>
      <c r="BG29" s="3576">
        <v>38665</v>
      </c>
      <c r="BI29" t="s">
        <v>2950</v>
      </c>
      <c r="BJ29" s="3576">
        <v>38758</v>
      </c>
      <c r="BK29" t="s">
        <v>1439</v>
      </c>
      <c r="BL29" t="s">
        <v>3027</v>
      </c>
      <c r="BQ29">
        <v>15530</v>
      </c>
      <c r="BR29">
        <v>15622</v>
      </c>
    </row>
    <row r="30" spans="1:70">
      <c r="A30" t="s">
        <v>3363</v>
      </c>
      <c r="B30" t="s">
        <v>3364</v>
      </c>
      <c r="C30" t="s">
        <v>3365</v>
      </c>
      <c r="D30">
        <v>13161555808</v>
      </c>
      <c r="E30" t="s">
        <v>2271</v>
      </c>
      <c r="F30" t="s">
        <v>3275</v>
      </c>
      <c r="H30" t="s">
        <v>1439</v>
      </c>
      <c r="J30" t="s">
        <v>3366</v>
      </c>
      <c r="K30" t="s">
        <v>3278</v>
      </c>
      <c r="L30">
        <v>69.95</v>
      </c>
      <c r="M30">
        <v>11</v>
      </c>
      <c r="N30" t="s">
        <v>3007</v>
      </c>
      <c r="O30">
        <v>50.35</v>
      </c>
      <c r="P30" t="s">
        <v>1780</v>
      </c>
      <c r="Q30">
        <v>601570</v>
      </c>
      <c r="R30">
        <v>8600</v>
      </c>
      <c r="S30">
        <v>60.05</v>
      </c>
      <c r="T30">
        <v>600500</v>
      </c>
      <c r="U30">
        <v>8585</v>
      </c>
      <c r="V30">
        <v>0.1</v>
      </c>
      <c r="W30">
        <v>54.04</v>
      </c>
      <c r="X30">
        <v>540400</v>
      </c>
      <c r="Y30">
        <v>2006</v>
      </c>
      <c r="Z30">
        <v>2</v>
      </c>
      <c r="AA30">
        <v>16</v>
      </c>
      <c r="AB30">
        <v>1500</v>
      </c>
      <c r="AC30" t="s">
        <v>3308</v>
      </c>
      <c r="AE30" t="s">
        <v>192</v>
      </c>
      <c r="AF30" t="s">
        <v>1643</v>
      </c>
      <c r="AG30" t="s">
        <v>1720</v>
      </c>
      <c r="AI30" t="s">
        <v>2963</v>
      </c>
      <c r="AJ30">
        <v>38898</v>
      </c>
      <c r="AK30" t="s">
        <v>2964</v>
      </c>
      <c r="AL30">
        <v>67641700</v>
      </c>
      <c r="AN30" t="s">
        <v>2964</v>
      </c>
      <c r="AP30" t="s">
        <v>2950</v>
      </c>
      <c r="AQ30" t="s">
        <v>2965</v>
      </c>
      <c r="AW30" t="s">
        <v>2989</v>
      </c>
      <c r="AX30" t="s">
        <v>3024</v>
      </c>
      <c r="AY30">
        <v>166213</v>
      </c>
      <c r="AZ30" t="s">
        <v>1439</v>
      </c>
      <c r="BA30" t="s">
        <v>1439</v>
      </c>
      <c r="BB30" t="s">
        <v>1439</v>
      </c>
      <c r="BC30" t="s">
        <v>1439</v>
      </c>
      <c r="BD30" t="s">
        <v>1439</v>
      </c>
      <c r="BE30" t="s">
        <v>1439</v>
      </c>
      <c r="BF30" t="s">
        <v>1439</v>
      </c>
      <c r="BG30" s="3576">
        <v>38698</v>
      </c>
      <c r="BI30" t="s">
        <v>3316</v>
      </c>
      <c r="BJ30" s="3576">
        <v>38761</v>
      </c>
      <c r="BK30" t="s">
        <v>1439</v>
      </c>
      <c r="BL30" t="s">
        <v>3027</v>
      </c>
      <c r="BQ30">
        <v>11927</v>
      </c>
      <c r="BR30">
        <v>11948</v>
      </c>
    </row>
    <row r="31" spans="1:70">
      <c r="A31" t="s">
        <v>3367</v>
      </c>
      <c r="B31" t="s">
        <v>3368</v>
      </c>
      <c r="C31" t="s">
        <v>3369</v>
      </c>
      <c r="D31" t="s">
        <v>3370</v>
      </c>
      <c r="E31" t="s">
        <v>2271</v>
      </c>
      <c r="F31" t="s">
        <v>3275</v>
      </c>
      <c r="H31" t="s">
        <v>1439</v>
      </c>
      <c r="I31" t="s">
        <v>3371</v>
      </c>
      <c r="J31" t="s">
        <v>3372</v>
      </c>
      <c r="K31" t="s">
        <v>3278</v>
      </c>
      <c r="L31">
        <v>38.659999999999997</v>
      </c>
      <c r="M31">
        <v>16</v>
      </c>
      <c r="N31" t="s">
        <v>3007</v>
      </c>
      <c r="O31">
        <v>27.83</v>
      </c>
      <c r="P31" t="s">
        <v>1780</v>
      </c>
      <c r="Q31">
        <v>405237</v>
      </c>
      <c r="R31">
        <v>10482</v>
      </c>
      <c r="S31">
        <v>40.200000000000003</v>
      </c>
      <c r="T31">
        <v>402000</v>
      </c>
      <c r="U31">
        <v>10400</v>
      </c>
      <c r="V31">
        <v>0.1</v>
      </c>
      <c r="W31">
        <v>36.18</v>
      </c>
      <c r="X31">
        <v>361800</v>
      </c>
      <c r="Y31">
        <v>2006</v>
      </c>
      <c r="Z31">
        <v>2</v>
      </c>
      <c r="AA31">
        <v>23</v>
      </c>
      <c r="AB31">
        <v>1205</v>
      </c>
      <c r="AC31" t="s">
        <v>3314</v>
      </c>
      <c r="AE31" t="s">
        <v>192</v>
      </c>
      <c r="AF31" t="s">
        <v>3294</v>
      </c>
      <c r="AG31" t="s">
        <v>1720</v>
      </c>
      <c r="AI31" t="s">
        <v>2963</v>
      </c>
      <c r="AJ31">
        <v>38898</v>
      </c>
      <c r="AK31">
        <v>2</v>
      </c>
      <c r="AL31">
        <v>67641700</v>
      </c>
      <c r="AN31" t="s">
        <v>2949</v>
      </c>
      <c r="AP31" t="s">
        <v>2950</v>
      </c>
      <c r="AQ31" t="s">
        <v>2965</v>
      </c>
      <c r="AW31" t="s">
        <v>2989</v>
      </c>
      <c r="AX31" t="s">
        <v>3024</v>
      </c>
      <c r="AY31" t="s">
        <v>3373</v>
      </c>
      <c r="BG31" s="3576">
        <v>38724</v>
      </c>
      <c r="BI31" t="s">
        <v>2950</v>
      </c>
      <c r="BJ31" s="3576">
        <v>38770</v>
      </c>
      <c r="BK31" t="s">
        <v>1439</v>
      </c>
      <c r="BL31" t="s">
        <v>3027</v>
      </c>
      <c r="BQ31">
        <v>14445</v>
      </c>
      <c r="BR31">
        <v>14561</v>
      </c>
    </row>
    <row r="32" spans="1:70">
      <c r="A32" t="s">
        <v>3374</v>
      </c>
      <c r="B32" t="s">
        <v>3375</v>
      </c>
      <c r="C32" t="s">
        <v>3376</v>
      </c>
      <c r="D32" t="s">
        <v>3377</v>
      </c>
      <c r="E32" t="s">
        <v>2271</v>
      </c>
      <c r="F32" t="s">
        <v>3275</v>
      </c>
      <c r="H32" t="s">
        <v>1439</v>
      </c>
      <c r="I32" t="s">
        <v>3349</v>
      </c>
      <c r="J32" t="s">
        <v>3378</v>
      </c>
      <c r="K32" t="s">
        <v>3278</v>
      </c>
      <c r="L32">
        <v>38.659999999999997</v>
      </c>
      <c r="M32">
        <v>6</v>
      </c>
      <c r="N32" t="s">
        <v>3007</v>
      </c>
      <c r="O32">
        <v>27.83</v>
      </c>
      <c r="P32" t="s">
        <v>1780</v>
      </c>
      <c r="Q32">
        <v>405775</v>
      </c>
      <c r="R32">
        <v>10496</v>
      </c>
      <c r="S32">
        <v>40.24</v>
      </c>
      <c r="T32">
        <v>402400</v>
      </c>
      <c r="U32">
        <v>10410</v>
      </c>
      <c r="V32">
        <v>0.1</v>
      </c>
      <c r="W32">
        <v>36.21</v>
      </c>
      <c r="X32">
        <v>362100</v>
      </c>
      <c r="Y32">
        <v>2006</v>
      </c>
      <c r="Z32">
        <v>3</v>
      </c>
      <c r="AA32">
        <v>9</v>
      </c>
      <c r="AB32">
        <v>1205</v>
      </c>
      <c r="AC32" t="s">
        <v>3308</v>
      </c>
      <c r="AE32" t="s">
        <v>192</v>
      </c>
      <c r="AF32" t="s">
        <v>3294</v>
      </c>
      <c r="AG32" t="s">
        <v>1720</v>
      </c>
      <c r="AI32" t="s">
        <v>2963</v>
      </c>
      <c r="AJ32">
        <v>38898</v>
      </c>
      <c r="AK32">
        <v>3</v>
      </c>
      <c r="AL32">
        <v>67641700</v>
      </c>
      <c r="AN32" t="s">
        <v>2964</v>
      </c>
      <c r="AP32" t="s">
        <v>2950</v>
      </c>
      <c r="AQ32" t="s">
        <v>2965</v>
      </c>
      <c r="AW32" t="s">
        <v>2989</v>
      </c>
      <c r="AX32" t="s">
        <v>3024</v>
      </c>
      <c r="AY32" t="s">
        <v>3379</v>
      </c>
      <c r="BG32" s="3576">
        <v>38739</v>
      </c>
      <c r="BI32" t="s">
        <v>3316</v>
      </c>
      <c r="BJ32" s="3576">
        <v>38784</v>
      </c>
      <c r="BK32" t="s">
        <v>1439</v>
      </c>
      <c r="BL32" t="s">
        <v>3027</v>
      </c>
      <c r="BQ32">
        <v>14459</v>
      </c>
      <c r="BR32">
        <v>14580</v>
      </c>
    </row>
    <row r="33" spans="1:70">
      <c r="A33" t="s">
        <v>3380</v>
      </c>
      <c r="B33" t="s">
        <v>3381</v>
      </c>
      <c r="C33" t="s">
        <v>3382</v>
      </c>
      <c r="D33" t="s">
        <v>3383</v>
      </c>
      <c r="E33" t="s">
        <v>2271</v>
      </c>
      <c r="F33" t="s">
        <v>3275</v>
      </c>
      <c r="H33" t="s">
        <v>1439</v>
      </c>
      <c r="I33" t="s">
        <v>3384</v>
      </c>
      <c r="J33" t="s">
        <v>3385</v>
      </c>
      <c r="K33" t="s">
        <v>3278</v>
      </c>
      <c r="L33">
        <v>43.97</v>
      </c>
      <c r="M33">
        <v>17</v>
      </c>
      <c r="N33" t="s">
        <v>3007</v>
      </c>
      <c r="O33">
        <v>31.65</v>
      </c>
      <c r="P33" t="s">
        <v>1780</v>
      </c>
      <c r="Q33">
        <v>474700</v>
      </c>
      <c r="R33">
        <v>10796</v>
      </c>
      <c r="S33">
        <v>47.09</v>
      </c>
      <c r="T33">
        <v>470900</v>
      </c>
      <c r="U33">
        <v>10710</v>
      </c>
      <c r="V33">
        <v>0.1</v>
      </c>
      <c r="W33">
        <v>42.38</v>
      </c>
      <c r="X33">
        <v>423800</v>
      </c>
      <c r="Y33">
        <v>2006</v>
      </c>
      <c r="Z33">
        <v>3</v>
      </c>
      <c r="AA33">
        <v>17</v>
      </c>
      <c r="AB33">
        <v>1410</v>
      </c>
      <c r="AC33" t="s">
        <v>3322</v>
      </c>
      <c r="AE33" t="s">
        <v>192</v>
      </c>
      <c r="AF33" t="s">
        <v>3386</v>
      </c>
      <c r="AG33" t="s">
        <v>1720</v>
      </c>
      <c r="AI33" t="s">
        <v>2963</v>
      </c>
      <c r="AJ33">
        <v>38898</v>
      </c>
      <c r="AK33">
        <v>3</v>
      </c>
      <c r="AL33">
        <v>67641700</v>
      </c>
      <c r="AN33" t="s">
        <v>2949</v>
      </c>
      <c r="AP33" t="s">
        <v>2950</v>
      </c>
      <c r="AQ33" t="s">
        <v>2965</v>
      </c>
      <c r="AW33" t="s">
        <v>2989</v>
      </c>
      <c r="AX33" t="s">
        <v>3024</v>
      </c>
      <c r="AY33" t="s">
        <v>3387</v>
      </c>
      <c r="BG33" s="3576">
        <v>38768</v>
      </c>
      <c r="BI33" t="s">
        <v>2950</v>
      </c>
      <c r="BJ33" s="3576">
        <v>38792</v>
      </c>
      <c r="BK33" t="s">
        <v>1439</v>
      </c>
      <c r="BL33" t="s">
        <v>3027</v>
      </c>
      <c r="BQ33">
        <v>14878</v>
      </c>
      <c r="BR33">
        <v>14998</v>
      </c>
    </row>
    <row r="34" spans="1:70">
      <c r="A34" t="s">
        <v>3388</v>
      </c>
      <c r="B34" t="s">
        <v>3389</v>
      </c>
      <c r="C34" t="s">
        <v>3390</v>
      </c>
      <c r="D34" t="s">
        <v>3391</v>
      </c>
      <c r="E34" t="s">
        <v>2271</v>
      </c>
      <c r="F34" t="s">
        <v>3275</v>
      </c>
      <c r="H34" t="s">
        <v>1439</v>
      </c>
      <c r="I34" t="s">
        <v>3349</v>
      </c>
      <c r="J34" t="s">
        <v>3392</v>
      </c>
      <c r="K34" t="s">
        <v>3278</v>
      </c>
      <c r="L34">
        <v>52.25</v>
      </c>
      <c r="M34">
        <v>6</v>
      </c>
      <c r="N34" t="s">
        <v>3007</v>
      </c>
      <c r="O34">
        <v>37.61</v>
      </c>
      <c r="P34" t="s">
        <v>1780</v>
      </c>
      <c r="Q34">
        <v>516351</v>
      </c>
      <c r="R34">
        <v>9882</v>
      </c>
      <c r="S34">
        <v>51.2</v>
      </c>
      <c r="T34">
        <v>512000</v>
      </c>
      <c r="U34">
        <v>9800</v>
      </c>
      <c r="V34">
        <v>0.1</v>
      </c>
      <c r="W34">
        <v>46.08</v>
      </c>
      <c r="X34">
        <v>460800</v>
      </c>
      <c r="Y34">
        <v>2006</v>
      </c>
      <c r="Z34">
        <v>3</v>
      </c>
      <c r="AA34">
        <v>24</v>
      </c>
      <c r="AB34">
        <v>1500</v>
      </c>
      <c r="AC34" t="s">
        <v>3322</v>
      </c>
      <c r="AE34" t="s">
        <v>192</v>
      </c>
      <c r="AF34" t="s">
        <v>3294</v>
      </c>
      <c r="AG34" t="s">
        <v>1720</v>
      </c>
      <c r="AI34" t="s">
        <v>2963</v>
      </c>
      <c r="AJ34">
        <v>38898</v>
      </c>
      <c r="AK34" t="s">
        <v>2949</v>
      </c>
      <c r="AL34">
        <v>67641700</v>
      </c>
      <c r="AN34" t="s">
        <v>2972</v>
      </c>
      <c r="AP34" t="s">
        <v>2950</v>
      </c>
      <c r="AQ34" t="s">
        <v>2965</v>
      </c>
      <c r="AW34" t="s">
        <v>2989</v>
      </c>
      <c r="AX34" t="s">
        <v>3024</v>
      </c>
      <c r="AY34" t="s">
        <v>3393</v>
      </c>
      <c r="AZ34" t="s">
        <v>1439</v>
      </c>
      <c r="BA34" t="s">
        <v>1439</v>
      </c>
      <c r="BB34" t="s">
        <v>1439</v>
      </c>
      <c r="BC34" t="s">
        <v>1439</v>
      </c>
      <c r="BD34" t="s">
        <v>1439</v>
      </c>
      <c r="BE34" t="s">
        <v>1439</v>
      </c>
      <c r="BF34" t="s">
        <v>1439</v>
      </c>
      <c r="BG34" s="3576">
        <v>38787</v>
      </c>
      <c r="BI34" t="s">
        <v>3316</v>
      </c>
      <c r="BJ34" s="3576">
        <v>38799</v>
      </c>
      <c r="BK34" t="s">
        <v>1439</v>
      </c>
      <c r="BL34" t="s">
        <v>3027</v>
      </c>
      <c r="BQ34">
        <v>13613</v>
      </c>
      <c r="BR34">
        <v>13729</v>
      </c>
    </row>
    <row r="35" spans="1:70">
      <c r="A35" t="s">
        <v>3394</v>
      </c>
      <c r="B35" t="s">
        <v>3395</v>
      </c>
      <c r="C35" t="s">
        <v>3396</v>
      </c>
      <c r="D35">
        <v>13381160222</v>
      </c>
      <c r="E35" t="s">
        <v>2271</v>
      </c>
      <c r="F35" t="s">
        <v>3275</v>
      </c>
      <c r="H35" t="s">
        <v>1439</v>
      </c>
      <c r="I35" t="s">
        <v>3276</v>
      </c>
      <c r="J35" t="s">
        <v>3397</v>
      </c>
      <c r="K35" t="s">
        <v>3278</v>
      </c>
      <c r="L35">
        <v>40.08</v>
      </c>
      <c r="M35">
        <v>7</v>
      </c>
      <c r="N35" t="s">
        <v>3007</v>
      </c>
      <c r="O35">
        <v>28.85</v>
      </c>
      <c r="P35" t="s">
        <v>1780</v>
      </c>
      <c r="Q35">
        <v>396632</v>
      </c>
      <c r="R35">
        <v>9896</v>
      </c>
      <c r="S35">
        <v>39.35</v>
      </c>
      <c r="T35">
        <v>393500</v>
      </c>
      <c r="U35">
        <v>9820</v>
      </c>
      <c r="V35">
        <v>0.1</v>
      </c>
      <c r="W35">
        <v>35.409999999999997</v>
      </c>
      <c r="X35">
        <v>354100</v>
      </c>
      <c r="Y35">
        <v>2006</v>
      </c>
      <c r="Z35">
        <v>3</v>
      </c>
      <c r="AA35">
        <v>28</v>
      </c>
      <c r="AB35">
        <v>1180</v>
      </c>
      <c r="AC35" t="s">
        <v>3398</v>
      </c>
      <c r="AE35" t="s">
        <v>192</v>
      </c>
      <c r="AF35" t="s">
        <v>3294</v>
      </c>
      <c r="AG35" t="s">
        <v>1720</v>
      </c>
      <c r="AI35" t="s">
        <v>2963</v>
      </c>
      <c r="AJ35">
        <v>38898</v>
      </c>
      <c r="AK35" t="s">
        <v>2949</v>
      </c>
      <c r="AL35">
        <v>67641700</v>
      </c>
      <c r="AN35" t="s">
        <v>2993</v>
      </c>
      <c r="AP35" t="s">
        <v>2950</v>
      </c>
      <c r="AQ35" t="s">
        <v>2965</v>
      </c>
      <c r="AW35" t="s">
        <v>2989</v>
      </c>
      <c r="AX35" t="s">
        <v>3024</v>
      </c>
      <c r="AY35" t="s">
        <v>3399</v>
      </c>
      <c r="BG35" s="3576">
        <v>38780</v>
      </c>
      <c r="BI35" t="s">
        <v>3316</v>
      </c>
      <c r="BJ35" s="3576">
        <v>38800</v>
      </c>
      <c r="BK35" t="s">
        <v>1439</v>
      </c>
      <c r="BL35" t="s">
        <v>3027</v>
      </c>
      <c r="BQ35">
        <v>13642</v>
      </c>
      <c r="BR35">
        <v>13748</v>
      </c>
    </row>
    <row r="36" spans="1:70">
      <c r="A36" t="s">
        <v>3400</v>
      </c>
      <c r="B36" t="s">
        <v>3401</v>
      </c>
      <c r="C36" t="s">
        <v>3402</v>
      </c>
      <c r="D36" t="s">
        <v>3403</v>
      </c>
      <c r="E36" t="s">
        <v>2271</v>
      </c>
      <c r="F36" t="s">
        <v>3275</v>
      </c>
      <c r="I36" t="s">
        <v>3404</v>
      </c>
      <c r="J36" t="s">
        <v>3405</v>
      </c>
      <c r="K36" t="s">
        <v>3278</v>
      </c>
      <c r="L36">
        <v>40.08</v>
      </c>
      <c r="M36">
        <v>5</v>
      </c>
      <c r="N36" t="s">
        <v>3007</v>
      </c>
      <c r="O36">
        <v>28.85</v>
      </c>
      <c r="P36" t="s">
        <v>1780</v>
      </c>
      <c r="Q36">
        <v>392624</v>
      </c>
      <c r="R36">
        <v>9796</v>
      </c>
      <c r="S36">
        <v>38.99</v>
      </c>
      <c r="T36">
        <v>389900</v>
      </c>
      <c r="U36">
        <v>9730</v>
      </c>
      <c r="V36">
        <v>0.1</v>
      </c>
      <c r="W36">
        <v>35.090000000000003</v>
      </c>
      <c r="X36">
        <v>350900.00000000006</v>
      </c>
      <c r="Y36">
        <v>2006</v>
      </c>
      <c r="Z36">
        <v>3</v>
      </c>
      <c r="AA36">
        <v>31</v>
      </c>
      <c r="AB36">
        <v>1165</v>
      </c>
      <c r="AC36" t="s">
        <v>3322</v>
      </c>
      <c r="AE36" t="s">
        <v>192</v>
      </c>
      <c r="AF36" t="s">
        <v>3386</v>
      </c>
      <c r="AG36" t="s">
        <v>1720</v>
      </c>
      <c r="AI36" t="s">
        <v>2963</v>
      </c>
      <c r="AJ36">
        <v>38898</v>
      </c>
      <c r="AK36">
        <v>3</v>
      </c>
      <c r="AL36">
        <v>67641700</v>
      </c>
      <c r="AN36" t="s">
        <v>2993</v>
      </c>
      <c r="AP36" t="s">
        <v>2950</v>
      </c>
      <c r="AQ36" t="s">
        <v>2965</v>
      </c>
      <c r="AW36" t="s">
        <v>2989</v>
      </c>
      <c r="AX36" t="s">
        <v>3024</v>
      </c>
      <c r="AY36" t="s">
        <v>3406</v>
      </c>
      <c r="BG36" s="3576">
        <v>38794</v>
      </c>
      <c r="BI36" t="s">
        <v>3026</v>
      </c>
      <c r="BJ36" s="3576">
        <v>38805</v>
      </c>
      <c r="BK36" t="s">
        <v>1439</v>
      </c>
      <c r="BL36" t="s">
        <v>3027</v>
      </c>
      <c r="BQ36">
        <v>13515</v>
      </c>
      <c r="BR36">
        <v>13609</v>
      </c>
    </row>
    <row r="37" spans="1:70">
      <c r="A37" t="s">
        <v>3407</v>
      </c>
      <c r="B37" t="s">
        <v>3408</v>
      </c>
      <c r="C37" t="s">
        <v>3409</v>
      </c>
      <c r="D37" t="s">
        <v>3410</v>
      </c>
      <c r="E37" t="s">
        <v>2271</v>
      </c>
      <c r="F37" t="s">
        <v>3275</v>
      </c>
      <c r="H37" t="s">
        <v>1439</v>
      </c>
      <c r="I37" t="s">
        <v>3411</v>
      </c>
      <c r="J37" t="s">
        <v>3412</v>
      </c>
      <c r="K37" t="s">
        <v>3278</v>
      </c>
      <c r="L37">
        <v>62.96</v>
      </c>
      <c r="M37">
        <v>3</v>
      </c>
      <c r="N37" t="s">
        <v>3007</v>
      </c>
      <c r="O37">
        <v>45.32</v>
      </c>
      <c r="P37" t="s">
        <v>1780</v>
      </c>
      <c r="Q37">
        <v>628404</v>
      </c>
      <c r="R37">
        <v>9981</v>
      </c>
      <c r="S37">
        <v>62.52</v>
      </c>
      <c r="T37">
        <v>625200</v>
      </c>
      <c r="U37">
        <v>9931</v>
      </c>
      <c r="V37">
        <v>0.2</v>
      </c>
      <c r="W37">
        <v>50.01</v>
      </c>
      <c r="X37">
        <v>500100</v>
      </c>
      <c r="Y37">
        <v>2006</v>
      </c>
      <c r="Z37">
        <v>4</v>
      </c>
      <c r="AA37">
        <v>21</v>
      </c>
      <c r="AB37">
        <v>1500</v>
      </c>
      <c r="AC37" t="s">
        <v>2984</v>
      </c>
      <c r="AE37" t="s">
        <v>192</v>
      </c>
      <c r="AF37" t="s">
        <v>3294</v>
      </c>
      <c r="AG37" t="s">
        <v>1720</v>
      </c>
      <c r="AI37" t="s">
        <v>2963</v>
      </c>
      <c r="AJ37">
        <v>38898</v>
      </c>
      <c r="AK37">
        <v>4</v>
      </c>
      <c r="AL37">
        <v>67641700</v>
      </c>
      <c r="AN37" t="s">
        <v>2949</v>
      </c>
      <c r="AP37" t="s">
        <v>2950</v>
      </c>
      <c r="AQ37" t="s">
        <v>2965</v>
      </c>
      <c r="AW37" t="s">
        <v>2989</v>
      </c>
      <c r="AX37" t="s">
        <v>3024</v>
      </c>
      <c r="AY37" t="s">
        <v>3413</v>
      </c>
      <c r="BG37" s="3576">
        <v>38812</v>
      </c>
      <c r="BI37" t="s">
        <v>3026</v>
      </c>
      <c r="BJ37" s="3576">
        <v>38827</v>
      </c>
      <c r="BK37" t="s">
        <v>1439</v>
      </c>
      <c r="BL37" t="s">
        <v>3027</v>
      </c>
      <c r="BQ37">
        <v>13795</v>
      </c>
      <c r="BR37">
        <v>13866</v>
      </c>
    </row>
    <row r="38" spans="1:70">
      <c r="A38" t="s">
        <v>3414</v>
      </c>
      <c r="B38" t="s">
        <v>3415</v>
      </c>
      <c r="C38" t="s">
        <v>3416</v>
      </c>
      <c r="D38" t="s">
        <v>3417</v>
      </c>
      <c r="E38" t="s">
        <v>2271</v>
      </c>
      <c r="F38" t="s">
        <v>3275</v>
      </c>
      <c r="H38" t="s">
        <v>1439</v>
      </c>
      <c r="I38" t="s">
        <v>3349</v>
      </c>
      <c r="J38" t="s">
        <v>3418</v>
      </c>
      <c r="K38" t="s">
        <v>3278</v>
      </c>
      <c r="L38">
        <v>62.96</v>
      </c>
      <c r="M38">
        <v>6</v>
      </c>
      <c r="N38" t="s">
        <v>3007</v>
      </c>
      <c r="O38">
        <v>45.32</v>
      </c>
      <c r="P38" t="s">
        <v>1780</v>
      </c>
      <c r="Q38">
        <v>622191</v>
      </c>
      <c r="R38">
        <v>9882</v>
      </c>
      <c r="S38">
        <v>61.82</v>
      </c>
      <c r="T38">
        <v>618200</v>
      </c>
      <c r="U38">
        <v>9820</v>
      </c>
      <c r="V38">
        <v>0.2</v>
      </c>
      <c r="W38">
        <v>49.45</v>
      </c>
      <c r="X38">
        <v>494500</v>
      </c>
      <c r="Y38">
        <v>2006</v>
      </c>
      <c r="Z38">
        <v>4</v>
      </c>
      <c r="AA38">
        <v>28</v>
      </c>
      <c r="AB38">
        <v>1500</v>
      </c>
      <c r="AC38" t="s">
        <v>2984</v>
      </c>
      <c r="AE38" t="s">
        <v>192</v>
      </c>
      <c r="AF38" t="s">
        <v>3294</v>
      </c>
      <c r="AG38" t="s">
        <v>1720</v>
      </c>
      <c r="AI38" t="s">
        <v>2963</v>
      </c>
      <c r="AJ38">
        <v>38898</v>
      </c>
      <c r="AK38">
        <v>4</v>
      </c>
      <c r="AL38">
        <v>67641700</v>
      </c>
      <c r="AN38" t="s">
        <v>2972</v>
      </c>
      <c r="AP38" t="s">
        <v>2950</v>
      </c>
      <c r="AQ38" t="s">
        <v>2965</v>
      </c>
      <c r="AW38" t="s">
        <v>2989</v>
      </c>
      <c r="AX38" t="s">
        <v>3024</v>
      </c>
      <c r="AY38" t="s">
        <v>3419</v>
      </c>
      <c r="BG38" s="3576">
        <v>38802</v>
      </c>
      <c r="BI38" t="s">
        <v>3026</v>
      </c>
      <c r="BJ38" s="3576">
        <v>38834</v>
      </c>
      <c r="BK38" t="s">
        <v>1439</v>
      </c>
      <c r="BL38" t="s">
        <v>3027</v>
      </c>
      <c r="BQ38">
        <v>13641</v>
      </c>
      <c r="BR38">
        <v>13729</v>
      </c>
    </row>
    <row r="39" spans="1:70">
      <c r="A39" t="s">
        <v>3420</v>
      </c>
      <c r="B39" t="s">
        <v>3421</v>
      </c>
      <c r="C39" t="s">
        <v>3422</v>
      </c>
      <c r="D39" t="s">
        <v>3423</v>
      </c>
      <c r="E39" t="s">
        <v>2271</v>
      </c>
      <c r="F39" t="s">
        <v>3275</v>
      </c>
      <c r="H39" t="s">
        <v>1439</v>
      </c>
      <c r="I39" t="s">
        <v>3424</v>
      </c>
      <c r="J39" t="s">
        <v>3425</v>
      </c>
      <c r="K39" t="s">
        <v>3278</v>
      </c>
      <c r="L39">
        <v>52.82</v>
      </c>
      <c r="M39">
        <v>10</v>
      </c>
      <c r="N39" t="s">
        <v>3007</v>
      </c>
      <c r="O39">
        <v>38.020000000000003</v>
      </c>
      <c r="P39" t="s">
        <v>1780</v>
      </c>
      <c r="Q39">
        <v>560156</v>
      </c>
      <c r="R39">
        <v>10605</v>
      </c>
      <c r="S39">
        <v>55.46</v>
      </c>
      <c r="T39">
        <v>554600</v>
      </c>
      <c r="U39">
        <v>10500</v>
      </c>
      <c r="V39">
        <v>0.2</v>
      </c>
      <c r="W39">
        <v>44.36</v>
      </c>
      <c r="X39">
        <v>443600</v>
      </c>
      <c r="Y39">
        <v>2006</v>
      </c>
      <c r="Z39">
        <v>5</v>
      </c>
      <c r="AA39">
        <v>10</v>
      </c>
      <c r="AB39">
        <v>1500</v>
      </c>
      <c r="AC39" t="s">
        <v>2984</v>
      </c>
      <c r="AE39" t="s">
        <v>192</v>
      </c>
      <c r="AF39" t="s">
        <v>3386</v>
      </c>
      <c r="AG39" t="s">
        <v>1720</v>
      </c>
      <c r="AI39" t="s">
        <v>2963</v>
      </c>
      <c r="AJ39">
        <v>38898</v>
      </c>
      <c r="AK39">
        <v>5</v>
      </c>
      <c r="AL39">
        <v>67641700</v>
      </c>
      <c r="AN39" t="s">
        <v>2964</v>
      </c>
      <c r="AP39" t="s">
        <v>2950</v>
      </c>
      <c r="AQ39" t="s">
        <v>2965</v>
      </c>
      <c r="AW39" t="s">
        <v>2989</v>
      </c>
      <c r="AX39" t="s">
        <v>3024</v>
      </c>
      <c r="AY39" t="s">
        <v>3426</v>
      </c>
      <c r="BG39" s="3576">
        <v>38822</v>
      </c>
      <c r="BI39" t="s">
        <v>3316</v>
      </c>
      <c r="BJ39" s="3576">
        <v>38846</v>
      </c>
      <c r="BK39" t="s">
        <v>1439</v>
      </c>
      <c r="BL39" t="s">
        <v>3027</v>
      </c>
      <c r="BQ39">
        <v>14587</v>
      </c>
      <c r="BR39">
        <v>14733</v>
      </c>
    </row>
    <row r="40" spans="1:70">
      <c r="A40" t="s">
        <v>3427</v>
      </c>
      <c r="B40" t="s">
        <v>3428</v>
      </c>
      <c r="C40" t="s">
        <v>3429</v>
      </c>
      <c r="D40" t="s">
        <v>3430</v>
      </c>
      <c r="E40" t="s">
        <v>2271</v>
      </c>
      <c r="F40" t="s">
        <v>3275</v>
      </c>
      <c r="H40" t="s">
        <v>1439</v>
      </c>
      <c r="I40" t="s">
        <v>3431</v>
      </c>
      <c r="J40" t="s">
        <v>3432</v>
      </c>
      <c r="K40" t="s">
        <v>3278</v>
      </c>
      <c r="L40">
        <v>52.25</v>
      </c>
      <c r="M40">
        <v>9</v>
      </c>
      <c r="N40" t="s">
        <v>3007</v>
      </c>
      <c r="O40">
        <v>37.61</v>
      </c>
      <c r="P40" t="s">
        <v>1780</v>
      </c>
      <c r="Q40">
        <v>537653</v>
      </c>
      <c r="R40">
        <v>10290</v>
      </c>
      <c r="S40">
        <v>53.34</v>
      </c>
      <c r="T40">
        <v>533400</v>
      </c>
      <c r="U40">
        <v>10210</v>
      </c>
      <c r="V40">
        <v>0.2</v>
      </c>
      <c r="W40">
        <v>42.67</v>
      </c>
      <c r="X40">
        <v>426700</v>
      </c>
      <c r="Y40">
        <v>2006</v>
      </c>
      <c r="Z40">
        <v>5</v>
      </c>
      <c r="AA40">
        <v>12</v>
      </c>
      <c r="AB40">
        <v>1500</v>
      </c>
      <c r="AC40" t="s">
        <v>2984</v>
      </c>
      <c r="AE40" t="s">
        <v>192</v>
      </c>
      <c r="AF40" t="s">
        <v>3386</v>
      </c>
      <c r="AG40" t="s">
        <v>1720</v>
      </c>
      <c r="AI40" t="s">
        <v>2963</v>
      </c>
      <c r="AJ40">
        <v>38898</v>
      </c>
      <c r="AK40" t="s">
        <v>2993</v>
      </c>
      <c r="AL40">
        <v>67641700</v>
      </c>
      <c r="AN40" t="s">
        <v>2964</v>
      </c>
      <c r="AP40" t="s">
        <v>2950</v>
      </c>
      <c r="AQ40" t="s">
        <v>2965</v>
      </c>
      <c r="AW40" t="s">
        <v>2989</v>
      </c>
      <c r="AX40" t="s">
        <v>3024</v>
      </c>
      <c r="AY40" t="s">
        <v>3433</v>
      </c>
      <c r="AZ40" t="s">
        <v>1439</v>
      </c>
      <c r="BA40" t="s">
        <v>1439</v>
      </c>
      <c r="BB40" t="s">
        <v>1439</v>
      </c>
      <c r="BC40" t="s">
        <v>1439</v>
      </c>
      <c r="BD40" t="s">
        <v>1439</v>
      </c>
      <c r="BE40" t="s">
        <v>1439</v>
      </c>
      <c r="BF40" t="s">
        <v>1439</v>
      </c>
      <c r="BG40" s="3576">
        <v>38830</v>
      </c>
      <c r="BI40" t="s">
        <v>3316</v>
      </c>
      <c r="BJ40" s="3576">
        <v>38848</v>
      </c>
      <c r="BK40" t="s">
        <v>1439</v>
      </c>
      <c r="BL40" t="s">
        <v>3027</v>
      </c>
      <c r="BQ40">
        <v>14182</v>
      </c>
      <c r="BR40">
        <v>14295</v>
      </c>
    </row>
    <row r="41" spans="1:70">
      <c r="A41" t="s">
        <v>3434</v>
      </c>
      <c r="B41" t="s">
        <v>3435</v>
      </c>
      <c r="C41" t="s">
        <v>3436</v>
      </c>
      <c r="D41" t="s">
        <v>3437</v>
      </c>
      <c r="E41" t="s">
        <v>2271</v>
      </c>
      <c r="F41" t="s">
        <v>3275</v>
      </c>
      <c r="H41" t="s">
        <v>1439</v>
      </c>
      <c r="I41" t="s">
        <v>3438</v>
      </c>
      <c r="J41" t="s">
        <v>3439</v>
      </c>
      <c r="K41" t="s">
        <v>3278</v>
      </c>
      <c r="L41">
        <v>53.04</v>
      </c>
      <c r="M41">
        <v>11</v>
      </c>
      <c r="N41" t="s">
        <v>3007</v>
      </c>
      <c r="O41">
        <v>38.18</v>
      </c>
      <c r="P41" t="s">
        <v>1780</v>
      </c>
      <c r="Q41">
        <v>568058</v>
      </c>
      <c r="R41">
        <v>10710</v>
      </c>
      <c r="S41">
        <v>56.43</v>
      </c>
      <c r="T41">
        <v>564300</v>
      </c>
      <c r="U41">
        <v>10640</v>
      </c>
      <c r="V41">
        <v>0.2</v>
      </c>
      <c r="W41">
        <v>45.14</v>
      </c>
      <c r="X41">
        <v>451400</v>
      </c>
      <c r="Y41">
        <v>2006</v>
      </c>
      <c r="Z41">
        <v>5</v>
      </c>
      <c r="AA41">
        <v>16</v>
      </c>
      <c r="AB41">
        <v>1500</v>
      </c>
      <c r="AC41" t="s">
        <v>2984</v>
      </c>
      <c r="AE41" t="s">
        <v>192</v>
      </c>
      <c r="AF41" t="s">
        <v>3386</v>
      </c>
      <c r="AG41" t="s">
        <v>1720</v>
      </c>
      <c r="AI41" t="s">
        <v>2963</v>
      </c>
      <c r="AJ41">
        <v>38898</v>
      </c>
      <c r="AK41">
        <v>5</v>
      </c>
      <c r="AL41">
        <v>67641700</v>
      </c>
      <c r="AN41" t="s">
        <v>2964</v>
      </c>
      <c r="AP41" t="s">
        <v>2950</v>
      </c>
      <c r="AQ41" t="s">
        <v>2965</v>
      </c>
      <c r="AW41" t="s">
        <v>2989</v>
      </c>
      <c r="AX41" t="s">
        <v>3024</v>
      </c>
      <c r="AY41" t="s">
        <v>3440</v>
      </c>
      <c r="BG41" s="3576">
        <v>38829</v>
      </c>
      <c r="BI41" t="s">
        <v>3026</v>
      </c>
      <c r="BJ41" s="3576">
        <v>38852</v>
      </c>
      <c r="BK41" t="s">
        <v>1439</v>
      </c>
      <c r="BL41" t="s">
        <v>3027</v>
      </c>
      <c r="BQ41">
        <v>14780</v>
      </c>
      <c r="BR41">
        <v>14878</v>
      </c>
    </row>
    <row r="42" spans="1:70">
      <c r="A42" t="s">
        <v>3441</v>
      </c>
      <c r="B42" t="s">
        <v>3442</v>
      </c>
      <c r="C42" t="s">
        <v>3443</v>
      </c>
      <c r="D42">
        <v>13910160218</v>
      </c>
      <c r="E42" t="s">
        <v>2271</v>
      </c>
      <c r="F42" t="s">
        <v>3444</v>
      </c>
      <c r="H42" t="s">
        <v>3445</v>
      </c>
      <c r="I42" t="s">
        <v>3424</v>
      </c>
      <c r="J42" t="s">
        <v>3446</v>
      </c>
      <c r="K42" t="s">
        <v>3278</v>
      </c>
      <c r="L42">
        <v>40.99</v>
      </c>
      <c r="M42">
        <v>10</v>
      </c>
      <c r="N42" t="s">
        <v>3007</v>
      </c>
      <c r="O42">
        <v>29.51</v>
      </c>
      <c r="P42" t="s">
        <v>1780</v>
      </c>
      <c r="Q42">
        <v>434699</v>
      </c>
      <c r="R42">
        <v>10605</v>
      </c>
      <c r="S42">
        <v>43.16</v>
      </c>
      <c r="T42">
        <v>431599.99999999994</v>
      </c>
      <c r="U42">
        <v>10530</v>
      </c>
      <c r="V42">
        <v>0.2</v>
      </c>
      <c r="W42">
        <v>34.520000000000003</v>
      </c>
      <c r="X42">
        <v>345200.00000000006</v>
      </c>
      <c r="Y42">
        <v>2006</v>
      </c>
      <c r="Z42">
        <v>5</v>
      </c>
      <c r="AA42">
        <v>23</v>
      </c>
      <c r="AB42">
        <v>1290</v>
      </c>
      <c r="AC42" t="s">
        <v>2984</v>
      </c>
      <c r="AE42" t="s">
        <v>192</v>
      </c>
      <c r="AF42" t="s">
        <v>3386</v>
      </c>
      <c r="AG42" t="s">
        <v>1720</v>
      </c>
      <c r="AI42" t="s">
        <v>2963</v>
      </c>
      <c r="AJ42">
        <v>38898</v>
      </c>
      <c r="AK42">
        <v>5</v>
      </c>
      <c r="AL42">
        <v>67641700</v>
      </c>
      <c r="AN42" t="s">
        <v>2949</v>
      </c>
      <c r="AP42" t="s">
        <v>2950</v>
      </c>
      <c r="AQ42" t="s">
        <v>2965</v>
      </c>
      <c r="AW42" t="s">
        <v>2989</v>
      </c>
      <c r="AX42" t="s">
        <v>3024</v>
      </c>
      <c r="AY42" t="s">
        <v>3447</v>
      </c>
      <c r="BG42" s="3576">
        <v>38787</v>
      </c>
      <c r="BI42" t="s">
        <v>3241</v>
      </c>
      <c r="BJ42" s="3576">
        <v>38859</v>
      </c>
      <c r="BL42" t="s">
        <v>3027</v>
      </c>
      <c r="BQ42">
        <v>14626</v>
      </c>
      <c r="BR42">
        <v>14731</v>
      </c>
    </row>
    <row r="43" spans="1:70">
      <c r="A43" t="s">
        <v>3448</v>
      </c>
      <c r="B43" t="s">
        <v>3449</v>
      </c>
      <c r="C43" t="s">
        <v>3450</v>
      </c>
      <c r="D43" t="s">
        <v>3451</v>
      </c>
      <c r="E43" t="s">
        <v>2271</v>
      </c>
      <c r="F43" t="s">
        <v>3275</v>
      </c>
      <c r="H43" t="s">
        <v>1439</v>
      </c>
      <c r="I43" t="s">
        <v>3019</v>
      </c>
      <c r="J43" t="s">
        <v>3452</v>
      </c>
      <c r="K43" t="s">
        <v>3278</v>
      </c>
      <c r="L43">
        <v>53.15</v>
      </c>
      <c r="M43">
        <v>4</v>
      </c>
      <c r="N43" t="s">
        <v>3007</v>
      </c>
      <c r="O43">
        <v>38.26</v>
      </c>
      <c r="P43" t="s">
        <v>1780</v>
      </c>
      <c r="Q43">
        <v>552175</v>
      </c>
      <c r="R43">
        <v>10389</v>
      </c>
      <c r="S43">
        <v>54.74</v>
      </c>
      <c r="T43">
        <v>547400</v>
      </c>
      <c r="U43">
        <v>10300</v>
      </c>
      <c r="V43">
        <v>0.2</v>
      </c>
      <c r="W43">
        <v>43.79</v>
      </c>
      <c r="X43">
        <v>437900</v>
      </c>
      <c r="Y43">
        <v>2006</v>
      </c>
      <c r="Z43">
        <v>5</v>
      </c>
      <c r="AA43">
        <v>30</v>
      </c>
      <c r="AB43">
        <v>1500</v>
      </c>
      <c r="AC43" t="s">
        <v>2984</v>
      </c>
      <c r="AE43" t="s">
        <v>192</v>
      </c>
      <c r="AF43" t="s">
        <v>3386</v>
      </c>
      <c r="AG43" t="s">
        <v>1720</v>
      </c>
      <c r="AI43" t="s">
        <v>2963</v>
      </c>
      <c r="AJ43">
        <v>38898</v>
      </c>
      <c r="AK43">
        <v>5</v>
      </c>
      <c r="AL43">
        <v>67641700</v>
      </c>
      <c r="AN43" t="s">
        <v>2993</v>
      </c>
      <c r="AP43" t="s">
        <v>2950</v>
      </c>
      <c r="AQ43" t="s">
        <v>2965</v>
      </c>
      <c r="AW43" t="s">
        <v>2989</v>
      </c>
      <c r="AX43" t="s">
        <v>3024</v>
      </c>
      <c r="AY43" t="s">
        <v>3453</v>
      </c>
      <c r="BG43" s="3576">
        <v>38828</v>
      </c>
      <c r="BI43" t="s">
        <v>3316</v>
      </c>
      <c r="BJ43" s="3576">
        <v>38866</v>
      </c>
      <c r="BK43" t="s">
        <v>1439</v>
      </c>
      <c r="BL43" t="s">
        <v>3027</v>
      </c>
      <c r="BQ43">
        <v>14307</v>
      </c>
      <c r="BR43">
        <v>14432</v>
      </c>
    </row>
    <row r="44" spans="1:70">
      <c r="A44" t="s">
        <v>3454</v>
      </c>
      <c r="B44" t="s">
        <v>3455</v>
      </c>
      <c r="C44" t="s">
        <v>3456</v>
      </c>
      <c r="D44" t="s">
        <v>3457</v>
      </c>
      <c r="E44" t="s">
        <v>2271</v>
      </c>
      <c r="F44" t="s">
        <v>3458</v>
      </c>
      <c r="H44" t="s">
        <v>1439</v>
      </c>
      <c r="J44" t="s">
        <v>3459</v>
      </c>
      <c r="K44" t="s">
        <v>3278</v>
      </c>
      <c r="L44">
        <v>52.82</v>
      </c>
      <c r="M44">
        <v>7</v>
      </c>
      <c r="N44" t="s">
        <v>2945</v>
      </c>
      <c r="O44">
        <v>38.020000000000003</v>
      </c>
      <c r="P44" t="s">
        <v>1780</v>
      </c>
      <c r="Q44">
        <v>549064</v>
      </c>
      <c r="R44">
        <v>10395</v>
      </c>
      <c r="S44">
        <v>54.51</v>
      </c>
      <c r="T44">
        <v>545100</v>
      </c>
      <c r="U44">
        <v>10320</v>
      </c>
      <c r="V44">
        <v>0.2</v>
      </c>
      <c r="W44">
        <v>43.6</v>
      </c>
      <c r="X44">
        <v>436000</v>
      </c>
      <c r="Y44">
        <v>2006</v>
      </c>
      <c r="Z44">
        <v>6</v>
      </c>
      <c r="AA44">
        <v>2</v>
      </c>
      <c r="AB44">
        <v>1500</v>
      </c>
      <c r="AC44" t="s">
        <v>2984</v>
      </c>
      <c r="AE44" t="s">
        <v>3031</v>
      </c>
      <c r="AF44" t="s">
        <v>1643</v>
      </c>
      <c r="AG44" t="s">
        <v>1720</v>
      </c>
      <c r="AI44" t="s">
        <v>2963</v>
      </c>
      <c r="AJ44">
        <v>38898</v>
      </c>
      <c r="AK44" t="s">
        <v>2992</v>
      </c>
      <c r="AL44">
        <v>67641700</v>
      </c>
      <c r="AN44" t="s">
        <v>2948</v>
      </c>
      <c r="AP44" t="s">
        <v>2950</v>
      </c>
      <c r="AQ44" t="s">
        <v>2965</v>
      </c>
      <c r="AW44" t="s">
        <v>2989</v>
      </c>
      <c r="AX44" t="s">
        <v>3024</v>
      </c>
      <c r="AY44" t="s">
        <v>3460</v>
      </c>
      <c r="AZ44" t="s">
        <v>3278</v>
      </c>
      <c r="BA44" t="s">
        <v>3301</v>
      </c>
      <c r="BB44" t="s">
        <v>3302</v>
      </c>
      <c r="BC44" t="s">
        <v>3303</v>
      </c>
      <c r="BD44">
        <v>100810</v>
      </c>
      <c r="BE44">
        <v>82058181</v>
      </c>
      <c r="BF44">
        <v>2.7</v>
      </c>
      <c r="BG44" s="3576">
        <v>38822</v>
      </c>
      <c r="BI44" t="s">
        <v>3031</v>
      </c>
      <c r="BJ44" s="3576">
        <v>38869</v>
      </c>
      <c r="BK44" t="s">
        <v>1439</v>
      </c>
      <c r="BL44" t="s">
        <v>3027</v>
      </c>
      <c r="BQ44">
        <v>14337</v>
      </c>
      <c r="BR44">
        <v>14441</v>
      </c>
    </row>
    <row r="45" spans="1:70">
      <c r="A45" t="s">
        <v>3461</v>
      </c>
      <c r="B45" t="s">
        <v>3462</v>
      </c>
      <c r="C45" t="s">
        <v>3463</v>
      </c>
      <c r="D45" t="s">
        <v>3464</v>
      </c>
      <c r="E45" t="s">
        <v>2271</v>
      </c>
      <c r="F45" t="s">
        <v>3444</v>
      </c>
      <c r="H45" t="s">
        <v>3445</v>
      </c>
      <c r="I45" t="s">
        <v>3465</v>
      </c>
      <c r="J45" t="s">
        <v>3466</v>
      </c>
      <c r="K45" t="s">
        <v>3278</v>
      </c>
      <c r="L45" t="s">
        <v>3467</v>
      </c>
      <c r="M45" t="s">
        <v>3468</v>
      </c>
      <c r="N45" t="s">
        <v>3007</v>
      </c>
      <c r="O45" t="s">
        <v>3469</v>
      </c>
      <c r="P45" t="s">
        <v>1780</v>
      </c>
      <c r="Q45" t="s">
        <v>3470</v>
      </c>
      <c r="R45">
        <v>11145</v>
      </c>
      <c r="S45">
        <v>47.11</v>
      </c>
      <c r="T45">
        <v>471100</v>
      </c>
      <c r="U45" t="s">
        <v>3471</v>
      </c>
      <c r="V45">
        <v>0.2</v>
      </c>
      <c r="W45">
        <v>37.68</v>
      </c>
      <c r="X45">
        <v>376800</v>
      </c>
      <c r="Y45">
        <v>2006</v>
      </c>
      <c r="Z45" t="s">
        <v>1233</v>
      </c>
      <c r="AA45" t="s">
        <v>3472</v>
      </c>
      <c r="AB45">
        <v>1410</v>
      </c>
      <c r="AC45" t="s">
        <v>2984</v>
      </c>
      <c r="AE45" t="s">
        <v>192</v>
      </c>
      <c r="AF45" t="s">
        <v>3386</v>
      </c>
      <c r="AG45" t="s">
        <v>1720</v>
      </c>
      <c r="AI45" t="s">
        <v>2963</v>
      </c>
      <c r="AJ45">
        <v>38898</v>
      </c>
      <c r="AK45" t="s">
        <v>2992</v>
      </c>
      <c r="AL45">
        <v>67641700</v>
      </c>
      <c r="AN45" t="s">
        <v>2964</v>
      </c>
      <c r="AP45" t="s">
        <v>2950</v>
      </c>
      <c r="AQ45" t="s">
        <v>2965</v>
      </c>
      <c r="AW45" t="s">
        <v>2989</v>
      </c>
      <c r="AX45" t="s">
        <v>3024</v>
      </c>
      <c r="AY45" t="s">
        <v>3473</v>
      </c>
      <c r="AZ45" t="s">
        <v>3278</v>
      </c>
      <c r="BG45" s="3576">
        <v>38844</v>
      </c>
      <c r="BI45" t="s">
        <v>3241</v>
      </c>
      <c r="BJ45" s="3576">
        <v>38876</v>
      </c>
      <c r="BL45" t="s">
        <v>3027</v>
      </c>
      <c r="BQ45">
        <v>15362</v>
      </c>
      <c r="BR45">
        <v>15480</v>
      </c>
    </row>
    <row r="46" spans="1:70">
      <c r="A46" t="s">
        <v>3474</v>
      </c>
      <c r="B46" t="s">
        <v>3475</v>
      </c>
      <c r="C46" t="s">
        <v>3476</v>
      </c>
      <c r="D46" t="s">
        <v>3477</v>
      </c>
      <c r="E46" t="s">
        <v>2271</v>
      </c>
      <c r="F46" t="s">
        <v>3444</v>
      </c>
      <c r="H46" t="s">
        <v>3445</v>
      </c>
      <c r="I46" t="s">
        <v>3478</v>
      </c>
      <c r="J46" t="s">
        <v>3479</v>
      </c>
      <c r="K46" t="s">
        <v>3278</v>
      </c>
      <c r="L46" t="s">
        <v>3480</v>
      </c>
      <c r="M46" t="s">
        <v>3210</v>
      </c>
      <c r="N46" t="s">
        <v>3007</v>
      </c>
      <c r="O46" t="s">
        <v>3481</v>
      </c>
      <c r="P46" t="s">
        <v>1780</v>
      </c>
      <c r="Q46" t="s">
        <v>3482</v>
      </c>
      <c r="R46">
        <v>10395</v>
      </c>
      <c r="S46">
        <v>42.5</v>
      </c>
      <c r="T46">
        <v>425000</v>
      </c>
      <c r="U46" t="s">
        <v>3483</v>
      </c>
      <c r="V46">
        <v>0.2</v>
      </c>
      <c r="W46">
        <v>34</v>
      </c>
      <c r="X46">
        <v>340000</v>
      </c>
      <c r="Y46">
        <v>2006</v>
      </c>
      <c r="Z46" t="s">
        <v>1233</v>
      </c>
      <c r="AA46" t="s">
        <v>3484</v>
      </c>
      <c r="AB46">
        <v>1275</v>
      </c>
      <c r="AC46" t="s">
        <v>2984</v>
      </c>
      <c r="AE46" t="s">
        <v>192</v>
      </c>
      <c r="AF46" t="s">
        <v>3386</v>
      </c>
      <c r="AG46" t="s">
        <v>1720</v>
      </c>
      <c r="AI46" t="s">
        <v>2963</v>
      </c>
      <c r="AJ46">
        <v>38898</v>
      </c>
      <c r="AK46" t="s">
        <v>2992</v>
      </c>
      <c r="AL46">
        <v>67641700</v>
      </c>
      <c r="AN46" t="s">
        <v>2949</v>
      </c>
      <c r="AP46" t="s">
        <v>2950</v>
      </c>
      <c r="AQ46" t="s">
        <v>2965</v>
      </c>
      <c r="AW46" t="s">
        <v>2989</v>
      </c>
      <c r="AX46" t="s">
        <v>3024</v>
      </c>
      <c r="AY46" t="s">
        <v>3485</v>
      </c>
      <c r="AZ46" t="s">
        <v>3278</v>
      </c>
      <c r="BG46" s="3576">
        <v>38852</v>
      </c>
      <c r="BI46" t="s">
        <v>3026</v>
      </c>
      <c r="BJ46" s="3576">
        <v>38881</v>
      </c>
      <c r="BL46" t="s">
        <v>3027</v>
      </c>
      <c r="BQ46">
        <v>14402</v>
      </c>
      <c r="BR46">
        <v>14439</v>
      </c>
    </row>
    <row r="47" spans="1:70">
      <c r="A47" t="s">
        <v>3486</v>
      </c>
      <c r="B47" t="s">
        <v>3487</v>
      </c>
      <c r="C47" t="s">
        <v>3488</v>
      </c>
      <c r="D47" t="s">
        <v>3489</v>
      </c>
      <c r="E47" t="s">
        <v>2271</v>
      </c>
      <c r="F47" t="s">
        <v>3444</v>
      </c>
      <c r="H47" t="s">
        <v>3445</v>
      </c>
      <c r="I47" t="s">
        <v>3411</v>
      </c>
      <c r="J47" t="s">
        <v>3490</v>
      </c>
      <c r="K47" t="s">
        <v>3278</v>
      </c>
      <c r="L47" t="s">
        <v>3491</v>
      </c>
      <c r="M47" t="s">
        <v>1177</v>
      </c>
      <c r="N47" t="s">
        <v>3007</v>
      </c>
      <c r="O47" t="s">
        <v>3492</v>
      </c>
      <c r="P47" t="s">
        <v>1780</v>
      </c>
      <c r="Q47" t="s">
        <v>3493</v>
      </c>
      <c r="R47">
        <v>9981</v>
      </c>
      <c r="S47">
        <v>51.72</v>
      </c>
      <c r="T47">
        <v>517200</v>
      </c>
      <c r="U47" t="s">
        <v>3494</v>
      </c>
      <c r="V47">
        <v>0.2</v>
      </c>
      <c r="W47">
        <v>41.37</v>
      </c>
      <c r="X47">
        <v>413700</v>
      </c>
      <c r="Y47">
        <v>2006</v>
      </c>
      <c r="Z47" t="s">
        <v>1233</v>
      </c>
      <c r="AA47" t="s">
        <v>3484</v>
      </c>
      <c r="AB47">
        <v>1500</v>
      </c>
      <c r="AC47" t="s">
        <v>2984</v>
      </c>
      <c r="AE47" t="s">
        <v>192</v>
      </c>
      <c r="AF47" t="s">
        <v>3386</v>
      </c>
      <c r="AG47" t="s">
        <v>1720</v>
      </c>
      <c r="AI47" t="s">
        <v>2963</v>
      </c>
      <c r="AJ47">
        <v>38898</v>
      </c>
      <c r="AK47" t="s">
        <v>2992</v>
      </c>
      <c r="AL47">
        <v>67641700</v>
      </c>
      <c r="AN47" t="s">
        <v>2949</v>
      </c>
      <c r="AP47" t="s">
        <v>2950</v>
      </c>
      <c r="AQ47" t="s">
        <v>2965</v>
      </c>
      <c r="AW47" t="s">
        <v>2989</v>
      </c>
      <c r="AX47" t="s">
        <v>3024</v>
      </c>
      <c r="AY47" t="s">
        <v>3495</v>
      </c>
      <c r="AZ47" t="s">
        <v>3278</v>
      </c>
      <c r="BG47" s="3576">
        <v>38819</v>
      </c>
      <c r="BI47" t="s">
        <v>3026</v>
      </c>
      <c r="BJ47" s="3576">
        <v>38881</v>
      </c>
      <c r="BL47" t="s">
        <v>3027</v>
      </c>
      <c r="BQ47">
        <v>13752</v>
      </c>
      <c r="BR47">
        <v>13866</v>
      </c>
    </row>
    <row r="48" spans="1:70">
      <c r="A48" t="s">
        <v>3496</v>
      </c>
      <c r="B48" t="s">
        <v>3497</v>
      </c>
      <c r="C48" t="s">
        <v>3498</v>
      </c>
      <c r="D48" t="s">
        <v>3499</v>
      </c>
      <c r="E48" t="s">
        <v>2271</v>
      </c>
      <c r="F48" t="s">
        <v>3444</v>
      </c>
      <c r="H48" t="s">
        <v>3445</v>
      </c>
      <c r="I48" t="s">
        <v>3411</v>
      </c>
      <c r="J48" t="s">
        <v>3500</v>
      </c>
      <c r="K48" t="s">
        <v>3278</v>
      </c>
      <c r="L48" t="s">
        <v>3501</v>
      </c>
      <c r="M48" t="s">
        <v>1177</v>
      </c>
      <c r="N48" t="s">
        <v>3007</v>
      </c>
      <c r="O48" t="s">
        <v>3502</v>
      </c>
      <c r="P48" t="s">
        <v>1780</v>
      </c>
      <c r="Q48" t="s">
        <v>3503</v>
      </c>
      <c r="R48">
        <v>10369</v>
      </c>
      <c r="S48">
        <v>54.23</v>
      </c>
      <c r="T48">
        <v>542300</v>
      </c>
      <c r="U48" t="s">
        <v>3504</v>
      </c>
      <c r="V48">
        <v>0.2</v>
      </c>
      <c r="W48">
        <v>43.38</v>
      </c>
      <c r="X48">
        <v>433800</v>
      </c>
      <c r="Y48">
        <v>2006</v>
      </c>
      <c r="Z48" t="s">
        <v>1233</v>
      </c>
      <c r="AA48" t="s">
        <v>3505</v>
      </c>
      <c r="AB48">
        <v>1500</v>
      </c>
      <c r="AC48" t="s">
        <v>2984</v>
      </c>
      <c r="AE48" t="s">
        <v>192</v>
      </c>
      <c r="AF48" t="s">
        <v>3386</v>
      </c>
      <c r="AG48" t="s">
        <v>1720</v>
      </c>
      <c r="AI48" t="s">
        <v>2963</v>
      </c>
      <c r="AJ48">
        <v>38898</v>
      </c>
      <c r="AK48" t="s">
        <v>2992</v>
      </c>
      <c r="AL48">
        <v>67641700</v>
      </c>
      <c r="AN48" t="s">
        <v>2972</v>
      </c>
      <c r="AP48" t="s">
        <v>2950</v>
      </c>
      <c r="AQ48" t="s">
        <v>2965</v>
      </c>
      <c r="AW48" t="s">
        <v>2989</v>
      </c>
      <c r="AX48" t="s">
        <v>3024</v>
      </c>
      <c r="AY48" t="s">
        <v>3506</v>
      </c>
      <c r="BG48" s="3576">
        <v>38871</v>
      </c>
      <c r="BI48" t="s">
        <v>3316</v>
      </c>
      <c r="BJ48" s="3576">
        <v>38887</v>
      </c>
      <c r="BL48" t="s">
        <v>3027</v>
      </c>
      <c r="BQ48">
        <v>14279</v>
      </c>
      <c r="BR48">
        <v>14405</v>
      </c>
    </row>
    <row r="49" spans="1:70">
      <c r="A49" t="s">
        <v>3507</v>
      </c>
      <c r="B49" t="s">
        <v>3508</v>
      </c>
      <c r="C49" t="s">
        <v>3509</v>
      </c>
      <c r="D49" t="s">
        <v>3510</v>
      </c>
      <c r="E49" t="s">
        <v>2271</v>
      </c>
      <c r="F49" t="s">
        <v>3444</v>
      </c>
      <c r="H49" t="s">
        <v>3445</v>
      </c>
      <c r="I49" t="s">
        <v>3276</v>
      </c>
      <c r="J49" t="s">
        <v>3511</v>
      </c>
      <c r="K49" t="s">
        <v>3278</v>
      </c>
      <c r="L49" t="s">
        <v>3512</v>
      </c>
      <c r="M49" t="s">
        <v>3513</v>
      </c>
      <c r="N49" t="s">
        <v>3007</v>
      </c>
      <c r="O49" t="s">
        <v>3514</v>
      </c>
      <c r="P49" t="s">
        <v>1780</v>
      </c>
      <c r="Q49" t="s">
        <v>3515</v>
      </c>
      <c r="R49">
        <v>10187</v>
      </c>
      <c r="S49">
        <v>53.11</v>
      </c>
      <c r="T49">
        <v>531100</v>
      </c>
      <c r="U49" t="s">
        <v>3516</v>
      </c>
      <c r="V49">
        <v>0.2</v>
      </c>
      <c r="W49">
        <v>42.48</v>
      </c>
      <c r="X49">
        <v>424800</v>
      </c>
      <c r="Y49">
        <v>2006</v>
      </c>
      <c r="Z49" t="s">
        <v>1233</v>
      </c>
      <c r="AA49" t="s">
        <v>3517</v>
      </c>
      <c r="AB49">
        <v>1500</v>
      </c>
      <c r="AC49" t="s">
        <v>2984</v>
      </c>
      <c r="AE49" t="s">
        <v>192</v>
      </c>
      <c r="AF49" t="s">
        <v>3386</v>
      </c>
      <c r="AG49" t="s">
        <v>1720</v>
      </c>
      <c r="AI49" t="s">
        <v>2963</v>
      </c>
      <c r="AJ49">
        <v>38898</v>
      </c>
      <c r="AK49" t="s">
        <v>2992</v>
      </c>
      <c r="AL49">
        <v>67641700</v>
      </c>
      <c r="AN49" t="s">
        <v>2972</v>
      </c>
      <c r="AP49" t="s">
        <v>2950</v>
      </c>
      <c r="AQ49" t="s">
        <v>2965</v>
      </c>
      <c r="AW49" t="s">
        <v>2989</v>
      </c>
      <c r="AX49" t="s">
        <v>3024</v>
      </c>
      <c r="AY49" t="s">
        <v>3518</v>
      </c>
      <c r="AZ49" t="s">
        <v>3278</v>
      </c>
      <c r="BG49" s="3576">
        <v>38859</v>
      </c>
      <c r="BI49" t="s">
        <v>3026</v>
      </c>
      <c r="BJ49" s="3576">
        <v>38888</v>
      </c>
      <c r="BL49" t="s">
        <v>3027</v>
      </c>
      <c r="BQ49">
        <v>14028</v>
      </c>
      <c r="BR49">
        <v>14151</v>
      </c>
    </row>
    <row r="50" spans="1:70">
      <c r="A50" t="s">
        <v>3519</v>
      </c>
      <c r="B50" t="s">
        <v>3520</v>
      </c>
      <c r="C50" t="s">
        <v>3521</v>
      </c>
      <c r="D50" t="s">
        <v>3522</v>
      </c>
      <c r="E50" t="s">
        <v>2271</v>
      </c>
      <c r="F50" t="s">
        <v>3444</v>
      </c>
      <c r="H50" t="s">
        <v>3445</v>
      </c>
      <c r="I50" t="s">
        <v>3404</v>
      </c>
      <c r="J50" t="s">
        <v>3523</v>
      </c>
      <c r="K50" t="s">
        <v>3278</v>
      </c>
      <c r="L50" t="s">
        <v>3524</v>
      </c>
      <c r="M50" t="s">
        <v>1221</v>
      </c>
      <c r="N50" t="s">
        <v>3007</v>
      </c>
      <c r="O50" t="s">
        <v>3525</v>
      </c>
      <c r="P50" t="s">
        <v>1780</v>
      </c>
      <c r="Q50" t="s">
        <v>3526</v>
      </c>
      <c r="R50">
        <v>8600</v>
      </c>
      <c r="S50">
        <v>59</v>
      </c>
      <c r="T50">
        <v>590000</v>
      </c>
      <c r="U50" t="s">
        <v>3527</v>
      </c>
      <c r="V50">
        <v>0.2</v>
      </c>
      <c r="W50">
        <v>47.2</v>
      </c>
      <c r="X50">
        <v>472000</v>
      </c>
      <c r="Y50">
        <v>2006</v>
      </c>
      <c r="Z50" t="s">
        <v>1233</v>
      </c>
      <c r="AA50" t="s">
        <v>3528</v>
      </c>
      <c r="AB50">
        <v>1500</v>
      </c>
      <c r="AC50" t="s">
        <v>2984</v>
      </c>
      <c r="AE50" t="s">
        <v>192</v>
      </c>
      <c r="AF50" t="s">
        <v>3386</v>
      </c>
      <c r="AG50" t="s">
        <v>1720</v>
      </c>
      <c r="AI50" t="s">
        <v>2963</v>
      </c>
      <c r="AJ50">
        <v>38898</v>
      </c>
      <c r="AK50" t="s">
        <v>2992</v>
      </c>
      <c r="AL50">
        <v>67641700</v>
      </c>
      <c r="AN50" t="s">
        <v>2972</v>
      </c>
      <c r="AP50" t="s">
        <v>2950</v>
      </c>
      <c r="AQ50" t="s">
        <v>2965</v>
      </c>
      <c r="AW50" t="s">
        <v>2989</v>
      </c>
      <c r="AX50" t="s">
        <v>3024</v>
      </c>
      <c r="AY50" t="s">
        <v>3529</v>
      </c>
      <c r="AZ50" t="s">
        <v>3278</v>
      </c>
      <c r="BG50" s="3576">
        <v>38872</v>
      </c>
      <c r="BI50" t="s">
        <v>3026</v>
      </c>
      <c r="BJ50" s="3576">
        <v>38890</v>
      </c>
      <c r="BL50" t="s">
        <v>3027</v>
      </c>
      <c r="BQ50">
        <v>11718</v>
      </c>
      <c r="BR50">
        <v>11948</v>
      </c>
    </row>
    <row r="51" spans="1:70">
      <c r="A51" t="s">
        <v>3530</v>
      </c>
      <c r="B51" t="s">
        <v>3531</v>
      </c>
      <c r="C51" t="s">
        <v>3532</v>
      </c>
      <c r="D51" t="s">
        <v>3533</v>
      </c>
      <c r="E51" t="s">
        <v>2271</v>
      </c>
      <c r="F51" t="s">
        <v>3444</v>
      </c>
      <c r="H51" t="s">
        <v>3445</v>
      </c>
      <c r="I51" t="s">
        <v>3465</v>
      </c>
      <c r="J51" t="s">
        <v>3534</v>
      </c>
      <c r="K51" t="s">
        <v>3278</v>
      </c>
      <c r="L51" t="s">
        <v>3535</v>
      </c>
      <c r="M51" t="s">
        <v>3468</v>
      </c>
      <c r="N51" t="s">
        <v>3007</v>
      </c>
      <c r="O51" t="s">
        <v>3536</v>
      </c>
      <c r="P51" t="s">
        <v>1780</v>
      </c>
      <c r="Q51" t="s">
        <v>3537</v>
      </c>
      <c r="R51">
        <v>11411</v>
      </c>
      <c r="S51">
        <v>50.79</v>
      </c>
      <c r="T51">
        <v>507900</v>
      </c>
      <c r="U51" t="s">
        <v>3538</v>
      </c>
      <c r="V51">
        <v>0.2</v>
      </c>
      <c r="W51">
        <v>40.630000000000003</v>
      </c>
      <c r="X51">
        <v>406300</v>
      </c>
      <c r="Y51">
        <v>2006</v>
      </c>
      <c r="Z51" t="s">
        <v>3513</v>
      </c>
      <c r="AA51" t="s">
        <v>3539</v>
      </c>
      <c r="AB51">
        <v>1500</v>
      </c>
      <c r="AC51" t="s">
        <v>2984</v>
      </c>
      <c r="AD51" t="s">
        <v>3540</v>
      </c>
      <c r="AE51" t="s">
        <v>192</v>
      </c>
      <c r="AF51" t="s">
        <v>3386</v>
      </c>
      <c r="AG51" t="s">
        <v>1720</v>
      </c>
      <c r="AI51" t="s">
        <v>2963</v>
      </c>
      <c r="AJ51">
        <v>38990</v>
      </c>
      <c r="AK51" t="s">
        <v>3033</v>
      </c>
      <c r="AN51" t="s">
        <v>2964</v>
      </c>
      <c r="AP51" t="s">
        <v>3026</v>
      </c>
      <c r="AQ51" t="s">
        <v>2965</v>
      </c>
      <c r="AW51" t="s">
        <v>2989</v>
      </c>
      <c r="AX51" t="s">
        <v>3024</v>
      </c>
      <c r="AY51" t="s">
        <v>3541</v>
      </c>
      <c r="BG51" s="3576">
        <v>38892</v>
      </c>
      <c r="BI51" t="s">
        <v>3026</v>
      </c>
      <c r="BJ51" s="3576">
        <v>38908</v>
      </c>
      <c r="BL51" t="s">
        <v>3027</v>
      </c>
      <c r="BQ51">
        <v>15729</v>
      </c>
      <c r="BR51">
        <v>15850</v>
      </c>
    </row>
    <row r="52" spans="1:70">
      <c r="A52" t="s">
        <v>3542</v>
      </c>
      <c r="B52" t="s">
        <v>3543</v>
      </c>
      <c r="C52" t="s">
        <v>3544</v>
      </c>
      <c r="D52" t="s">
        <v>3545</v>
      </c>
      <c r="E52" t="s">
        <v>2271</v>
      </c>
      <c r="F52" t="s">
        <v>3444</v>
      </c>
      <c r="H52" t="s">
        <v>3445</v>
      </c>
      <c r="I52" t="s">
        <v>3546</v>
      </c>
      <c r="J52" t="s">
        <v>3547</v>
      </c>
      <c r="K52" t="s">
        <v>3278</v>
      </c>
      <c r="L52" t="s">
        <v>3491</v>
      </c>
      <c r="M52" t="s">
        <v>3548</v>
      </c>
      <c r="N52" t="s">
        <v>3007</v>
      </c>
      <c r="O52" t="s">
        <v>3492</v>
      </c>
      <c r="P52" t="s">
        <v>1780</v>
      </c>
      <c r="Q52" t="s">
        <v>3549</v>
      </c>
      <c r="R52">
        <v>10995</v>
      </c>
      <c r="S52">
        <v>56.95</v>
      </c>
      <c r="T52">
        <v>569500</v>
      </c>
      <c r="U52" t="s">
        <v>3550</v>
      </c>
      <c r="V52">
        <v>0.2</v>
      </c>
      <c r="W52">
        <v>45.56</v>
      </c>
      <c r="X52">
        <v>455600</v>
      </c>
      <c r="Y52">
        <v>2006</v>
      </c>
      <c r="Z52" t="s">
        <v>3210</v>
      </c>
      <c r="AA52" t="s">
        <v>3484</v>
      </c>
      <c r="AB52">
        <v>1500</v>
      </c>
      <c r="AC52" t="s">
        <v>2984</v>
      </c>
      <c r="AD52" t="s">
        <v>3551</v>
      </c>
      <c r="AE52" t="s">
        <v>192</v>
      </c>
      <c r="AF52" t="s">
        <v>3386</v>
      </c>
      <c r="AG52" t="s">
        <v>1720</v>
      </c>
      <c r="AI52" t="s">
        <v>2963</v>
      </c>
      <c r="AJ52">
        <v>38990</v>
      </c>
      <c r="AK52" t="s">
        <v>3552</v>
      </c>
      <c r="AN52" t="s">
        <v>2949</v>
      </c>
      <c r="AP52" t="s">
        <v>3026</v>
      </c>
      <c r="AQ52" t="s">
        <v>2965</v>
      </c>
      <c r="AW52" t="s">
        <v>2989</v>
      </c>
      <c r="AX52" t="s">
        <v>3024</v>
      </c>
      <c r="AY52" t="s">
        <v>3553</v>
      </c>
      <c r="BG52" s="3576">
        <v>38874</v>
      </c>
      <c r="BI52" t="s">
        <v>3026</v>
      </c>
      <c r="BJ52" s="3576">
        <v>38908</v>
      </c>
      <c r="BL52" t="s">
        <v>3027</v>
      </c>
      <c r="BQ52">
        <v>15142</v>
      </c>
      <c r="BR52">
        <v>15274</v>
      </c>
    </row>
    <row r="53" spans="1:70">
      <c r="A53" t="s">
        <v>3554</v>
      </c>
      <c r="B53" t="s">
        <v>3555</v>
      </c>
      <c r="C53" t="s">
        <v>3556</v>
      </c>
      <c r="D53" t="s">
        <v>3557</v>
      </c>
      <c r="E53" t="s">
        <v>2271</v>
      </c>
      <c r="F53" t="s">
        <v>3444</v>
      </c>
      <c r="H53" t="s">
        <v>3445</v>
      </c>
      <c r="I53" t="s">
        <v>3558</v>
      </c>
      <c r="J53" t="s">
        <v>3559</v>
      </c>
      <c r="K53" t="s">
        <v>3278</v>
      </c>
      <c r="L53" t="s">
        <v>3560</v>
      </c>
      <c r="M53" t="s">
        <v>3561</v>
      </c>
      <c r="N53" t="s">
        <v>3007</v>
      </c>
      <c r="O53" t="s">
        <v>3562</v>
      </c>
      <c r="P53" t="s">
        <v>1780</v>
      </c>
      <c r="Q53" t="s">
        <v>3563</v>
      </c>
      <c r="R53">
        <v>10902</v>
      </c>
      <c r="S53">
        <v>57.12</v>
      </c>
      <c r="T53">
        <v>571200</v>
      </c>
      <c r="U53" t="s">
        <v>3564</v>
      </c>
      <c r="V53">
        <v>0.2</v>
      </c>
      <c r="W53">
        <v>45.69</v>
      </c>
      <c r="X53">
        <v>456900</v>
      </c>
      <c r="Y53">
        <v>2006</v>
      </c>
      <c r="Z53" t="s">
        <v>3513</v>
      </c>
      <c r="AA53" t="s">
        <v>3539</v>
      </c>
      <c r="AB53">
        <v>1500</v>
      </c>
      <c r="AC53" t="s">
        <v>2984</v>
      </c>
      <c r="AD53" t="s">
        <v>3565</v>
      </c>
      <c r="AE53" t="s">
        <v>192</v>
      </c>
      <c r="AF53" t="s">
        <v>3386</v>
      </c>
      <c r="AG53" t="s">
        <v>1720</v>
      </c>
      <c r="AI53" t="s">
        <v>2963</v>
      </c>
      <c r="AJ53">
        <v>38990</v>
      </c>
      <c r="AK53" t="s">
        <v>3033</v>
      </c>
      <c r="AN53" t="s">
        <v>2964</v>
      </c>
      <c r="AP53" t="s">
        <v>3026</v>
      </c>
      <c r="AQ53" t="s">
        <v>2965</v>
      </c>
      <c r="AW53" t="s">
        <v>2989</v>
      </c>
      <c r="AX53" t="s">
        <v>3024</v>
      </c>
      <c r="AY53" t="s">
        <v>3566</v>
      </c>
      <c r="BG53" s="3576">
        <v>38891</v>
      </c>
      <c r="BI53" t="s">
        <v>3026</v>
      </c>
      <c r="BJ53" s="3576">
        <v>38908</v>
      </c>
      <c r="BL53" t="s">
        <v>3027</v>
      </c>
      <c r="BQ53">
        <v>15024</v>
      </c>
      <c r="BR53">
        <v>15145</v>
      </c>
    </row>
    <row r="54" spans="1:70">
      <c r="A54" t="s">
        <v>3567</v>
      </c>
      <c r="B54" t="s">
        <v>3568</v>
      </c>
      <c r="C54" t="s">
        <v>3569</v>
      </c>
      <c r="D54" t="s">
        <v>3570</v>
      </c>
      <c r="E54" t="s">
        <v>2271</v>
      </c>
      <c r="F54" t="s">
        <v>3458</v>
      </c>
      <c r="I54" t="s">
        <v>3571</v>
      </c>
      <c r="J54" t="s">
        <v>3572</v>
      </c>
      <c r="K54" t="s">
        <v>3278</v>
      </c>
      <c r="L54" t="s">
        <v>3467</v>
      </c>
      <c r="M54" t="s">
        <v>3573</v>
      </c>
      <c r="N54" t="s">
        <v>3007</v>
      </c>
      <c r="O54" t="s">
        <v>3469</v>
      </c>
      <c r="P54" t="s">
        <v>1780</v>
      </c>
      <c r="Q54" t="s">
        <v>3574</v>
      </c>
      <c r="R54">
        <v>12955</v>
      </c>
      <c r="S54">
        <v>54.78</v>
      </c>
      <c r="T54">
        <v>547800</v>
      </c>
      <c r="U54" t="s">
        <v>3575</v>
      </c>
      <c r="V54">
        <v>0.2</v>
      </c>
      <c r="W54">
        <v>43.82</v>
      </c>
      <c r="X54">
        <v>438200</v>
      </c>
      <c r="Y54">
        <v>2006</v>
      </c>
      <c r="Z54" t="s">
        <v>3513</v>
      </c>
      <c r="AA54" t="s">
        <v>3484</v>
      </c>
      <c r="AB54">
        <v>1500</v>
      </c>
      <c r="AC54" t="s">
        <v>2984</v>
      </c>
      <c r="AD54" t="s">
        <v>3576</v>
      </c>
      <c r="AE54" t="s">
        <v>192</v>
      </c>
      <c r="AF54" t="s">
        <v>3386</v>
      </c>
      <c r="AG54" t="s">
        <v>1720</v>
      </c>
      <c r="AI54" t="s">
        <v>2963</v>
      </c>
      <c r="AJ54">
        <v>38990</v>
      </c>
      <c r="AK54" t="s">
        <v>3033</v>
      </c>
      <c r="AN54" t="s">
        <v>2964</v>
      </c>
      <c r="AP54" t="s">
        <v>3316</v>
      </c>
      <c r="AQ54" t="s">
        <v>2965</v>
      </c>
      <c r="AW54" t="s">
        <v>2989</v>
      </c>
      <c r="AX54" t="s">
        <v>3024</v>
      </c>
      <c r="AY54" t="s">
        <v>3577</v>
      </c>
      <c r="BG54" s="3576">
        <v>38895</v>
      </c>
      <c r="BI54" t="s">
        <v>3316</v>
      </c>
      <c r="BJ54" s="3576">
        <v>38909</v>
      </c>
      <c r="BL54" t="s">
        <v>3027</v>
      </c>
      <c r="BQ54">
        <v>17862</v>
      </c>
      <c r="BR54">
        <v>17994</v>
      </c>
    </row>
    <row r="55" spans="1:70">
      <c r="A55" t="s">
        <v>3578</v>
      </c>
      <c r="B55" t="s">
        <v>3579</v>
      </c>
      <c r="C55" t="s">
        <v>3580</v>
      </c>
      <c r="D55" t="s">
        <v>3581</v>
      </c>
      <c r="E55" t="s">
        <v>2271</v>
      </c>
      <c r="F55" t="s">
        <v>3444</v>
      </c>
      <c r="H55" t="s">
        <v>3445</v>
      </c>
      <c r="I55" t="s">
        <v>3019</v>
      </c>
      <c r="J55" t="s">
        <v>3582</v>
      </c>
      <c r="K55" t="s">
        <v>3278</v>
      </c>
      <c r="L55" t="s">
        <v>3583</v>
      </c>
      <c r="M55" t="s">
        <v>1215</v>
      </c>
      <c r="N55" t="s">
        <v>3007</v>
      </c>
      <c r="O55" t="s">
        <v>3584</v>
      </c>
      <c r="P55" t="s">
        <v>1780</v>
      </c>
      <c r="Q55" t="s">
        <v>3585</v>
      </c>
      <c r="R55">
        <v>10266</v>
      </c>
      <c r="S55">
        <v>60.17</v>
      </c>
      <c r="T55">
        <v>601700</v>
      </c>
      <c r="U55" t="s">
        <v>3586</v>
      </c>
      <c r="V55">
        <v>0.2</v>
      </c>
      <c r="W55">
        <v>48.13</v>
      </c>
      <c r="X55">
        <v>481300</v>
      </c>
      <c r="Y55">
        <v>2006</v>
      </c>
      <c r="Z55" t="s">
        <v>3210</v>
      </c>
      <c r="AA55" t="s">
        <v>3472</v>
      </c>
      <c r="AB55">
        <v>1500</v>
      </c>
      <c r="AC55" t="s">
        <v>2984</v>
      </c>
      <c r="AD55" t="s">
        <v>3587</v>
      </c>
      <c r="AE55" t="s">
        <v>192</v>
      </c>
      <c r="AF55" t="s">
        <v>3386</v>
      </c>
      <c r="AG55" t="s">
        <v>1720</v>
      </c>
      <c r="AI55" t="s">
        <v>2963</v>
      </c>
      <c r="AJ55">
        <v>38990</v>
      </c>
      <c r="AK55" t="s">
        <v>3552</v>
      </c>
      <c r="AN55" t="s">
        <v>2964</v>
      </c>
      <c r="AP55" t="s">
        <v>3026</v>
      </c>
      <c r="AQ55" t="s">
        <v>2965</v>
      </c>
      <c r="AW55" t="s">
        <v>2989</v>
      </c>
      <c r="AX55" t="s">
        <v>3024</v>
      </c>
      <c r="AY55" t="s">
        <v>3588</v>
      </c>
      <c r="BG55" s="3576">
        <v>38899</v>
      </c>
      <c r="BI55" t="s">
        <v>3026</v>
      </c>
      <c r="BJ55" s="3576">
        <v>38937</v>
      </c>
      <c r="BL55" t="s">
        <v>3027</v>
      </c>
      <c r="BQ55">
        <v>14141</v>
      </c>
      <c r="BR55">
        <v>14262</v>
      </c>
    </row>
    <row r="68" spans="1:63" s="3588" customFormat="1" ht="12">
      <c r="A68" s="3560"/>
      <c r="B68" s="3586"/>
      <c r="C68" s="3560"/>
      <c r="D68" s="3560"/>
      <c r="E68" s="3560"/>
      <c r="F68" s="3560"/>
      <c r="G68" s="3560"/>
      <c r="H68" s="3560"/>
      <c r="I68" s="3560" t="s">
        <v>3598</v>
      </c>
      <c r="J68" s="3560" t="s">
        <v>3599</v>
      </c>
      <c r="K68" s="3560" t="s">
        <v>3600</v>
      </c>
      <c r="L68" s="3560" t="s">
        <v>3598</v>
      </c>
      <c r="M68" s="3560" t="s">
        <v>3599</v>
      </c>
      <c r="N68" s="3560" t="s">
        <v>3600</v>
      </c>
      <c r="O68" s="3560" t="s">
        <v>3598</v>
      </c>
      <c r="P68" s="3560" t="s">
        <v>3599</v>
      </c>
      <c r="Q68" s="3560" t="s">
        <v>3600</v>
      </c>
      <c r="R68" s="3560"/>
      <c r="S68" s="3560" t="s">
        <v>3598</v>
      </c>
      <c r="T68" s="3560" t="s">
        <v>3599</v>
      </c>
      <c r="U68" s="3560" t="s">
        <v>3600</v>
      </c>
      <c r="V68" s="3560"/>
      <c r="W68" s="3560" t="s">
        <v>3601</v>
      </c>
      <c r="X68" s="3560"/>
      <c r="Y68" s="3560"/>
      <c r="Z68" s="3560"/>
      <c r="AA68" s="3560"/>
      <c r="AB68" s="3560"/>
      <c r="AC68" s="3560"/>
      <c r="AD68" s="3560"/>
      <c r="AE68" s="3560"/>
      <c r="AF68" s="3560"/>
      <c r="AG68" s="3560"/>
      <c r="AH68" s="3560"/>
      <c r="AI68" s="3560"/>
      <c r="AJ68" s="3560"/>
      <c r="AK68" s="3560"/>
      <c r="AL68" s="3560"/>
      <c r="AM68" s="3560"/>
      <c r="AN68" s="3560"/>
      <c r="AO68" s="3560"/>
      <c r="AP68" s="3560"/>
      <c r="AQ68" s="3560"/>
      <c r="AR68" s="3560"/>
      <c r="AS68" s="3587"/>
      <c r="AT68" s="3560"/>
      <c r="AU68" s="3560"/>
      <c r="AV68" s="3560"/>
      <c r="AW68" s="3560"/>
      <c r="AX68" s="3560"/>
      <c r="AY68" s="3560"/>
      <c r="AZ68" s="3560"/>
      <c r="BA68" s="3560"/>
      <c r="BB68" s="3560"/>
      <c r="BC68" s="3560" t="s">
        <v>3602</v>
      </c>
      <c r="BD68" s="3560"/>
      <c r="BE68" s="3560"/>
      <c r="BF68" s="3560"/>
      <c r="BG68" s="3560"/>
      <c r="BH68" s="3560"/>
      <c r="BI68" s="3560"/>
      <c r="BJ68" s="3560"/>
      <c r="BK68" s="3560"/>
    </row>
    <row r="69" spans="1:63" s="3588" customFormat="1" ht="12">
      <c r="A69" s="3589" t="s">
        <v>2182</v>
      </c>
      <c r="B69" s="3590" t="s">
        <v>3603</v>
      </c>
      <c r="C69" s="3589" t="s">
        <v>1579</v>
      </c>
      <c r="D69" s="3589" t="s">
        <v>1582</v>
      </c>
      <c r="E69" s="3589" t="s">
        <v>3604</v>
      </c>
      <c r="F69" s="3589" t="s">
        <v>3605</v>
      </c>
      <c r="G69" s="3589" t="s">
        <v>3606</v>
      </c>
      <c r="H69" s="3589" t="s">
        <v>3607</v>
      </c>
      <c r="I69" s="3589" t="s">
        <v>3608</v>
      </c>
      <c r="J69" s="3589" t="s">
        <v>3608</v>
      </c>
      <c r="K69" s="3589" t="s">
        <v>3608</v>
      </c>
      <c r="L69" s="3589" t="s">
        <v>3609</v>
      </c>
      <c r="M69" s="3589" t="s">
        <v>3609</v>
      </c>
      <c r="N69" s="3589" t="s">
        <v>3609</v>
      </c>
      <c r="O69" s="3589" t="s">
        <v>3610</v>
      </c>
      <c r="P69" s="3589" t="s">
        <v>3610</v>
      </c>
      <c r="Q69" s="3589" t="s">
        <v>3610</v>
      </c>
      <c r="R69" s="3589" t="s">
        <v>3611</v>
      </c>
      <c r="S69" s="3589" t="s">
        <v>3612</v>
      </c>
      <c r="T69" s="3589" t="s">
        <v>3612</v>
      </c>
      <c r="U69" s="3589" t="s">
        <v>3612</v>
      </c>
      <c r="V69" s="3589" t="s">
        <v>3613</v>
      </c>
      <c r="W69" s="3589" t="s">
        <v>3614</v>
      </c>
      <c r="X69" s="3589" t="s">
        <v>3615</v>
      </c>
      <c r="Y69" s="3589" t="s">
        <v>3616</v>
      </c>
      <c r="Z69" s="3589" t="s">
        <v>3617</v>
      </c>
      <c r="AA69" s="3589" t="s">
        <v>3618</v>
      </c>
      <c r="AB69" s="3589" t="s">
        <v>3619</v>
      </c>
      <c r="AC69" s="3589" t="s">
        <v>3620</v>
      </c>
      <c r="AD69" s="3589" t="s">
        <v>2104</v>
      </c>
      <c r="AE69" s="3589" t="s">
        <v>344</v>
      </c>
      <c r="AF69" s="3589" t="s">
        <v>3621</v>
      </c>
      <c r="AG69" s="3589" t="s">
        <v>3622</v>
      </c>
      <c r="AH69" s="3589" t="s">
        <v>3623</v>
      </c>
      <c r="AI69" s="3589" t="s">
        <v>3624</v>
      </c>
      <c r="AJ69" s="3589" t="s">
        <v>1524</v>
      </c>
      <c r="AK69" s="3589" t="s">
        <v>3625</v>
      </c>
      <c r="AL69" s="3589" t="s">
        <v>3626</v>
      </c>
      <c r="AM69" s="3589" t="s">
        <v>3627</v>
      </c>
      <c r="AN69" s="3589" t="s">
        <v>3628</v>
      </c>
      <c r="AO69" s="3589" t="s">
        <v>3629</v>
      </c>
      <c r="AP69" s="3589" t="s">
        <v>3630</v>
      </c>
      <c r="AQ69" s="3589" t="s">
        <v>3631</v>
      </c>
      <c r="AR69" s="3589" t="s">
        <v>3632</v>
      </c>
      <c r="AS69" s="3591" t="s">
        <v>3633</v>
      </c>
      <c r="AT69" s="3589" t="s">
        <v>3634</v>
      </c>
      <c r="AU69" s="3589" t="s">
        <v>3635</v>
      </c>
      <c r="AV69" s="3589" t="s">
        <v>3636</v>
      </c>
      <c r="AW69" s="3589" t="s">
        <v>3637</v>
      </c>
      <c r="AX69" s="3589" t="s">
        <v>3638</v>
      </c>
      <c r="AY69" s="3589" t="s">
        <v>3639</v>
      </c>
      <c r="AZ69" s="3589" t="s">
        <v>3640</v>
      </c>
      <c r="BA69" s="3589" t="s">
        <v>3641</v>
      </c>
      <c r="BB69" s="3589" t="s">
        <v>3642</v>
      </c>
      <c r="BC69" s="3589" t="s">
        <v>1618</v>
      </c>
      <c r="BD69" s="3589" t="s">
        <v>1600</v>
      </c>
      <c r="BE69" s="3589" t="s">
        <v>1601</v>
      </c>
      <c r="BF69" s="3589" t="s">
        <v>1614</v>
      </c>
      <c r="BG69" s="3589" t="s">
        <v>3643</v>
      </c>
      <c r="BH69" s="3589" t="s">
        <v>3644</v>
      </c>
      <c r="BI69" s="3589" t="s">
        <v>3645</v>
      </c>
      <c r="BJ69" s="3589" t="s">
        <v>3646</v>
      </c>
      <c r="BK69" s="3589" t="s">
        <v>3647</v>
      </c>
    </row>
    <row r="70" spans="1:63" s="3595" customFormat="1" ht="12" customHeight="1">
      <c r="A70" s="3592" t="s">
        <v>3648</v>
      </c>
      <c r="B70" s="3593" t="s">
        <v>3649</v>
      </c>
      <c r="C70" s="3594" t="s">
        <v>2271</v>
      </c>
      <c r="D70" s="3594" t="s">
        <v>3650</v>
      </c>
      <c r="E70" s="3594"/>
      <c r="F70" s="3592"/>
      <c r="G70" s="3592" t="s">
        <v>3651</v>
      </c>
      <c r="H70" s="3594" t="s">
        <v>3652</v>
      </c>
      <c r="I70" s="3594" t="s">
        <v>3653</v>
      </c>
      <c r="J70" s="3594" t="s">
        <v>3654</v>
      </c>
      <c r="K70" s="3594" t="s">
        <v>3655</v>
      </c>
      <c r="L70" s="3594" t="s">
        <v>3653</v>
      </c>
      <c r="M70" s="3594" t="s">
        <v>3656</v>
      </c>
      <c r="N70" s="3594" t="s">
        <v>3657</v>
      </c>
      <c r="O70" s="3592" t="s">
        <v>3658</v>
      </c>
      <c r="P70" s="3592" t="s">
        <v>3658</v>
      </c>
      <c r="Q70" s="3592" t="s">
        <v>3658</v>
      </c>
      <c r="R70" s="3592" t="s">
        <v>3659</v>
      </c>
      <c r="S70" s="3594" t="s">
        <v>3660</v>
      </c>
      <c r="T70" s="3592" t="s">
        <v>3661</v>
      </c>
      <c r="U70" s="3592" t="s">
        <v>3662</v>
      </c>
      <c r="V70" s="3594"/>
      <c r="W70" s="3594" t="s">
        <v>3663</v>
      </c>
      <c r="X70" s="3592" t="s">
        <v>3664</v>
      </c>
      <c r="Y70" s="3594"/>
      <c r="Z70" s="3592" t="s">
        <v>3665</v>
      </c>
      <c r="AA70" s="3592" t="s">
        <v>3666</v>
      </c>
      <c r="AB70" s="3592" t="s">
        <v>3667</v>
      </c>
      <c r="AC70" s="3594" t="s">
        <v>3668</v>
      </c>
      <c r="AD70" s="3592" t="s">
        <v>3669</v>
      </c>
      <c r="AE70" s="3592" t="s">
        <v>3670</v>
      </c>
      <c r="AF70" s="3594"/>
      <c r="AG70" s="3594" t="s">
        <v>3671</v>
      </c>
      <c r="AH70" s="3592" t="s">
        <v>3672</v>
      </c>
      <c r="AI70" s="3592" t="s">
        <v>3673</v>
      </c>
      <c r="AJ70" s="3594" t="s">
        <v>3674</v>
      </c>
      <c r="AK70" s="3592" t="s">
        <v>3675</v>
      </c>
      <c r="AL70" s="3594" t="s">
        <v>3676</v>
      </c>
      <c r="AM70" s="3592" t="s">
        <v>3677</v>
      </c>
      <c r="AN70" s="3592" t="s">
        <v>3678</v>
      </c>
      <c r="AO70" s="3592" t="s">
        <v>3679</v>
      </c>
      <c r="AP70" s="3594" t="s">
        <v>3680</v>
      </c>
      <c r="AQ70" s="3592" t="s">
        <v>3681</v>
      </c>
      <c r="AR70" s="3592" t="s">
        <v>3682</v>
      </c>
      <c r="AS70" s="3594"/>
      <c r="AT70" s="3594"/>
      <c r="AU70" s="3592" t="s">
        <v>3683</v>
      </c>
      <c r="AV70" s="3592" t="s">
        <v>3684</v>
      </c>
      <c r="AW70" s="3592" t="s">
        <v>3685</v>
      </c>
      <c r="AX70" s="3592" t="s">
        <v>3686</v>
      </c>
      <c r="AY70" s="3592" t="s">
        <v>3685</v>
      </c>
      <c r="AZ70" s="3592" t="s">
        <v>3687</v>
      </c>
      <c r="BA70" s="3592" t="s">
        <v>3688</v>
      </c>
      <c r="BB70" s="3592"/>
      <c r="BC70" s="3592">
        <v>2006</v>
      </c>
      <c r="BD70" s="3592">
        <v>8</v>
      </c>
      <c r="BE70" s="3592">
        <v>11</v>
      </c>
      <c r="BF70" s="3592" t="s">
        <v>3689</v>
      </c>
      <c r="BG70" s="3592" t="s">
        <v>2965</v>
      </c>
      <c r="BH70" s="3592">
        <v>1982</v>
      </c>
      <c r="BI70" s="3594" t="s">
        <v>3690</v>
      </c>
      <c r="BJ70" s="3594" t="s">
        <v>3691</v>
      </c>
      <c r="BK70" s="3594" t="s">
        <v>3692</v>
      </c>
    </row>
    <row r="71" spans="1:63" s="3595" customFormat="1" ht="12" customHeight="1">
      <c r="A71" s="3596" t="s">
        <v>3693</v>
      </c>
      <c r="B71" s="3593" t="s">
        <v>3694</v>
      </c>
      <c r="C71" s="3594" t="s">
        <v>2271</v>
      </c>
      <c r="D71" s="3594" t="s">
        <v>3695</v>
      </c>
      <c r="E71" s="3594"/>
      <c r="F71" s="3592" t="s">
        <v>3696</v>
      </c>
      <c r="G71" s="3592" t="s">
        <v>3697</v>
      </c>
      <c r="H71" s="3594" t="s">
        <v>3698</v>
      </c>
      <c r="I71" s="3594" t="s">
        <v>3655</v>
      </c>
      <c r="J71" s="3594" t="s">
        <v>3699</v>
      </c>
      <c r="K71" s="3594" t="s">
        <v>3700</v>
      </c>
      <c r="L71" s="3594" t="s">
        <v>3701</v>
      </c>
      <c r="M71" s="3594" t="s">
        <v>3702</v>
      </c>
      <c r="N71" s="3594" t="s">
        <v>3702</v>
      </c>
      <c r="O71" s="3592" t="s">
        <v>3703</v>
      </c>
      <c r="P71" s="3592" t="s">
        <v>3704</v>
      </c>
      <c r="Q71" s="3592" t="s">
        <v>3658</v>
      </c>
      <c r="R71" s="3592" t="s">
        <v>3705</v>
      </c>
      <c r="S71" s="3594" t="s">
        <v>3706</v>
      </c>
      <c r="T71" s="3592" t="s">
        <v>3707</v>
      </c>
      <c r="U71" s="3592" t="s">
        <v>3708</v>
      </c>
      <c r="V71" s="3594"/>
      <c r="W71" s="3594"/>
      <c r="X71" s="3592" t="s">
        <v>3709</v>
      </c>
      <c r="Y71" s="3594"/>
      <c r="Z71" s="3592" t="s">
        <v>3710</v>
      </c>
      <c r="AA71" s="3592" t="s">
        <v>3666</v>
      </c>
      <c r="AB71" s="3592" t="s">
        <v>3711</v>
      </c>
      <c r="AC71" s="3594" t="s">
        <v>3668</v>
      </c>
      <c r="AD71" s="3592" t="s">
        <v>3712</v>
      </c>
      <c r="AE71" s="3592" t="s">
        <v>3713</v>
      </c>
      <c r="AF71" s="3594"/>
      <c r="AG71" s="3594" t="s">
        <v>3714</v>
      </c>
      <c r="AH71" s="3592" t="s">
        <v>3672</v>
      </c>
      <c r="AI71" s="3592" t="s">
        <v>3715</v>
      </c>
      <c r="AJ71" s="3594" t="s">
        <v>3674</v>
      </c>
      <c r="AK71" s="3592" t="s">
        <v>3716</v>
      </c>
      <c r="AL71" s="3594" t="s">
        <v>3673</v>
      </c>
      <c r="AM71" s="3592" t="s">
        <v>3677</v>
      </c>
      <c r="AN71" s="3592" t="s">
        <v>3717</v>
      </c>
      <c r="AO71" s="3592" t="s">
        <v>3718</v>
      </c>
      <c r="AP71" s="3594" t="s">
        <v>3719</v>
      </c>
      <c r="AQ71" s="3592" t="s">
        <v>3681</v>
      </c>
      <c r="AR71" s="3592" t="s">
        <v>3682</v>
      </c>
      <c r="AS71" s="3594"/>
      <c r="AT71" s="3594"/>
      <c r="AU71" s="3592" t="s">
        <v>3683</v>
      </c>
      <c r="AV71" s="3592" t="s">
        <v>3720</v>
      </c>
      <c r="AW71" s="3592" t="s">
        <v>3720</v>
      </c>
      <c r="AX71" s="3592" t="s">
        <v>3721</v>
      </c>
      <c r="AY71" s="3592" t="s">
        <v>3722</v>
      </c>
      <c r="AZ71" s="3592" t="s">
        <v>3687</v>
      </c>
      <c r="BA71" s="3592" t="s">
        <v>3723</v>
      </c>
      <c r="BB71" s="3592"/>
      <c r="BC71" s="3592">
        <v>2006</v>
      </c>
      <c r="BD71" s="3592">
        <v>10</v>
      </c>
      <c r="BE71" s="3592">
        <v>31</v>
      </c>
      <c r="BF71" s="3592" t="s">
        <v>3724</v>
      </c>
      <c r="BG71" s="3592" t="s">
        <v>2965</v>
      </c>
      <c r="BH71" s="3592">
        <v>1988</v>
      </c>
      <c r="BI71" s="3594" t="s">
        <v>3725</v>
      </c>
      <c r="BJ71" s="3594" t="s">
        <v>3726</v>
      </c>
      <c r="BK71" s="3594" t="s">
        <v>3727</v>
      </c>
    </row>
    <row r="72" spans="1:63" s="3595" customFormat="1" ht="12" customHeight="1">
      <c r="A72" s="3596" t="s">
        <v>3728</v>
      </c>
      <c r="B72" s="3593" t="s">
        <v>3729</v>
      </c>
      <c r="C72" s="3594" t="s">
        <v>2271</v>
      </c>
      <c r="D72" s="3594" t="s">
        <v>3730</v>
      </c>
      <c r="E72" s="3594"/>
      <c r="F72" s="3592" t="s">
        <v>3696</v>
      </c>
      <c r="G72" s="3592" t="s">
        <v>3731</v>
      </c>
      <c r="H72" s="3594" t="s">
        <v>3732</v>
      </c>
      <c r="I72" s="3594" t="s">
        <v>3655</v>
      </c>
      <c r="J72" s="3592" t="s">
        <v>3733</v>
      </c>
      <c r="K72" s="3594" t="s">
        <v>3734</v>
      </c>
      <c r="L72" s="3594" t="s">
        <v>3655</v>
      </c>
      <c r="M72" s="3594" t="s">
        <v>3702</v>
      </c>
      <c r="N72" s="3594" t="s">
        <v>3702</v>
      </c>
      <c r="O72" s="3592" t="s">
        <v>3735</v>
      </c>
      <c r="P72" s="3592" t="s">
        <v>3704</v>
      </c>
      <c r="Q72" s="3592" t="s">
        <v>3658</v>
      </c>
      <c r="R72" s="3592" t="s">
        <v>3705</v>
      </c>
      <c r="S72" s="3594" t="s">
        <v>3736</v>
      </c>
      <c r="T72" s="3592" t="s">
        <v>3737</v>
      </c>
      <c r="U72" s="3592" t="s">
        <v>3708</v>
      </c>
      <c r="V72" s="3594"/>
      <c r="W72" s="3594"/>
      <c r="X72" s="3592" t="s">
        <v>3709</v>
      </c>
      <c r="Y72" s="3594"/>
      <c r="Z72" s="3592" t="s">
        <v>3710</v>
      </c>
      <c r="AA72" s="3592" t="s">
        <v>3666</v>
      </c>
      <c r="AB72" s="3592" t="s">
        <v>3711</v>
      </c>
      <c r="AC72" s="3594" t="s">
        <v>3668</v>
      </c>
      <c r="AD72" s="3592" t="s">
        <v>3712</v>
      </c>
      <c r="AE72" s="3592" t="s">
        <v>3738</v>
      </c>
      <c r="AF72" s="3594"/>
      <c r="AG72" s="3594" t="s">
        <v>3739</v>
      </c>
      <c r="AH72" s="3592" t="s">
        <v>3740</v>
      </c>
      <c r="AI72" s="3592" t="s">
        <v>3741</v>
      </c>
      <c r="AJ72" s="3594" t="s">
        <v>3742</v>
      </c>
      <c r="AK72" s="3592" t="s">
        <v>3716</v>
      </c>
      <c r="AL72" s="3594" t="s">
        <v>3743</v>
      </c>
      <c r="AM72" s="3592" t="s">
        <v>3744</v>
      </c>
      <c r="AN72" s="3592" t="s">
        <v>3745</v>
      </c>
      <c r="AO72" s="3592" t="s">
        <v>3679</v>
      </c>
      <c r="AP72" s="3594" t="s">
        <v>3746</v>
      </c>
      <c r="AQ72" s="3592" t="s">
        <v>3681</v>
      </c>
      <c r="AR72" s="3592" t="s">
        <v>3682</v>
      </c>
      <c r="AS72" s="3594"/>
      <c r="AT72" s="3594"/>
      <c r="AU72" s="3594" t="s">
        <v>3747</v>
      </c>
      <c r="AV72" s="3592" t="s">
        <v>3685</v>
      </c>
      <c r="AW72" s="3592" t="s">
        <v>3685</v>
      </c>
      <c r="AX72" s="3592" t="s">
        <v>3721</v>
      </c>
      <c r="AY72" s="3592" t="s">
        <v>3685</v>
      </c>
      <c r="AZ72" s="3592" t="s">
        <v>3684</v>
      </c>
      <c r="BA72" s="3592" t="s">
        <v>3688</v>
      </c>
      <c r="BB72" s="3592"/>
      <c r="BC72" s="3592">
        <v>2006</v>
      </c>
      <c r="BD72" s="3592">
        <v>11</v>
      </c>
      <c r="BE72" s="3592">
        <v>2</v>
      </c>
      <c r="BF72" s="3592" t="s">
        <v>3748</v>
      </c>
      <c r="BG72" s="3592" t="s">
        <v>2965</v>
      </c>
      <c r="BH72" s="3592">
        <v>1988</v>
      </c>
      <c r="BI72" s="3594" t="s">
        <v>3749</v>
      </c>
      <c r="BJ72" s="3594" t="s">
        <v>3750</v>
      </c>
      <c r="BK72" s="3594" t="s">
        <v>3751</v>
      </c>
    </row>
    <row r="76" spans="1:63" s="3599" customFormat="1" ht="12">
      <c r="A76" s="3560"/>
      <c r="B76" s="3560"/>
      <c r="C76" s="3586"/>
      <c r="D76" s="3560"/>
      <c r="E76" s="3560"/>
      <c r="F76" s="3560" t="s">
        <v>3752</v>
      </c>
      <c r="G76" s="3560"/>
      <c r="H76" s="3560"/>
      <c r="I76" s="3560"/>
      <c r="J76" s="3560"/>
      <c r="K76" s="3560"/>
      <c r="L76" s="3560"/>
      <c r="M76" s="3560"/>
      <c r="N76" s="3597"/>
      <c r="O76" s="3945" t="s">
        <v>3753</v>
      </c>
      <c r="P76" s="3946"/>
      <c r="Q76" s="3946"/>
      <c r="R76" s="3947"/>
      <c r="S76" s="3560"/>
      <c r="T76" s="3560"/>
      <c r="U76" s="3560"/>
      <c r="V76" s="3560"/>
      <c r="W76" s="3560" t="s">
        <v>3754</v>
      </c>
      <c r="X76" s="3560"/>
      <c r="Y76" s="3560"/>
      <c r="Z76" s="3560"/>
      <c r="AA76" s="3560"/>
      <c r="AB76" s="3560"/>
      <c r="AC76" s="3560"/>
      <c r="AD76" s="3560"/>
      <c r="AE76" s="3560"/>
      <c r="AF76" s="3560" t="s">
        <v>3602</v>
      </c>
      <c r="AG76" s="3560"/>
      <c r="AH76" s="3560"/>
      <c r="AI76" s="3560"/>
      <c r="AJ76" s="3598"/>
      <c r="AK76" s="3598"/>
    </row>
    <row r="77" spans="1:63" s="3599" customFormat="1" ht="12">
      <c r="A77" s="3589" t="s">
        <v>1615</v>
      </c>
      <c r="B77" s="3589" t="s">
        <v>3755</v>
      </c>
      <c r="C77" s="3590" t="s">
        <v>3756</v>
      </c>
      <c r="D77" s="3589" t="s">
        <v>3757</v>
      </c>
      <c r="E77" s="3589" t="s">
        <v>3758</v>
      </c>
      <c r="F77" s="3589" t="s">
        <v>3759</v>
      </c>
      <c r="G77" s="3589" t="s">
        <v>3760</v>
      </c>
      <c r="H77" s="3589" t="s">
        <v>3761</v>
      </c>
      <c r="I77" s="3589" t="s">
        <v>3762</v>
      </c>
      <c r="J77" s="3589" t="s">
        <v>3763</v>
      </c>
      <c r="K77" s="3589" t="s">
        <v>3594</v>
      </c>
      <c r="L77" s="3589" t="s">
        <v>3764</v>
      </c>
      <c r="M77" s="3589" t="s">
        <v>1608</v>
      </c>
      <c r="N77" s="3597" t="s">
        <v>3765</v>
      </c>
      <c r="O77" s="3597" t="s">
        <v>3766</v>
      </c>
      <c r="P77" s="3597" t="s">
        <v>3767</v>
      </c>
      <c r="Q77" s="3600" t="s">
        <v>3768</v>
      </c>
      <c r="R77" s="3559" t="s">
        <v>3769</v>
      </c>
      <c r="S77" s="3589" t="s">
        <v>1601</v>
      </c>
      <c r="T77" s="3589" t="s">
        <v>3770</v>
      </c>
      <c r="U77" s="3589" t="s">
        <v>1600</v>
      </c>
      <c r="V77" s="3589" t="s">
        <v>1601</v>
      </c>
      <c r="W77" s="3589" t="s">
        <v>3771</v>
      </c>
      <c r="X77" s="3589" t="s">
        <v>3772</v>
      </c>
      <c r="Y77" s="3589" t="s">
        <v>3773</v>
      </c>
      <c r="Z77" s="3589" t="s">
        <v>3774</v>
      </c>
      <c r="AA77" s="3589" t="s">
        <v>3775</v>
      </c>
      <c r="AB77" s="3589" t="s">
        <v>3776</v>
      </c>
      <c r="AC77" s="3589" t="s">
        <v>3777</v>
      </c>
      <c r="AD77" s="3589" t="s">
        <v>3778</v>
      </c>
      <c r="AE77" s="3589" t="s">
        <v>3779</v>
      </c>
      <c r="AF77" s="3589" t="s">
        <v>1618</v>
      </c>
      <c r="AG77" s="3589" t="s">
        <v>1600</v>
      </c>
      <c r="AH77" s="3589" t="s">
        <v>1601</v>
      </c>
      <c r="AI77" s="3589" t="s">
        <v>1614</v>
      </c>
      <c r="AJ77" s="3601" t="s">
        <v>3780</v>
      </c>
      <c r="AK77" s="3601" t="s">
        <v>3781</v>
      </c>
    </row>
    <row r="78" spans="1:63" s="3595" customFormat="1" ht="12" customHeight="1">
      <c r="A78" s="3594" t="s">
        <v>3782</v>
      </c>
      <c r="B78" s="3594" t="s">
        <v>3783</v>
      </c>
      <c r="C78" s="3593" t="s">
        <v>3784</v>
      </c>
      <c r="D78" s="3594" t="s">
        <v>3785</v>
      </c>
      <c r="E78" s="3594" t="s">
        <v>3786</v>
      </c>
      <c r="F78" s="3594">
        <v>3</v>
      </c>
      <c r="G78" s="3594" t="s">
        <v>3787</v>
      </c>
      <c r="H78" s="3594" t="s">
        <v>3788</v>
      </c>
      <c r="I78" s="3594" t="s">
        <v>3789</v>
      </c>
      <c r="J78" s="3594" t="s">
        <v>3790</v>
      </c>
      <c r="K78" s="3594">
        <v>1982</v>
      </c>
      <c r="L78" s="3594" t="s">
        <v>3791</v>
      </c>
      <c r="M78" s="3594"/>
      <c r="N78" s="3594"/>
      <c r="O78" s="3594"/>
      <c r="P78" s="3594" t="s">
        <v>3792</v>
      </c>
      <c r="Q78" s="3594" t="s">
        <v>3792</v>
      </c>
      <c r="R78" s="3594" t="s">
        <v>3792</v>
      </c>
      <c r="S78" s="3594" t="s">
        <v>3792</v>
      </c>
      <c r="T78" s="3594" t="s">
        <v>3793</v>
      </c>
      <c r="U78" s="3594" t="s">
        <v>3792</v>
      </c>
      <c r="V78" s="3594" t="s">
        <v>3792</v>
      </c>
      <c r="W78" s="3594"/>
      <c r="X78" s="3594"/>
      <c r="Y78" s="3594"/>
      <c r="Z78" s="3594"/>
      <c r="AA78" s="3594"/>
      <c r="AB78" s="3594"/>
      <c r="AC78" s="3594"/>
      <c r="AD78" s="3594"/>
      <c r="AE78" s="3594" t="s">
        <v>3794</v>
      </c>
      <c r="AF78" s="3594">
        <v>2006</v>
      </c>
      <c r="AG78" s="3594">
        <v>8</v>
      </c>
      <c r="AH78" s="3594">
        <v>22</v>
      </c>
      <c r="AI78" s="3594" t="s">
        <v>3795</v>
      </c>
      <c r="AJ78" s="3594">
        <v>50</v>
      </c>
      <c r="AK78" s="3594">
        <f t="shared" ref="AK78" ca="1" si="0">AJ78-YEAR(TODAY())+K78</f>
        <v>8</v>
      </c>
      <c r="AL78" s="3595" t="s">
        <v>3796</v>
      </c>
    </row>
    <row r="79" spans="1:63" s="3595" customFormat="1" ht="12" customHeight="1">
      <c r="A79" s="3594" t="s">
        <v>3797</v>
      </c>
      <c r="B79" s="3594" t="s">
        <v>3798</v>
      </c>
      <c r="C79" s="3593" t="s">
        <v>3799</v>
      </c>
      <c r="D79" s="3594" t="s">
        <v>3800</v>
      </c>
      <c r="E79" s="3594" t="s">
        <v>3801</v>
      </c>
      <c r="F79" s="3594">
        <v>18</v>
      </c>
      <c r="G79" s="3593" t="s">
        <v>3802</v>
      </c>
      <c r="H79" s="3594" t="s">
        <v>3788</v>
      </c>
      <c r="I79" s="3594" t="s">
        <v>3789</v>
      </c>
      <c r="J79" s="3594" t="s">
        <v>3790</v>
      </c>
      <c r="K79" s="3594" t="s">
        <v>3792</v>
      </c>
      <c r="L79" s="3594"/>
      <c r="M79" s="3594"/>
      <c r="N79" s="3594"/>
      <c r="O79" s="3594"/>
      <c r="P79" s="3594" t="s">
        <v>3792</v>
      </c>
      <c r="Q79" s="3594" t="s">
        <v>3792</v>
      </c>
      <c r="R79" s="3594" t="s">
        <v>3803</v>
      </c>
      <c r="S79" s="3594" t="s">
        <v>3804</v>
      </c>
      <c r="T79" s="3594" t="s">
        <v>3792</v>
      </c>
      <c r="U79" s="3594" t="s">
        <v>3792</v>
      </c>
      <c r="V79" s="3594" t="s">
        <v>3792</v>
      </c>
      <c r="W79" s="3594" t="s">
        <v>3792</v>
      </c>
      <c r="X79" s="3594" t="s">
        <v>3792</v>
      </c>
      <c r="Y79" s="3594" t="s">
        <v>3792</v>
      </c>
      <c r="Z79" s="3594" t="s">
        <v>3792</v>
      </c>
      <c r="AA79" s="3602" t="s">
        <v>3792</v>
      </c>
      <c r="AB79" s="3594" t="s">
        <v>3804</v>
      </c>
      <c r="AC79" s="3602" t="s">
        <v>3792</v>
      </c>
      <c r="AD79" s="3594"/>
      <c r="AE79" s="3594" t="s">
        <v>3794</v>
      </c>
      <c r="AF79" s="3594">
        <v>2006</v>
      </c>
      <c r="AG79" s="3594">
        <v>12</v>
      </c>
      <c r="AH79" s="3594">
        <v>11</v>
      </c>
      <c r="AI79" s="3594" t="s">
        <v>3805</v>
      </c>
      <c r="AJ79" s="3594">
        <v>50</v>
      </c>
      <c r="AK79" s="3594" t="e">
        <f ca="1">AJ79-YEAR(TODAY())+K79</f>
        <v>#VALUE!</v>
      </c>
      <c r="AL79" s="3595" t="s">
        <v>3796</v>
      </c>
    </row>
    <row r="80" spans="1:63" s="3595" customFormat="1" ht="12" customHeight="1">
      <c r="A80" s="3594" t="s">
        <v>3806</v>
      </c>
      <c r="B80" s="3594" t="s">
        <v>3807</v>
      </c>
      <c r="C80" s="3593" t="s">
        <v>3808</v>
      </c>
      <c r="D80" s="3594" t="s">
        <v>3809</v>
      </c>
      <c r="E80" s="3594" t="s">
        <v>3810</v>
      </c>
      <c r="F80" s="3594">
        <v>2</v>
      </c>
      <c r="G80" s="3594">
        <v>309</v>
      </c>
      <c r="H80" s="3594" t="s">
        <v>3811</v>
      </c>
      <c r="I80" s="3594">
        <v>16</v>
      </c>
      <c r="J80" s="3594" t="s">
        <v>3790</v>
      </c>
      <c r="K80" s="3594"/>
      <c r="L80" s="3594" t="s">
        <v>3812</v>
      </c>
      <c r="M80" s="3594"/>
      <c r="N80" s="3594"/>
      <c r="O80" s="3594"/>
      <c r="P80" s="3594"/>
      <c r="Q80" s="3594"/>
      <c r="R80" s="3594"/>
      <c r="S80" s="3594"/>
      <c r="T80" s="3594"/>
      <c r="U80" s="3594"/>
      <c r="V80" s="3594"/>
      <c r="W80" s="3594"/>
      <c r="X80" s="3594"/>
      <c r="Y80" s="3594"/>
      <c r="Z80" s="3594"/>
      <c r="AA80" s="3594"/>
      <c r="AB80" s="3594"/>
      <c r="AC80" s="3594"/>
      <c r="AD80" s="3594"/>
      <c r="AE80" s="3594" t="s">
        <v>3813</v>
      </c>
      <c r="AF80" s="3594">
        <v>2006</v>
      </c>
      <c r="AG80" s="3594">
        <v>11</v>
      </c>
      <c r="AH80" s="3594">
        <v>17</v>
      </c>
      <c r="AI80" s="3594" t="s">
        <v>3814</v>
      </c>
      <c r="AJ80" s="3594">
        <v>60</v>
      </c>
      <c r="AK80" s="3594">
        <f ca="1">AJ80-YEAR(TODAY())+K80</f>
        <v>-1964</v>
      </c>
    </row>
  </sheetData>
  <mergeCells count="2">
    <mergeCell ref="AL1:AM1"/>
    <mergeCell ref="O76:R76"/>
  </mergeCells>
  <phoneticPr fontId="225" type="noConversion"/>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5" workbookViewId="0">
      <selection activeCell="F48" sqref="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39031</v>
      </c>
      <c r="D1" s="7" t="s">
        <v>3073</v>
      </c>
      <c r="E1" s="9">
        <f>'数据-取费表'!B22</f>
        <v>2</v>
      </c>
      <c r="F1" s="7" t="s">
        <v>3074</v>
      </c>
      <c r="G1" s="10">
        <f ca="1">INDIRECT("d"&amp;$K$1)/100</f>
        <v>6.3E-2</v>
      </c>
      <c r="H1" s="7" t="s">
        <v>3075</v>
      </c>
      <c r="I1" s="10">
        <f ca="1">F4/100</f>
        <v>2.52E-2</v>
      </c>
      <c r="J1" s="59">
        <f>IF(C1&gt;C13,0,MATCH(C1,C$13:C$110,-1))+IF(SUMIF(C13:C110,C1,D13:D110)=0,13,12)</f>
        <v>48</v>
      </c>
      <c r="K1" s="59">
        <f>MATCH(E1,C3:C7,1)+IF(SUMIF(C3:C7,E1,D3:D7)=0,2,1)</f>
        <v>5</v>
      </c>
      <c r="L1" s="59">
        <f>IF(C1&gt;M13,0,MATCH(C1,M$13:M$100,-1))+IF(SUMIF(M13:M100,C1,N13:N100)=0,13,12)</f>
        <v>37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5.58</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6.12</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6.3</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6.48</v>
      </c>
      <c r="E6" s="21">
        <v>3</v>
      </c>
      <c r="F6" s="22">
        <f ca="1">INDIRECT("s"&amp;$L$1)</f>
        <v>3.69</v>
      </c>
      <c r="G6" s="3"/>
      <c r="H6" s="3"/>
      <c r="I6" s="3"/>
      <c r="J6" s="3"/>
      <c r="L6" s="3"/>
      <c r="M6" s="3"/>
      <c r="N6" s="3"/>
      <c r="O6" s="3"/>
      <c r="P6" s="3"/>
      <c r="Q6" s="3"/>
      <c r="R6" s="3"/>
      <c r="S6" s="3"/>
      <c r="T6" s="3"/>
      <c r="U6" s="3"/>
      <c r="V6" s="3"/>
      <c r="W6" s="3"/>
      <c r="X6" s="3"/>
      <c r="Y6" s="3"/>
      <c r="Z6" s="3"/>
    </row>
    <row r="7" spans="1:257">
      <c r="B7" s="23" t="s">
        <v>3081</v>
      </c>
      <c r="C7" s="24">
        <v>5</v>
      </c>
      <c r="D7" s="25">
        <f ca="1">INDIRECT("h"&amp;$J$1)</f>
        <v>6.84</v>
      </c>
      <c r="E7" s="26">
        <v>5</v>
      </c>
      <c r="F7" s="27">
        <f ca="1">INDIRECT("t"&amp;$L$1)</f>
        <v>4.1399999999999997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621" t="str">
        <f>IF(项目基本情况!B9="房地产市场价值","估价结果一览表","结果表-2")</f>
        <v>估价结果一览表</v>
      </c>
      <c r="B1" s="3621"/>
      <c r="C1" s="3621"/>
      <c r="D1" s="3621"/>
      <c r="E1" s="3621"/>
      <c r="F1" s="3621"/>
      <c r="G1" s="3621"/>
      <c r="H1" s="3621"/>
      <c r="I1" s="3621"/>
    </row>
    <row r="2" spans="1:9" ht="30" customHeight="1">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房地产市场价值</v>
      </c>
      <c r="I2" s="3622"/>
    </row>
    <row r="3" spans="1:9" ht="15">
      <c r="A3" s="3617"/>
      <c r="B3" s="3617"/>
      <c r="C3" s="3617"/>
      <c r="D3" s="3493" t="s">
        <v>110</v>
      </c>
      <c r="E3" s="3493" t="s">
        <v>111</v>
      </c>
      <c r="F3" s="3493" t="s">
        <v>110</v>
      </c>
      <c r="G3" s="3493" t="s">
        <v>111</v>
      </c>
      <c r="H3" s="3493" t="s">
        <v>110</v>
      </c>
      <c r="I3" s="3493" t="s">
        <v>111</v>
      </c>
    </row>
    <row r="4" spans="1:9" ht="15">
      <c r="A4" s="3494" t="str">
        <f>项目基本情况!S2</f>
        <v>北京市房地产</v>
      </c>
      <c r="B4" s="3493">
        <f>项目基本情况!C17</f>
        <v>58.3</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617" t="s">
        <v>112</v>
      </c>
      <c r="B5" s="3617"/>
      <c r="C5" s="3617"/>
      <c r="D5" s="3617" t="e">
        <f ca="1">结果表!D119</f>
        <v>#REF!</v>
      </c>
      <c r="E5" s="3617"/>
      <c r="F5" s="3617" t="e">
        <f ca="1">结果表!F119</f>
        <v>#REF!</v>
      </c>
      <c r="G5" s="3617"/>
      <c r="H5" s="3617" t="e">
        <f ca="1">结果表!H119</f>
        <v>#REF!</v>
      </c>
      <c r="I5" s="3617"/>
    </row>
    <row r="6" spans="1:9" ht="15.75">
      <c r="A6" s="3614" t="str">
        <f>结果表!A120</f>
        <v/>
      </c>
      <c r="B6" s="3614"/>
      <c r="C6" s="3614"/>
      <c r="D6" s="3614">
        <f>结果表!D120</f>
        <v>0</v>
      </c>
      <c r="E6" s="3614"/>
      <c r="F6" s="3614"/>
      <c r="G6" s="3614"/>
      <c r="H6" s="3614"/>
      <c r="I6" s="3614"/>
    </row>
    <row r="7" spans="1:9" ht="15">
      <c r="A7" s="3617" t="s">
        <v>112</v>
      </c>
      <c r="B7" s="3617"/>
      <c r="C7" s="3617"/>
      <c r="D7" s="3618" t="str">
        <f>结果表!D121</f>
        <v>零元整</v>
      </c>
      <c r="E7" s="3619"/>
      <c r="F7" s="3619"/>
      <c r="G7" s="3619"/>
      <c r="H7" s="3619"/>
      <c r="I7" s="3620"/>
    </row>
    <row r="8" spans="1:9" ht="15.75">
      <c r="A8" s="3614" t="str">
        <f>结果表!A122</f>
        <v/>
      </c>
      <c r="B8" s="3614"/>
      <c r="C8" s="3614"/>
      <c r="D8" s="3614" t="str">
        <f>结果表!D122</f>
        <v>——</v>
      </c>
      <c r="E8" s="3614"/>
      <c r="F8" s="3614"/>
      <c r="G8" s="3614"/>
      <c r="H8" s="3614"/>
      <c r="I8" s="3614"/>
    </row>
    <row r="9" spans="1:9" ht="15">
      <c r="A9" s="3617" t="s">
        <v>112</v>
      </c>
      <c r="B9" s="3617"/>
      <c r="C9" s="3617"/>
      <c r="D9" s="3617" t="e">
        <f>结果表!D123</f>
        <v>#VALUE!</v>
      </c>
      <c r="E9" s="3617"/>
      <c r="F9" s="3617"/>
      <c r="G9" s="3617"/>
      <c r="H9" s="3617"/>
      <c r="I9" s="3617"/>
    </row>
    <row r="10" spans="1:9" ht="15.75">
      <c r="A10" s="3614" t="str">
        <f>结果表!A124</f>
        <v/>
      </c>
      <c r="B10" s="3614"/>
      <c r="C10" s="3614"/>
      <c r="D10" s="3614" t="str">
        <f ca="1">结果表!D124</f>
        <v>——</v>
      </c>
      <c r="E10" s="3614"/>
      <c r="F10" s="3614"/>
      <c r="G10" s="3614"/>
      <c r="H10" s="3614"/>
      <c r="I10" s="3614"/>
    </row>
    <row r="11" spans="1:9" ht="15">
      <c r="A11" s="3617" t="s">
        <v>112</v>
      </c>
      <c r="B11" s="3617"/>
      <c r="C11" s="3617"/>
      <c r="D11" s="3617" t="e">
        <f ca="1">结果表!D125</f>
        <v>#VALUE!</v>
      </c>
      <c r="E11" s="3617"/>
      <c r="F11" s="3617"/>
      <c r="G11" s="3617"/>
      <c r="H11" s="3617"/>
      <c r="I11" s="3617"/>
    </row>
    <row r="12" spans="1:9" ht="15.75">
      <c r="A12" s="3614" t="str">
        <f>结果表!A126</f>
        <v/>
      </c>
      <c r="B12" s="3614"/>
      <c r="C12" s="3614"/>
      <c r="D12" s="3614" t="str">
        <f>结果表!D126</f>
        <v>——</v>
      </c>
      <c r="E12" s="3614"/>
      <c r="F12" s="3614"/>
      <c r="G12" s="3614"/>
      <c r="H12" s="3614"/>
      <c r="I12" s="3614"/>
    </row>
    <row r="13" spans="1:9" ht="15">
      <c r="A13" s="3615" t="s">
        <v>112</v>
      </c>
      <c r="B13" s="3615"/>
      <c r="C13" s="3615"/>
      <c r="D13" s="3615" t="e">
        <f>结果表!D127</f>
        <v>#VALUE!</v>
      </c>
      <c r="E13" s="3615"/>
      <c r="F13" s="3615"/>
      <c r="G13" s="3615"/>
      <c r="H13" s="3615"/>
      <c r="I13" s="3615"/>
    </row>
    <row r="14" spans="1:9">
      <c r="A14" s="3616" t="s">
        <v>113</v>
      </c>
      <c r="B14" s="3616"/>
      <c r="C14" s="3616"/>
      <c r="D14" s="3616"/>
      <c r="E14" s="3616"/>
      <c r="F14" s="3616"/>
      <c r="G14" s="3616"/>
      <c r="H14" s="3616"/>
      <c r="I14" s="3616"/>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29" t="s">
        <v>114</v>
      </c>
      <c r="B1" s="3629"/>
      <c r="C1" s="3629"/>
      <c r="D1" s="3629"/>
    </row>
    <row r="2" spans="1:4" ht="18">
      <c r="A2" s="3630" t="s">
        <v>115</v>
      </c>
      <c r="B2" s="3630"/>
      <c r="C2" s="3630"/>
      <c r="D2" s="3630"/>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30" t="s">
        <v>121</v>
      </c>
      <c r="B6" s="3630"/>
      <c r="C6" s="3630"/>
      <c r="D6" s="3630"/>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31" t="s">
        <v>126</v>
      </c>
      <c r="B11" s="3624"/>
      <c r="C11" s="3624"/>
      <c r="D11" s="3624"/>
    </row>
    <row r="12" spans="1:4" ht="15.75">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7"/>
      <c r="C12" s="3627"/>
      <c r="D12" s="3627"/>
    </row>
    <row r="13" spans="1:4" ht="30" customHeight="1">
      <c r="A13" s="3624" t="str">
        <f>IF(项目基本情况!B8="抵押","3.抵押双方在办理抵押登记手续时，应使用本公司出具的正式《房地产评估报告》，特提醒报告使用者注意。","——")</f>
        <v>——</v>
      </c>
      <c r="B13" s="3627"/>
      <c r="C13" s="3627"/>
      <c r="D13" s="3627"/>
    </row>
    <row r="14" spans="1:4" ht="15.75" customHeight="1">
      <c r="A14" s="3624" t="str">
        <f>IF(项目基本情况!B8="抵押","4.本次评估估价师所知悉的法定优先受偿款情况说明如下：","——")</f>
        <v>——</v>
      </c>
      <c r="B14" s="3627"/>
      <c r="C14" s="3627"/>
      <c r="D14" s="3627"/>
    </row>
    <row r="15" spans="1:4" ht="42" customHeight="1">
      <c r="A15" s="3624" t="str">
        <f>IF(项目基本情况!B8="抵押","（1）"&amp;CONCATENATE(项目基本情况!L20,项目基本情况!L21,项目基本情况!L22),"——")</f>
        <v>——</v>
      </c>
      <c r="B15" s="3624"/>
      <c r="C15" s="3624"/>
      <c r="D15" s="3624"/>
    </row>
    <row r="16" spans="1:4" ht="30" customHeight="1">
      <c r="A16" s="3628" t="s">
        <v>127</v>
      </c>
      <c r="B16" s="3628"/>
      <c r="C16" s="3628"/>
      <c r="D16" s="3628"/>
    </row>
    <row r="17" spans="1:4" ht="144" customHeight="1">
      <c r="A17" s="3628" t="s">
        <v>128</v>
      </c>
      <c r="B17" s="3628"/>
      <c r="C17" s="3628"/>
      <c r="D17" s="3628"/>
    </row>
    <row r="18" spans="1:4" ht="15.75" customHeight="1">
      <c r="A18" s="3624" t="str">
        <f>IF(项目基本情况!B8="抵押",结果表!K120,"——")</f>
        <v>——</v>
      </c>
      <c r="B18" s="3624"/>
      <c r="C18" s="3624"/>
      <c r="D18" s="3624"/>
    </row>
    <row r="19" spans="1:4" ht="46.5" customHeight="1">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spans="1:4" ht="57.75" customHeight="1">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spans="1:4" ht="57.75" customHeight="1">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spans="1:4" ht="18.75" customHeight="1">
      <c r="A22" s="3626" t="s">
        <v>129</v>
      </c>
      <c r="B22" s="3626"/>
      <c r="C22" s="3626"/>
      <c r="D22" s="3626"/>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23">
        <v>42551</v>
      </c>
      <c r="D31" s="36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34" t="s">
        <v>146</v>
      </c>
      <c r="B15" s="3639" t="s">
        <v>147</v>
      </c>
      <c r="C15" s="3633"/>
    </row>
    <row r="16" spans="1:7" ht="13.5">
      <c r="A16" s="3635"/>
      <c r="B16" s="3639" t="s">
        <v>148</v>
      </c>
      <c r="C16" s="3633"/>
    </row>
    <row r="17" spans="1:3" ht="13.5">
      <c r="A17" s="3635"/>
      <c r="B17" s="3638" t="s">
        <v>149</v>
      </c>
      <c r="C17" s="3470" t="s">
        <v>146</v>
      </c>
    </row>
    <row r="18" spans="1:3" ht="13.5">
      <c r="A18" s="3635"/>
      <c r="B18" s="3638"/>
      <c r="C18" s="3470" t="s">
        <v>150</v>
      </c>
    </row>
    <row r="19" spans="1:3" ht="13.5">
      <c r="A19" s="3635"/>
      <c r="B19" s="3638"/>
      <c r="C19" s="3470" t="s">
        <v>151</v>
      </c>
    </row>
    <row r="20" spans="1:3" ht="13.5">
      <c r="A20" s="3636"/>
      <c r="B20" s="3632" t="s">
        <v>152</v>
      </c>
      <c r="C20" s="3633"/>
    </row>
    <row r="21" spans="1:3" ht="13.5">
      <c r="A21" s="3471" t="s">
        <v>153</v>
      </c>
      <c r="B21" s="3472"/>
      <c r="C21" s="3473"/>
    </row>
    <row r="22" spans="1:3" ht="13.5">
      <c r="A22" s="3637" t="s">
        <v>154</v>
      </c>
      <c r="B22" s="3632" t="s">
        <v>155</v>
      </c>
      <c r="C22" s="3633"/>
    </row>
    <row r="23" spans="1:3" ht="13.5">
      <c r="A23" s="3637"/>
      <c r="B23" s="3632" t="s">
        <v>156</v>
      </c>
      <c r="C23" s="3633"/>
    </row>
    <row r="24" spans="1:3" ht="13.5">
      <c r="A24" s="3637"/>
      <c r="B24" s="3632" t="s">
        <v>157</v>
      </c>
      <c r="C24" s="3633"/>
    </row>
    <row r="25" spans="1:3" ht="13.5">
      <c r="A25" s="3637"/>
      <c r="B25" s="3638" t="s">
        <v>158</v>
      </c>
      <c r="C25" s="3470" t="s">
        <v>159</v>
      </c>
    </row>
    <row r="26" spans="1:3" ht="13.5">
      <c r="A26" s="3637"/>
      <c r="B26" s="3638"/>
      <c r="C26" s="3470" t="s">
        <v>160</v>
      </c>
    </row>
    <row r="27" spans="1:3" ht="13.5">
      <c r="A27" s="3637"/>
      <c r="B27" s="3638"/>
      <c r="C27" s="3470" t="s">
        <v>161</v>
      </c>
    </row>
    <row r="28" spans="1:3" ht="13.5">
      <c r="A28" s="3637"/>
      <c r="B28" s="3638"/>
      <c r="C28" s="3470" t="s">
        <v>162</v>
      </c>
    </row>
    <row r="29" spans="1:3" ht="13.5">
      <c r="A29" s="3637"/>
      <c r="B29" s="3638"/>
      <c r="C29" s="3470" t="s">
        <v>163</v>
      </c>
    </row>
    <row r="30" spans="1:3" ht="13.5">
      <c r="A30" s="3637"/>
      <c r="B30" s="3638"/>
      <c r="C30" s="3470" t="s">
        <v>164</v>
      </c>
    </row>
    <row r="31" spans="1:3" ht="13.5">
      <c r="A31" s="3637"/>
      <c r="B31" s="3638"/>
      <c r="C31" s="3470" t="s">
        <v>165</v>
      </c>
    </row>
    <row r="32" spans="1:3" ht="13.5">
      <c r="A32" s="3637"/>
      <c r="B32" s="3638"/>
      <c r="C32" s="3470" t="s">
        <v>166</v>
      </c>
    </row>
    <row r="33" spans="1:3" ht="13.5">
      <c r="A33" s="3637"/>
      <c r="B33" s="3638"/>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45307</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40" t="s">
        <v>197</v>
      </c>
      <c r="B17" s="3640"/>
      <c r="C17" s="3640"/>
      <c r="D17" s="3640"/>
      <c r="E17" s="3640"/>
      <c r="F17" s="3640"/>
      <c r="G17" s="3640"/>
      <c r="H17" s="3640"/>
    </row>
    <row r="18" spans="1:8" ht="24" customHeight="1">
      <c r="A18" s="3641" t="s">
        <v>198</v>
      </c>
      <c r="B18" s="3641"/>
      <c r="C18" s="3641"/>
      <c r="D18" s="3437"/>
      <c r="E18" s="3642" t="s">
        <v>199</v>
      </c>
      <c r="F18" s="3641"/>
      <c r="G18" s="3641"/>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三义庙</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2024-01-16T06:14:57Z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