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霸州法院丰台风格与林苑\"/>
    </mc:Choice>
  </mc:AlternateContent>
  <bookViews>
    <workbookView xWindow="0" yWindow="0" windowWidth="16764" windowHeight="13068" tabRatio="894"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Sheet2" sheetId="84" r:id="rId19"/>
    <sheet name="结果表" sheetId="9" r:id="rId20"/>
    <sheet name="成本法" sheetId="68" state="hidden" r:id="rId21"/>
    <sheet name="租金案例" sheetId="83" r:id="rId22"/>
    <sheet name="销售价格" sheetId="82" r:id="rId23"/>
    <sheet name="法拍" sheetId="81" r:id="rId24"/>
    <sheet name="成本法 (元)" sheetId="69" r:id="rId25"/>
    <sheet name="假设开发法" sheetId="12" state="hidden" r:id="rId26"/>
    <sheet name="收益法" sheetId="15" state="hidden" r:id="rId27"/>
    <sheet name="基准地价修正" sheetId="43" r:id="rId28"/>
    <sheet name="收益法 (元)" sheetId="67" r:id="rId29"/>
    <sheet name="收益法-酒店模型" sheetId="77" state="hidden" r:id="rId30"/>
    <sheet name="收益法（汇总）" sheetId="70" state="hidden" r:id="rId31"/>
    <sheet name="比较法-住宅" sheetId="21" state="hidden" r:id="rId32"/>
    <sheet name="比较法-商业" sheetId="33"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r:id="rId45"/>
    <sheet name="因素修正幅度" sheetId="65" state="hidden" r:id="rId46"/>
    <sheet name="区片价（范围）" sheetId="75" state="hidden" r:id="rId47"/>
    <sheet name="地价-分区" sheetId="79" r:id="rId48"/>
    <sheet name="地价" sheetId="71" r:id="rId49"/>
    <sheet name="存贷款利率" sheetId="73"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2"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7">基准地价修正!$A$1:$J$44,基准地价修正!$A$47:$H$101,基准地价修正!$R$1:$V$16</definedName>
    <definedName name="_xlnm.Print_Area" localSheetId="25">假设开发法!$A$1:$K$32</definedName>
    <definedName name="_xlnm.Print_Area" localSheetId="19">结果表!$A$1:$I$127</definedName>
    <definedName name="_xlnm.Print_Area" localSheetId="26">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I36" i="33"/>
  <c r="G36" i="33"/>
  <c r="E36" i="33"/>
  <c r="I7" i="33"/>
  <c r="G7" i="33"/>
  <c r="E7" i="33"/>
  <c r="J303" i="81"/>
  <c r="H303" i="81"/>
  <c r="J263" i="81"/>
  <c r="H263" i="81"/>
  <c r="K205" i="81"/>
  <c r="M152" i="81"/>
  <c r="K113" i="81"/>
  <c r="I113" i="81"/>
  <c r="K152" i="81"/>
  <c r="J205" i="81"/>
  <c r="H205" i="81"/>
  <c r="D5" i="9"/>
  <c r="H152" i="81"/>
  <c r="G113" i="81"/>
  <c r="R11" i="81"/>
  <c r="Q89" i="81"/>
  <c r="Q88" i="81"/>
  <c r="Q87" i="81"/>
  <c r="Q16" i="81"/>
  <c r="Q15" i="81"/>
  <c r="Q12" i="81"/>
  <c r="Q11" i="81"/>
  <c r="Q8" i="81"/>
  <c r="Q7" i="81"/>
  <c r="G51" i="43"/>
  <c r="G52" i="43"/>
  <c r="G53" i="43"/>
  <c r="G54" i="43"/>
  <c r="G55" i="43"/>
  <c r="G56" i="43"/>
  <c r="G57" i="43"/>
  <c r="G58" i="43"/>
  <c r="G50" i="43"/>
  <c r="D33" i="43"/>
  <c r="AH6" i="1"/>
  <c r="Y6" i="1"/>
  <c r="N6" i="1"/>
  <c r="N20" i="1"/>
  <c r="N22" i="1" s="1"/>
  <c r="B58" i="1"/>
  <c r="F19" i="6"/>
  <c r="D3" i="4"/>
  <c r="K303" i="81" l="1"/>
  <c r="K263" i="8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13" i="79" l="1"/>
  <c r="S14" i="79"/>
  <c r="R17" i="79"/>
  <c r="V17" i="79"/>
  <c r="M26" i="79"/>
  <c r="P26" i="79" s="1"/>
  <c r="Z3" i="79"/>
  <c r="R13" i="79"/>
  <c r="T15" i="79"/>
  <c r="W15" i="79" s="1"/>
  <c r="U17" i="79"/>
  <c r="S28" i="79"/>
  <c r="AA26" i="79"/>
  <c r="AD26" i="79" s="1"/>
  <c r="T30" i="79"/>
  <c r="W30" i="79" s="1"/>
  <c r="U36" i="79"/>
  <c r="AD37" i="79"/>
  <c r="S38" i="79"/>
  <c r="U40" i="79"/>
  <c r="AD41"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O39" i="71"/>
  <c r="N39" i="71"/>
  <c r="X39" i="71"/>
  <c r="Q38" i="71"/>
  <c r="P38" i="71"/>
  <c r="O38" i="71"/>
  <c r="N38" i="71"/>
  <c r="X36" i="71" s="1"/>
  <c r="Q37" i="71"/>
  <c r="AB37" i="71" s="1"/>
  <c r="P37" i="71"/>
  <c r="AA37" i="71" s="1"/>
  <c r="O37" i="71"/>
  <c r="Y37" i="71" s="1"/>
  <c r="Z37" i="71" s="1"/>
  <c r="N37" i="71"/>
  <c r="B38" i="71" s="1"/>
  <c r="D37" i="71"/>
  <c r="Q36" i="71"/>
  <c r="P36" i="71"/>
  <c r="AA35" i="71" s="1"/>
  <c r="O36" i="71"/>
  <c r="N36" i="71"/>
  <c r="X35"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X38" i="71"/>
  <c r="Y27" i="71"/>
  <c r="Z27" i="71" s="1"/>
  <c r="B28" i="71"/>
  <c r="B27" i="71" s="1"/>
  <c r="B26" i="71"/>
  <c r="X26" i="71"/>
  <c r="D30" i="71"/>
  <c r="C43" i="71"/>
  <c r="C44" i="71" s="1"/>
  <c r="C47" i="71"/>
  <c r="D47" i="71"/>
  <c r="D46" i="71"/>
  <c r="P28" i="71"/>
  <c r="E28" i="71" s="1"/>
  <c r="E59" i="71"/>
  <c r="E60" i="71"/>
  <c r="U60" i="71" s="1"/>
  <c r="U68" i="71"/>
  <c r="E67" i="71"/>
  <c r="Q28" i="71"/>
  <c r="AB25" i="71" s="1"/>
  <c r="C59" i="71"/>
  <c r="D58" i="71"/>
  <c r="C63" i="71"/>
  <c r="C64" i="71" s="1"/>
  <c r="D62" i="71"/>
  <c r="N67" i="71"/>
  <c r="B66" i="71"/>
  <c r="N65" i="71" s="1"/>
  <c r="T68" i="71"/>
  <c r="O68" i="71"/>
  <c r="D68" i="71"/>
  <c r="C67" i="71"/>
  <c r="D67" i="71" s="1"/>
  <c r="Q68" i="71"/>
  <c r="C71" i="71"/>
  <c r="E71" i="71"/>
  <c r="E70" i="71" s="1"/>
  <c r="D72" i="71"/>
  <c r="C75" i="71"/>
  <c r="E75" i="71"/>
  <c r="E74" i="71" s="1"/>
  <c r="D76" i="71"/>
  <c r="C79" i="71"/>
  <c r="E79" i="71"/>
  <c r="E78" i="71" s="1"/>
  <c r="D80" i="71"/>
  <c r="C83" i="71"/>
  <c r="C87" i="71"/>
  <c r="C86" i="71" s="1"/>
  <c r="D86" i="71" s="1"/>
  <c r="F28" i="71"/>
  <c r="F27" i="71" s="1"/>
  <c r="F26" i="71" s="1"/>
  <c r="AB27" i="71"/>
  <c r="AA3" i="71"/>
  <c r="AA28" i="71"/>
  <c r="O67" i="71"/>
  <c r="D63" i="71"/>
  <c r="D83" i="71"/>
  <c r="C82" i="71"/>
  <c r="D82" i="71"/>
  <c r="D75" i="71"/>
  <c r="C74" i="71"/>
  <c r="D74" i="71" s="1"/>
  <c r="N66" i="71"/>
  <c r="D79" i="71"/>
  <c r="C78" i="71"/>
  <c r="D78" i="71" s="1"/>
  <c r="D71" i="71"/>
  <c r="C70" i="71"/>
  <c r="D70"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AA37" i="33" s="1"/>
  <c r="D111" i="33"/>
  <c r="E111" i="33" s="1"/>
  <c r="F111" i="33" s="1"/>
  <c r="G111" i="33" s="1"/>
  <c r="H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AA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H29" i="33" s="1"/>
  <c r="B74" i="33"/>
  <c r="B72" i="33"/>
  <c r="F13" i="33" s="1"/>
  <c r="S13" i="33" s="1"/>
  <c r="B70" i="33"/>
  <c r="J12" i="33" s="1"/>
  <c r="D96" i="35"/>
  <c r="E96" i="35"/>
  <c r="F96" i="35"/>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Q39" i="33"/>
  <c r="Z39" i="33" s="1"/>
  <c r="J39" i="33"/>
  <c r="AC39" i="33" s="1"/>
  <c r="Q38" i="33"/>
  <c r="Z38" i="33" s="1"/>
  <c r="J38" i="33"/>
  <c r="AC38" i="33"/>
  <c r="H38" i="33"/>
  <c r="AB38" i="33" s="1"/>
  <c r="F38" i="33"/>
  <c r="AA38" i="33"/>
  <c r="Q37" i="33"/>
  <c r="Z37" i="33" s="1"/>
  <c r="Q36" i="33"/>
  <c r="Z36" i="33"/>
  <c r="Q35" i="33"/>
  <c r="Z35" i="33" s="1"/>
  <c r="H35" i="33"/>
  <c r="AB35" i="33" s="1"/>
  <c r="Q34" i="33"/>
  <c r="Z34" i="33" s="1"/>
  <c r="Q33" i="33"/>
  <c r="Z33" i="33"/>
  <c r="AB33" i="33"/>
  <c r="AA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s="1"/>
  <c r="B96" i="21"/>
  <c r="B94" i="21"/>
  <c r="J29" i="21" s="1"/>
  <c r="B92" i="21"/>
  <c r="B90" i="21"/>
  <c r="J27" i="21" s="1"/>
  <c r="W27" i="21" s="1"/>
  <c r="B74" i="21"/>
  <c r="B72" i="21"/>
  <c r="H13" i="2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J35" i="39"/>
  <c r="AC35" i="39" s="1"/>
  <c r="F35" i="39"/>
  <c r="AA35" i="39"/>
  <c r="W25" i="37"/>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s="1"/>
  <c r="F26" i="33"/>
  <c r="AA26" i="33" s="1"/>
  <c r="W39" i="33"/>
  <c r="H39" i="37"/>
  <c r="AB39" i="37"/>
  <c r="F11" i="40"/>
  <c r="AA11" i="40"/>
  <c r="H11" i="40"/>
  <c r="AB11" i="40" s="1"/>
  <c r="W8" i="40"/>
  <c r="U9" i="40"/>
  <c r="U38" i="40"/>
  <c r="F42" i="39"/>
  <c r="AA42" i="39" s="1"/>
  <c r="F41" i="39"/>
  <c r="S41" i="39" s="1"/>
  <c r="H40" i="39"/>
  <c r="AB40" i="39" s="1"/>
  <c r="H39" i="39"/>
  <c r="U39" i="39" s="1"/>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12" i="35"/>
  <c r="AB12" i="36"/>
  <c r="W32" i="40"/>
  <c r="S44" i="39"/>
  <c r="J34" i="36"/>
  <c r="W34" i="36" s="1"/>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AA41" i="33" s="1"/>
  <c r="S38" i="33"/>
  <c r="E113" i="33"/>
  <c r="F32" i="33"/>
  <c r="AA32" i="33" s="1"/>
  <c r="J19" i="33"/>
  <c r="AC19" i="33" s="1"/>
  <c r="J15" i="33"/>
  <c r="AC15" i="33" s="1"/>
  <c r="F37" i="40"/>
  <c r="AA37" i="40" s="1"/>
  <c r="F36" i="40"/>
  <c r="AA36" i="40" s="1"/>
  <c r="H28" i="40"/>
  <c r="U28" i="40" s="1"/>
  <c r="F23" i="40"/>
  <c r="AA23" i="40" s="1"/>
  <c r="F17" i="40"/>
  <c r="AA17" i="40" s="1"/>
  <c r="J17" i="40"/>
  <c r="W17" i="40" s="1"/>
  <c r="F15" i="40"/>
  <c r="S15" i="40" s="1"/>
  <c r="H15" i="40"/>
  <c r="AB15" i="40"/>
  <c r="AC11" i="40"/>
  <c r="AA12" i="36"/>
  <c r="AB30" i="36"/>
  <c r="F29" i="35"/>
  <c r="S29" i="35" s="1"/>
  <c r="H29" i="35"/>
  <c r="AB29" i="35" s="1"/>
  <c r="H33" i="37"/>
  <c r="F33" i="37"/>
  <c r="AA33" i="37" s="1"/>
  <c r="U34" i="37"/>
  <c r="AA34" i="37"/>
  <c r="J43" i="34"/>
  <c r="AB42" i="34"/>
  <c r="J40" i="34"/>
  <c r="H38" i="34"/>
  <c r="AB38" i="34" s="1"/>
  <c r="J36" i="34"/>
  <c r="W36" i="34" s="1"/>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F28" i="40"/>
  <c r="AA28" i="40" s="1"/>
  <c r="AA42" i="34"/>
  <c r="S42" i="34"/>
  <c r="AC38" i="34"/>
  <c r="AA38" i="34"/>
  <c r="J37" i="34"/>
  <c r="AC37" i="34" s="1"/>
  <c r="J11" i="33"/>
  <c r="W11" i="33" s="1"/>
  <c r="I123" i="21"/>
  <c r="J123" i="21" s="1"/>
  <c r="K123" i="21" s="1"/>
  <c r="L123" i="21" s="1"/>
  <c r="M123" i="21"/>
  <c r="J42" i="21"/>
  <c r="AC42" i="21" s="1"/>
  <c r="H42" i="21"/>
  <c r="U42" i="2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s="1"/>
  <c r="H13" i="33"/>
  <c r="U13" i="33" s="1"/>
  <c r="J29" i="33"/>
  <c r="J31" i="33"/>
  <c r="W31" i="33"/>
  <c r="H31" i="33"/>
  <c r="F31" i="33"/>
  <c r="H45" i="33"/>
  <c r="U45" i="33"/>
  <c r="J45" i="33"/>
  <c r="W45" i="33" s="1"/>
  <c r="F45" i="33"/>
  <c r="AA45" i="33" s="1"/>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H30" i="33"/>
  <c r="AB30" i="33"/>
  <c r="F30" i="33"/>
  <c r="J30" i="33"/>
  <c r="H44" i="33"/>
  <c r="J44" i="33"/>
  <c r="W44" i="33" s="1"/>
  <c r="AC44" i="33"/>
  <c r="F44" i="33"/>
  <c r="S44" i="33" s="1"/>
  <c r="J46" i="33"/>
  <c r="AC46" i="33"/>
  <c r="F46" i="33"/>
  <c r="AA46" i="33" s="1"/>
  <c r="H46" i="33"/>
  <c r="AB46" i="33" s="1"/>
  <c r="H13" i="34"/>
  <c r="U13" i="34" s="1"/>
  <c r="J13" i="34"/>
  <c r="W13" i="34" s="1"/>
  <c r="F13" i="34"/>
  <c r="AA13" i="34" s="1"/>
  <c r="J29" i="34"/>
  <c r="F29" i="34"/>
  <c r="S29" i="34" s="1"/>
  <c r="H29" i="34"/>
  <c r="AB29" i="34" s="1"/>
  <c r="J31" i="34"/>
  <c r="W31" i="34" s="1"/>
  <c r="AC31" i="34"/>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s="1"/>
  <c r="J35" i="35"/>
  <c r="AC35" i="35" s="1"/>
  <c r="F35" i="35"/>
  <c r="AA35" i="35"/>
  <c r="H35" i="35"/>
  <c r="J25" i="36"/>
  <c r="W25" i="36"/>
  <c r="F25" i="36"/>
  <c r="S25" i="36" s="1"/>
  <c r="H25" i="36"/>
  <c r="AB25" i="36" s="1"/>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AA44" i="33"/>
  <c r="U46" i="33"/>
  <c r="AA14" i="33"/>
  <c r="J36" i="37"/>
  <c r="AC36" i="37" s="1"/>
  <c r="J10" i="36"/>
  <c r="AC10" i="36" s="1"/>
  <c r="AB30" i="21"/>
  <c r="AA14" i="37"/>
  <c r="S11" i="36"/>
  <c r="AB46" i="34"/>
  <c r="S45" i="33"/>
  <c r="AB45" i="33"/>
  <c r="AC28" i="21"/>
  <c r="S44" i="34"/>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AZ534" i="3" s="1"/>
  <c r="BL530" i="3"/>
  <c r="BL526" i="3"/>
  <c r="BL522" i="3"/>
  <c r="BL516" i="3"/>
  <c r="BL512" i="3"/>
  <c r="AZ512" i="3" s="1"/>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BA544" i="3"/>
  <c r="AZ544" i="3" s="1"/>
  <c r="BA542" i="3"/>
  <c r="AZ542" i="3"/>
  <c r="BA540" i="3"/>
  <c r="BA538" i="3"/>
  <c r="AZ538" i="3"/>
  <c r="BA536" i="3"/>
  <c r="AZ536" i="3"/>
  <c r="BA534" i="3"/>
  <c r="BA532" i="3"/>
  <c r="AZ532" i="3"/>
  <c r="BA530" i="3"/>
  <c r="BA528" i="3"/>
  <c r="BA526" i="3"/>
  <c r="AZ526" i="3" s="1"/>
  <c r="BA524" i="3"/>
  <c r="AZ524" i="3" s="1"/>
  <c r="BA522" i="3"/>
  <c r="BA520" i="3"/>
  <c r="BA518" i="3"/>
  <c r="AZ518" i="3" s="1"/>
  <c r="BA516" i="3"/>
  <c r="AZ516" i="3" s="1"/>
  <c r="BA514" i="3"/>
  <c r="BA512" i="3"/>
  <c r="BA510" i="3"/>
  <c r="AZ510" i="3" s="1"/>
  <c r="BA508" i="3"/>
  <c r="AZ508" i="3" s="1"/>
  <c r="BA506" i="3"/>
  <c r="BA504" i="3"/>
  <c r="AZ504" i="3" s="1"/>
  <c r="BA502" i="3"/>
  <c r="BA500" i="3"/>
  <c r="BA498" i="3"/>
  <c r="AZ498" i="3" s="1"/>
  <c r="BA496" i="3"/>
  <c r="BA494" i="3"/>
  <c r="BA587" i="3"/>
  <c r="BA583" i="3"/>
  <c r="BA581" i="3"/>
  <c r="BA579" i="3"/>
  <c r="BA577" i="3"/>
  <c r="BA575" i="3"/>
  <c r="BA573" i="3"/>
  <c r="BA571" i="3"/>
  <c r="AZ571" i="3" s="1"/>
  <c r="BA569" i="3"/>
  <c r="BA567" i="3"/>
  <c r="BA565" i="3"/>
  <c r="BA563" i="3"/>
  <c r="AZ563" i="3" s="1"/>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C31" i="33"/>
  <c r="AC45"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5" i="3"/>
  <c r="H19" i="40"/>
  <c r="U19" i="40" s="1"/>
  <c r="F88" i="40"/>
  <c r="G88" i="40" s="1"/>
  <c r="F19" i="40"/>
  <c r="S19" i="40" s="1"/>
  <c r="AC13" i="40"/>
  <c r="AB33" i="40"/>
  <c r="W23" i="39"/>
  <c r="AC43" i="39"/>
  <c r="W43" i="39"/>
  <c r="U45" i="39"/>
  <c r="AB45" i="39"/>
  <c r="AB44" i="39"/>
  <c r="U44" i="39"/>
  <c r="G100" i="39"/>
  <c r="H37" i="39"/>
  <c r="AB37" i="39" s="1"/>
  <c r="H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S11" i="39" s="1"/>
  <c r="AA11" i="39"/>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168"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94" i="3"/>
  <c r="AZ198" i="3"/>
  <c r="AZ500"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AZ249" i="3"/>
  <c r="AZ269" i="3"/>
  <c r="BA379" i="3"/>
  <c r="AZ379" i="3" s="1"/>
  <c r="BL380" i="3"/>
  <c r="G381" i="3"/>
  <c r="BA383" i="3"/>
  <c r="AZ383" i="3" s="1"/>
  <c r="BL384" i="3"/>
  <c r="G385" i="3"/>
  <c r="BA387" i="3"/>
  <c r="BL388" i="3"/>
  <c r="G389" i="3"/>
  <c r="BA391" i="3"/>
  <c r="BL392" i="3"/>
  <c r="AZ392" i="3" s="1"/>
  <c r="G393" i="3"/>
  <c r="BO5" i="3"/>
  <c r="BM5" i="3"/>
  <c r="F29" i="6" s="1"/>
  <c r="BJ5" i="3"/>
  <c r="BH5" i="3"/>
  <c r="BF5" i="3"/>
  <c r="AZ325" i="3"/>
  <c r="AZ341" i="3"/>
  <c r="AC5" i="3"/>
  <c r="AZ506" i="3"/>
  <c r="AZ496" i="3"/>
  <c r="G548" i="3"/>
  <c r="G538" i="3"/>
  <c r="G520" i="3"/>
  <c r="G502" i="3"/>
  <c r="BS5" i="3"/>
  <c r="BP5" i="3"/>
  <c r="BN5" i="3"/>
  <c r="BK5" i="3"/>
  <c r="BI5" i="3"/>
  <c r="BG5" i="3"/>
  <c r="BE5" i="3"/>
  <c r="BC5" i="3"/>
  <c r="G17" i="3"/>
  <c r="BA17" i="3"/>
  <c r="AZ350" i="3"/>
  <c r="BA15" i="3"/>
  <c r="BB5" i="3"/>
  <c r="BR5" i="3"/>
  <c r="AZ509" i="3"/>
  <c r="G509" i="3"/>
  <c r="BL493" i="3"/>
  <c r="AZ493" i="3"/>
  <c r="U36" i="40"/>
  <c r="F83" i="43"/>
  <c r="H85" i="43" s="1"/>
  <c r="F50" i="43"/>
  <c r="H54" i="43" s="1"/>
  <c r="F72" i="43"/>
  <c r="H75" i="43" s="1"/>
  <c r="U17" i="39"/>
  <c r="S14" i="35"/>
  <c r="U43" i="21"/>
  <c r="U35" i="21"/>
  <c r="AC35" i="21"/>
  <c r="G10" i="1"/>
  <c r="AC11" i="39"/>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AC14" i="35"/>
  <c r="H20" i="35"/>
  <c r="U20" i="35"/>
  <c r="F20" i="35"/>
  <c r="AB29" i="36"/>
  <c r="U29" i="36"/>
  <c r="H32" i="37"/>
  <c r="AB32" i="37" s="1"/>
  <c r="F96" i="37"/>
  <c r="H27" i="40"/>
  <c r="AB27" i="40" s="1"/>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AZ251"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K6" i="1"/>
  <c r="AP6" i="1" s="1"/>
  <c r="G29" i="6"/>
  <c r="W27" i="34"/>
  <c r="AC27" i="34"/>
  <c r="AB34" i="36"/>
  <c r="U34" i="36"/>
  <c r="AB33" i="36"/>
  <c r="W12" i="39"/>
  <c r="AZ465" i="3"/>
  <c r="W12" i="33"/>
  <c r="AC12" i="33"/>
  <c r="AA32" i="36"/>
  <c r="S32" i="36"/>
  <c r="BL14" i="3"/>
  <c r="U30" i="33"/>
  <c r="AC13" i="34"/>
  <c r="AA47" i="34"/>
  <c r="W28" i="37"/>
  <c r="S19" i="39"/>
  <c r="F12" i="33"/>
  <c r="H12" i="39"/>
  <c r="U12" i="39" s="1"/>
  <c r="AB12" i="39"/>
  <c r="F39" i="40"/>
  <c r="BA14" i="3"/>
  <c r="AZ157" i="3"/>
  <c r="AZ173" i="3"/>
  <c r="AZ181"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A19" i="40"/>
  <c r="S28" i="40"/>
  <c r="U21" i="40"/>
  <c r="AB19" i="40"/>
  <c r="U37" i="39"/>
  <c r="U35" i="39"/>
  <c r="F32" i="39"/>
  <c r="F106" i="39"/>
  <c r="G106" i="39" s="1"/>
  <c r="H106" i="39" s="1"/>
  <c r="I106" i="39" s="1"/>
  <c r="J106" i="39" s="1"/>
  <c r="K106" i="39" s="1"/>
  <c r="L106" i="39" s="1"/>
  <c r="M106" i="39" s="1"/>
  <c r="AB27" i="39"/>
  <c r="J21" i="39"/>
  <c r="W21" i="39" s="1"/>
  <c r="F21" i="39"/>
  <c r="G94" i="39"/>
  <c r="H21" i="39"/>
  <c r="AB21" i="39" s="1"/>
  <c r="W19" i="39"/>
  <c r="U19" i="39"/>
  <c r="S17" i="39"/>
  <c r="S15" i="39"/>
  <c r="AA12" i="39"/>
  <c r="S9" i="39"/>
  <c r="U14" i="39"/>
  <c r="AC13"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F75" i="37"/>
  <c r="F19" i="37"/>
  <c r="F79" i="37"/>
  <c r="F23" i="37"/>
  <c r="S23" i="37" s="1"/>
  <c r="U23" i="37"/>
  <c r="U15" i="37"/>
  <c r="AC13" i="37"/>
  <c r="AA13" i="37"/>
  <c r="H10" i="37"/>
  <c r="AB10" i="37" s="1"/>
  <c r="F63" i="37"/>
  <c r="F11" i="37"/>
  <c r="S11" i="37" s="1"/>
  <c r="W25" i="34"/>
  <c r="AB8" i="34"/>
  <c r="AA33" i="34"/>
  <c r="U43" i="34"/>
  <c r="AC39" i="34"/>
  <c r="AC42" i="34"/>
  <c r="AB35" i="34"/>
  <c r="U39" i="34"/>
  <c r="AB41" i="34"/>
  <c r="AA45" i="34"/>
  <c r="AA25" i="34"/>
  <c r="S17" i="34"/>
  <c r="AA29" i="34"/>
  <c r="S23" i="34"/>
  <c r="U15" i="34"/>
  <c r="S13" i="34"/>
  <c r="H10" i="34"/>
  <c r="AB10" i="34" s="1"/>
  <c r="F11" i="34"/>
  <c r="S11" i="34" s="1"/>
  <c r="F70" i="34"/>
  <c r="W38" i="33"/>
  <c r="H41" i="33"/>
  <c r="F121" i="33"/>
  <c r="G121" i="33" s="1"/>
  <c r="H121" i="33" s="1"/>
  <c r="I121" i="33" s="1"/>
  <c r="J121" i="33" s="1"/>
  <c r="K121" i="33" s="1"/>
  <c r="L121" i="33" s="1"/>
  <c r="M121" i="33" s="1"/>
  <c r="G108" i="33"/>
  <c r="H108" i="33" s="1"/>
  <c r="I108" i="33" s="1"/>
  <c r="J108" i="33" s="1"/>
  <c r="K108" i="33" s="1"/>
  <c r="L108" i="33" s="1"/>
  <c r="M108" i="33" s="1"/>
  <c r="J35" i="33"/>
  <c r="AC35" i="33" s="1"/>
  <c r="S37" i="33"/>
  <c r="F101" i="33"/>
  <c r="G101" i="33"/>
  <c r="H101" i="33" s="1"/>
  <c r="I101" i="33" s="1"/>
  <c r="J101" i="33" s="1"/>
  <c r="K101" i="33" s="1"/>
  <c r="L101" i="33" s="1"/>
  <c r="M101" i="33" s="1"/>
  <c r="J32" i="33"/>
  <c r="AC32" i="33" s="1"/>
  <c r="S46" i="33"/>
  <c r="W43" i="33"/>
  <c r="S43" i="33"/>
  <c r="F91" i="33"/>
  <c r="H27" i="33"/>
  <c r="U27" i="33" s="1"/>
  <c r="F87" i="33"/>
  <c r="H25" i="33"/>
  <c r="AB25" i="33" s="1"/>
  <c r="F25" i="33"/>
  <c r="AA25" i="33" s="1"/>
  <c r="J23" i="33"/>
  <c r="AC23" i="33" s="1"/>
  <c r="H23" i="33"/>
  <c r="U23" i="33" s="1"/>
  <c r="F81" i="33"/>
  <c r="G81" i="33" s="1"/>
  <c r="F19" i="33"/>
  <c r="S19" i="33" s="1"/>
  <c r="W19" i="33"/>
  <c r="J17" i="33"/>
  <c r="W17" i="33" s="1"/>
  <c r="F79" i="33"/>
  <c r="G79" i="33" s="1"/>
  <c r="J10" i="33"/>
  <c r="W10" i="33" s="1"/>
  <c r="H10" i="33"/>
  <c r="U10" i="33" s="1"/>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G13" i="3"/>
  <c r="BL17" i="3"/>
  <c r="AZ17" i="3" s="1"/>
  <c r="J56" i="9"/>
  <c r="J57" i="9" s="1"/>
  <c r="J59" i="9" s="1"/>
  <c r="J61" i="9"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8" i="33"/>
  <c r="U44" i="33"/>
  <c r="AB44" i="33"/>
  <c r="S30" i="33"/>
  <c r="AA30" i="33"/>
  <c r="AC14" i="33"/>
  <c r="W14" i="33"/>
  <c r="AC30" i="33"/>
  <c r="W30" i="33"/>
  <c r="S31" i="33"/>
  <c r="AA31" i="33"/>
  <c r="AC28" i="33"/>
  <c r="W9"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9" i="21"/>
  <c r="W39" i="21"/>
  <c r="AC14" i="21"/>
  <c r="W30" i="21"/>
  <c r="S46" i="21"/>
  <c r="H45" i="21"/>
  <c r="U45" i="21" s="1"/>
  <c r="F29" i="21"/>
  <c r="AA29" i="21" s="1"/>
  <c r="F13" i="21"/>
  <c r="AC38" i="21"/>
  <c r="H32" i="21"/>
  <c r="H9" i="21"/>
  <c r="AB9" i="21" s="1"/>
  <c r="J9" i="21"/>
  <c r="W9" i="21" s="1"/>
  <c r="J32" i="21"/>
  <c r="W32" i="21" s="1"/>
  <c r="F32" i="21"/>
  <c r="AA31" i="21"/>
  <c r="U17"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AA39" i="40"/>
  <c r="S39" i="40"/>
  <c r="S12" i="33"/>
  <c r="AA12" i="33"/>
  <c r="J32" i="39"/>
  <c r="H32" i="39"/>
  <c r="AB32" i="39" s="1"/>
  <c r="AA32" i="39"/>
  <c r="S32" i="39"/>
  <c r="U21" i="39"/>
  <c r="AA21" i="39"/>
  <c r="S21" i="39"/>
  <c r="AC17" i="37"/>
  <c r="S17" i="37"/>
  <c r="J19" i="37"/>
  <c r="W19" i="37" s="1"/>
  <c r="G75" i="37"/>
  <c r="AA23" i="37"/>
  <c r="J23" i="37"/>
  <c r="W23" i="37" s="1"/>
  <c r="G79" i="37"/>
  <c r="J10" i="37"/>
  <c r="W10" i="37" s="1"/>
  <c r="G63" i="37"/>
  <c r="H63" i="37" s="1"/>
  <c r="I63" i="37" s="1"/>
  <c r="H11" i="37"/>
  <c r="AB11" i="37" s="1"/>
  <c r="G70" i="34"/>
  <c r="H70" i="34" s="1"/>
  <c r="I70" i="34" s="1"/>
  <c r="J70" i="34" s="1"/>
  <c r="H11" i="34"/>
  <c r="U11" i="34" s="1"/>
  <c r="J10" i="34"/>
  <c r="AC10" i="34" s="1"/>
  <c r="AB41" i="33"/>
  <c r="U41" i="33"/>
  <c r="W35" i="33"/>
  <c r="G91" i="33"/>
  <c r="H91" i="33"/>
  <c r="I91" i="33" s="1"/>
  <c r="J91" i="33" s="1"/>
  <c r="K91" i="33" s="1"/>
  <c r="L91" i="33" s="1"/>
  <c r="M91" i="33" s="1"/>
  <c r="J27" i="33"/>
  <c r="W27" i="33" s="1"/>
  <c r="G87" i="33"/>
  <c r="H87" i="33" s="1"/>
  <c r="I87" i="33"/>
  <c r="J87" i="33" s="1"/>
  <c r="K87" i="33" s="1"/>
  <c r="L87" i="33" s="1"/>
  <c r="M87" i="33" s="1"/>
  <c r="J25" i="33"/>
  <c r="AC25" i="33" s="1"/>
  <c r="F23" i="33"/>
  <c r="G85" i="33"/>
  <c r="H19" i="33"/>
  <c r="U19" i="33" s="1"/>
  <c r="H17" i="33"/>
  <c r="U17" i="33" s="1"/>
  <c r="F17" i="33"/>
  <c r="S17" i="33" s="1"/>
  <c r="S37" i="21"/>
  <c r="AA23" i="21"/>
  <c r="AB15" i="21"/>
  <c r="J23" i="21"/>
  <c r="AC23" i="21" s="1"/>
  <c r="F85" i="21"/>
  <c r="G85" i="21" s="1"/>
  <c r="H23" i="21"/>
  <c r="AB23" i="21" s="1"/>
  <c r="D6" i="52"/>
  <c r="AP7" i="1"/>
  <c r="AB45" i="21"/>
  <c r="U9" i="21"/>
  <c r="AA32" i="21"/>
  <c r="S32" i="21"/>
  <c r="AB32" i="21"/>
  <c r="U32" i="21"/>
  <c r="A18" i="62"/>
  <c r="B64" i="72" s="1"/>
  <c r="AC32" i="39"/>
  <c r="W32" i="39"/>
  <c r="J63" i="37"/>
  <c r="K63" i="37" s="1"/>
  <c r="L63" i="37" s="1"/>
  <c r="M63" i="37" s="1"/>
  <c r="J11" i="37"/>
  <c r="AC11" i="37" s="1"/>
  <c r="K70" i="34"/>
  <c r="L70" i="34" s="1"/>
  <c r="M70" i="34" s="1"/>
  <c r="J11" i="34"/>
  <c r="W11" i="34" s="1"/>
  <c r="W23" i="21"/>
  <c r="H109" i="9"/>
  <c r="M49" i="9" s="1"/>
  <c r="H112" i="9"/>
  <c r="D21" i="53"/>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1" i="76"/>
  <c r="E10" i="76"/>
  <c r="B10" i="76"/>
  <c r="F43" i="67"/>
  <c r="F6" i="73"/>
  <c r="F7" i="73"/>
  <c r="L48" i="67"/>
  <c r="F26" i="67"/>
  <c r="E8" i="76"/>
  <c r="F13" i="67"/>
  <c r="D35" i="9"/>
  <c r="J15" i="67"/>
  <c r="M28" i="15"/>
  <c r="M24" i="67"/>
  <c r="M22" i="15"/>
  <c r="L47" i="67"/>
  <c r="M23" i="67"/>
  <c r="M22" i="67"/>
  <c r="E9" i="76"/>
  <c r="F20" i="31"/>
  <c r="M6" i="67"/>
  <c r="E2" i="68"/>
  <c r="D34" i="9"/>
  <c r="B7" i="76"/>
  <c r="F16" i="67"/>
  <c r="M29" i="67"/>
  <c r="M8" i="15"/>
  <c r="F8" i="67"/>
  <c r="E12" i="76"/>
  <c r="F6" i="15"/>
  <c r="E7" i="76"/>
  <c r="C76" i="67"/>
  <c r="F5" i="73"/>
  <c r="B12" i="76"/>
  <c r="B9" i="76"/>
  <c r="F36" i="67"/>
  <c r="B8" i="76"/>
  <c r="F37" i="67"/>
  <c r="F7" i="67"/>
  <c r="M23" i="15"/>
  <c r="M8" i="67"/>
  <c r="D6" i="73"/>
  <c r="M29" i="15"/>
  <c r="B11" i="76"/>
  <c r="B13" i="76"/>
  <c r="M26" i="67"/>
  <c r="F40" i="67"/>
  <c r="M9" i="67"/>
  <c r="F3" i="73"/>
  <c r="M28" i="67"/>
  <c r="F9" i="67"/>
  <c r="E2" i="69"/>
  <c r="F38" i="15"/>
  <c r="AO13" i="1"/>
  <c r="E13" i="76"/>
  <c r="F42" i="67"/>
  <c r="F4" i="73"/>
  <c r="F38" i="67"/>
  <c r="S33" i="33" l="1"/>
  <c r="U40" i="33"/>
  <c r="AA40" i="33"/>
  <c r="I111" i="33"/>
  <c r="J111" i="33" s="1"/>
  <c r="K111" i="33" s="1"/>
  <c r="L111" i="33" s="1"/>
  <c r="M111" i="33" s="1"/>
  <c r="AA36" i="33"/>
  <c r="U36" i="33"/>
  <c r="W36" i="33"/>
  <c r="U29" i="33"/>
  <c r="AB29" i="33"/>
  <c r="F29" i="33"/>
  <c r="AC27" i="33"/>
  <c r="U39" i="33"/>
  <c r="S42" i="33"/>
  <c r="U42" i="33"/>
  <c r="W42" i="33"/>
  <c r="U37" i="33"/>
  <c r="U35" i="33"/>
  <c r="U33" i="33"/>
  <c r="W32" i="33"/>
  <c r="S32" i="33"/>
  <c r="U32" i="33"/>
  <c r="S28" i="33"/>
  <c r="AB27" i="33"/>
  <c r="S27" i="33"/>
  <c r="W26" i="33"/>
  <c r="AB26" i="33"/>
  <c r="S26" i="33"/>
  <c r="S25" i="33"/>
  <c r="U25" i="33"/>
  <c r="W25" i="33"/>
  <c r="AA19" i="33"/>
  <c r="AB19" i="33"/>
  <c r="W15" i="33"/>
  <c r="U15" i="33"/>
  <c r="S15" i="33"/>
  <c r="J13" i="33"/>
  <c r="AB14" i="33"/>
  <c r="H11" i="33"/>
  <c r="AB11" i="33" s="1"/>
  <c r="F11" i="33"/>
  <c r="AA11" i="33" s="1"/>
  <c r="AC11" i="33"/>
  <c r="U9" i="33"/>
  <c r="W8" i="33"/>
  <c r="F34" i="15"/>
  <c r="F62" i="15" s="1"/>
  <c r="M20" i="67"/>
  <c r="B41" i="1"/>
  <c r="D68" i="9"/>
  <c r="F30" i="69"/>
  <c r="F48" i="69" s="1"/>
  <c r="F31" i="12"/>
  <c r="F28" i="15"/>
  <c r="C28" i="15" s="1"/>
  <c r="F32" i="67"/>
  <c r="F60" i="67" s="1"/>
  <c r="F28" i="67"/>
  <c r="M18" i="15"/>
  <c r="M18" i="67"/>
  <c r="F30" i="11"/>
  <c r="C48" i="11" s="1"/>
  <c r="D93" i="9"/>
  <c r="C40" i="69"/>
  <c r="C40" i="11"/>
  <c r="D23" i="15"/>
  <c r="BA13" i="3"/>
  <c r="BT5" i="3"/>
  <c r="AA17" i="33"/>
  <c r="U23" i="21"/>
  <c r="AC23" i="37"/>
  <c r="AC17" i="33"/>
  <c r="AB23" i="33"/>
  <c r="W33" i="34"/>
  <c r="AA43" i="34"/>
  <c r="S43" i="34"/>
  <c r="S35" i="33"/>
  <c r="AA35" i="33"/>
  <c r="AA13" i="21"/>
  <c r="S13" i="21"/>
  <c r="AC17" i="21"/>
  <c r="AB25" i="39"/>
  <c r="U25" i="39"/>
  <c r="AA20" i="35"/>
  <c r="S20" i="35"/>
  <c r="U35" i="37"/>
  <c r="AB35" i="37"/>
  <c r="AC29" i="21"/>
  <c r="W29" i="21"/>
  <c r="U25" i="37"/>
  <c r="AB25" i="37"/>
  <c r="U32" i="39"/>
  <c r="AC9" i="21"/>
  <c r="S23" i="39"/>
  <c r="S19" i="37"/>
  <c r="AA19" i="37"/>
  <c r="AZ183" i="3"/>
  <c r="AZ579" i="3"/>
  <c r="F25" i="37"/>
  <c r="AB9" i="39"/>
  <c r="U9" i="39"/>
  <c r="AC40" i="39"/>
  <c r="W40" i="39"/>
  <c r="S9" i="40"/>
  <c r="AA34" i="40"/>
  <c r="S34" i="40"/>
  <c r="G566" i="3"/>
  <c r="G558" i="3"/>
  <c r="AZ387" i="3"/>
  <c r="AZ338" i="3"/>
  <c r="AZ371" i="3"/>
  <c r="AZ305" i="3"/>
  <c r="AZ199" i="3"/>
  <c r="AZ360" i="3"/>
  <c r="AZ529" i="3"/>
  <c r="AZ537" i="3"/>
  <c r="AZ546" i="3"/>
  <c r="AZ585" i="3"/>
  <c r="AA29" i="35"/>
  <c r="BL585" i="3"/>
  <c r="AC33" i="33"/>
  <c r="W33" i="33"/>
  <c r="F9" i="34"/>
  <c r="AA9" i="34" s="1"/>
  <c r="J9" i="34"/>
  <c r="H9" i="34"/>
  <c r="J12" i="34"/>
  <c r="H12" i="34"/>
  <c r="F12" i="34"/>
  <c r="S12" i="34" s="1"/>
  <c r="AB34" i="40"/>
  <c r="U34" i="40"/>
  <c r="J39" i="40"/>
  <c r="H39" i="40"/>
  <c r="AB34" i="33"/>
  <c r="U28" i="34"/>
  <c r="W41" i="34"/>
  <c r="AZ14" i="3"/>
  <c r="AZ15" i="3"/>
  <c r="AZ391" i="3"/>
  <c r="AZ364" i="3"/>
  <c r="AZ329" i="3"/>
  <c r="AZ304" i="3"/>
  <c r="AZ306" i="3"/>
  <c r="W35" i="40"/>
  <c r="AA13" i="33"/>
  <c r="AZ535" i="3"/>
  <c r="AZ557" i="3"/>
  <c r="AZ513" i="3"/>
  <c r="AZ575" i="3"/>
  <c r="AZ528" i="3"/>
  <c r="AZ574" i="3"/>
  <c r="AZ540" i="3"/>
  <c r="AZ502" i="3"/>
  <c r="S28" i="34"/>
  <c r="S38" i="39"/>
  <c r="J36" i="39"/>
  <c r="AC36" i="39" s="1"/>
  <c r="H12" i="33"/>
  <c r="U12" i="33" s="1"/>
  <c r="AC40" i="33"/>
  <c r="W40" i="33"/>
  <c r="AC8" i="34"/>
  <c r="W8" i="34"/>
  <c r="J37" i="39"/>
  <c r="F37" i="39"/>
  <c r="BA551" i="3"/>
  <c r="AZ551" i="3" s="1"/>
  <c r="BA550" i="3"/>
  <c r="AZ550" i="3" s="1"/>
  <c r="BL548" i="3"/>
  <c r="AZ548" i="3" s="1"/>
  <c r="S39" i="33"/>
  <c r="U27" i="34"/>
  <c r="AB17" i="37"/>
  <c r="S43" i="39"/>
  <c r="AZ357" i="3"/>
  <c r="AZ322" i="3"/>
  <c r="AZ313" i="3"/>
  <c r="AZ160" i="3"/>
  <c r="AZ394" i="3"/>
  <c r="S14" i="40"/>
  <c r="AA25" i="21"/>
  <c r="AZ519" i="3"/>
  <c r="AZ531" i="3"/>
  <c r="AZ573" i="3"/>
  <c r="AZ583" i="3"/>
  <c r="AZ568" i="3"/>
  <c r="AZ576" i="3"/>
  <c r="AA14" i="34"/>
  <c r="AB8" i="39"/>
  <c r="W31" i="40"/>
  <c r="H36" i="39"/>
  <c r="AA27" i="35"/>
  <c r="S27" i="35"/>
  <c r="H23" i="36"/>
  <c r="J23" i="36"/>
  <c r="J33" i="36"/>
  <c r="AC33" i="36" s="1"/>
  <c r="F33" i="36"/>
  <c r="H31" i="39"/>
  <c r="J31" i="39"/>
  <c r="AA38" i="40"/>
  <c r="BL424" i="3"/>
  <c r="AZ424" i="3" s="1"/>
  <c r="BL428" i="3"/>
  <c r="BL429" i="3"/>
  <c r="BA432" i="3"/>
  <c r="BL438" i="3"/>
  <c r="BL439" i="3"/>
  <c r="BA441" i="3"/>
  <c r="AZ441" i="3" s="1"/>
  <c r="B79" i="43"/>
  <c r="H23" i="35"/>
  <c r="G551" i="3"/>
  <c r="BL550" i="3"/>
  <c r="G542" i="3"/>
  <c r="BL398" i="3"/>
  <c r="G402" i="3"/>
  <c r="BL403" i="3"/>
  <c r="G405" i="3"/>
  <c r="G406" i="3"/>
  <c r="BA408" i="3"/>
  <c r="AZ408" i="3" s="1"/>
  <c r="BA409" i="3"/>
  <c r="AZ409" i="3" s="1"/>
  <c r="BA411" i="3"/>
  <c r="AZ411" i="3" s="1"/>
  <c r="BL414" i="3"/>
  <c r="BL415" i="3"/>
  <c r="BA417" i="3"/>
  <c r="AZ417" i="3" s="1"/>
  <c r="BL421" i="3"/>
  <c r="BL422" i="3"/>
  <c r="BL425" i="3"/>
  <c r="AZ425" i="3" s="1"/>
  <c r="BL426" i="3"/>
  <c r="BA428" i="3"/>
  <c r="AZ428" i="3" s="1"/>
  <c r="BA429" i="3"/>
  <c r="AZ429" i="3" s="1"/>
  <c r="BA430" i="3"/>
  <c r="AZ430" i="3" s="1"/>
  <c r="BL433" i="3"/>
  <c r="BL434" i="3"/>
  <c r="G436" i="3"/>
  <c r="BA439" i="3"/>
  <c r="BA440" i="3"/>
  <c r="AZ440" i="3" s="1"/>
  <c r="BA442" i="3"/>
  <c r="AZ442" i="3" s="1"/>
  <c r="BA446" i="3"/>
  <c r="G449" i="3"/>
  <c r="BL449" i="3"/>
  <c r="BL450" i="3"/>
  <c r="BL469" i="3"/>
  <c r="AZ480" i="3"/>
  <c r="BA485" i="3"/>
  <c r="G490" i="3"/>
  <c r="G585" i="3"/>
  <c r="BL587" i="3"/>
  <c r="AZ587" i="3" s="1"/>
  <c r="BL586" i="3"/>
  <c r="AZ586" i="3" s="1"/>
  <c r="BL15" i="3"/>
  <c r="BA398" i="3"/>
  <c r="BA399" i="3"/>
  <c r="AZ399" i="3" s="1"/>
  <c r="BL401" i="3"/>
  <c r="BL404" i="3"/>
  <c r="BL405" i="3"/>
  <c r="BL407" i="3"/>
  <c r="AZ407" i="3" s="1"/>
  <c r="BA412" i="3"/>
  <c r="AZ412" i="3" s="1"/>
  <c r="BA414" i="3"/>
  <c r="AZ414" i="3" s="1"/>
  <c r="BA415" i="3"/>
  <c r="BA416" i="3"/>
  <c r="AZ416" i="3" s="1"/>
  <c r="BA418" i="3"/>
  <c r="AZ418" i="3" s="1"/>
  <c r="BA421" i="3"/>
  <c r="AZ443" i="3"/>
  <c r="AZ469" i="3"/>
  <c r="BL16" i="3"/>
  <c r="AZ16" i="3" s="1"/>
  <c r="BA401" i="3"/>
  <c r="BA403" i="3"/>
  <c r="AZ403" i="3" s="1"/>
  <c r="BA404" i="3"/>
  <c r="AZ404" i="3" s="1"/>
  <c r="BA405" i="3"/>
  <c r="AZ405" i="3" s="1"/>
  <c r="G409" i="3"/>
  <c r="BL410" i="3"/>
  <c r="G412" i="3"/>
  <c r="G418" i="3"/>
  <c r="G419" i="3"/>
  <c r="BA422" i="3"/>
  <c r="AZ422" i="3" s="1"/>
  <c r="G429" i="3"/>
  <c r="BL432" i="3"/>
  <c r="BA434" i="3"/>
  <c r="BA436" i="3"/>
  <c r="AZ436" i="3" s="1"/>
  <c r="G445" i="3"/>
  <c r="BL445" i="3"/>
  <c r="BL446" i="3"/>
  <c r="BL451" i="3"/>
  <c r="AZ451" i="3" s="1"/>
  <c r="G456" i="3"/>
  <c r="AZ458" i="3"/>
  <c r="BA463" i="3"/>
  <c r="G467" i="3"/>
  <c r="G477" i="3"/>
  <c r="G481" i="3"/>
  <c r="G492" i="3"/>
  <c r="BA244" i="3"/>
  <c r="AZ244" i="3" s="1"/>
  <c r="BL244" i="3"/>
  <c r="BA246" i="3"/>
  <c r="BA252" i="3"/>
  <c r="AZ252" i="3" s="1"/>
  <c r="BA254" i="3"/>
  <c r="AZ254" i="3" s="1"/>
  <c r="BA256" i="3"/>
  <c r="AZ256" i="3" s="1"/>
  <c r="BL256" i="3"/>
  <c r="BA258" i="3"/>
  <c r="BL264" i="3"/>
  <c r="BA267" i="3"/>
  <c r="AZ267" i="3" s="1"/>
  <c r="BA274" i="3"/>
  <c r="AZ274" i="3" s="1"/>
  <c r="BL274" i="3"/>
  <c r="BL278" i="3"/>
  <c r="BA279" i="3"/>
  <c r="BA116" i="3"/>
  <c r="AZ116" i="3" s="1"/>
  <c r="BA121" i="3"/>
  <c r="AZ121" i="3" s="1"/>
  <c r="BL121"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AZ238" i="3" s="1"/>
  <c r="BA243" i="3"/>
  <c r="BL248" i="3"/>
  <c r="AZ248" i="3" s="1"/>
  <c r="G250" i="3"/>
  <c r="BL250" i="3"/>
  <c r="AZ250" i="3" s="1"/>
  <c r="G252" i="3"/>
  <c r="G254" i="3"/>
  <c r="BA259" i="3"/>
  <c r="AZ259" i="3" s="1"/>
  <c r="BL261" i="3"/>
  <c r="BA263" i="3"/>
  <c r="AZ263" i="3" s="1"/>
  <c r="G268" i="3"/>
  <c r="BA271" i="3"/>
  <c r="AZ271" i="3" s="1"/>
  <c r="BL271" i="3"/>
  <c r="G281" i="3"/>
  <c r="BA282" i="3"/>
  <c r="BL282" i="3"/>
  <c r="BA288" i="3"/>
  <c r="BL290" i="3"/>
  <c r="BL291" i="3"/>
  <c r="AZ291" i="3" s="1"/>
  <c r="BL293" i="3"/>
  <c r="BL294" i="3"/>
  <c r="BA297" i="3"/>
  <c r="AZ297" i="3" s="1"/>
  <c r="BL297" i="3"/>
  <c r="AZ301" i="3"/>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6" i="3"/>
  <c r="BA268" i="3"/>
  <c r="BA296" i="3"/>
  <c r="G299" i="3"/>
  <c r="BL300" i="3"/>
  <c r="BL122" i="3"/>
  <c r="BA134"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7" i="3"/>
  <c r="BL238" i="3"/>
  <c r="G239" i="3"/>
  <c r="BL243" i="3"/>
  <c r="G244" i="3"/>
  <c r="BA276" i="3"/>
  <c r="AZ284" i="3"/>
  <c r="BL286" i="3"/>
  <c r="AZ286" i="3" s="1"/>
  <c r="BL298" i="3"/>
  <c r="BA117" i="3"/>
  <c r="BA124" i="3"/>
  <c r="AZ124" i="3" s="1"/>
  <c r="G127" i="3"/>
  <c r="BA133" i="3"/>
  <c r="AZ133" i="3" s="1"/>
  <c r="G136" i="3"/>
  <c r="BA130" i="3"/>
  <c r="AZ130" i="3" s="1"/>
  <c r="BL130" i="3"/>
  <c r="BA137" i="3"/>
  <c r="AZ137" i="3" s="1"/>
  <c r="BL138" i="3"/>
  <c r="BA140" i="3"/>
  <c r="AZ140" i="3" s="1"/>
  <c r="BA142" i="3"/>
  <c r="BL149" i="3"/>
  <c r="AZ149" i="3" s="1"/>
  <c r="BL150" i="3"/>
  <c r="G151" i="3"/>
  <c r="BA152" i="3"/>
  <c r="AZ152" i="3" s="1"/>
  <c r="BA154" i="3"/>
  <c r="AZ154" i="3" s="1"/>
  <c r="BA160" i="3"/>
  <c r="G162" i="3"/>
  <c r="BL162" i="3"/>
  <c r="AZ162" i="3" s="1"/>
  <c r="BL165" i="3"/>
  <c r="G166" i="3"/>
  <c r="AZ49" i="3"/>
  <c r="D44" i="71"/>
  <c r="T44" i="71"/>
  <c r="C55" i="71"/>
  <c r="D54" i="71"/>
  <c r="BL177" i="3"/>
  <c r="AZ177" i="3" s="1"/>
  <c r="BL183" i="3"/>
  <c r="BA186" i="3"/>
  <c r="AZ186" i="3" s="1"/>
  <c r="BA190" i="3"/>
  <c r="BA197" i="3"/>
  <c r="AZ197" i="3" s="1"/>
  <c r="BL201" i="3"/>
  <c r="AZ201" i="3" s="1"/>
  <c r="BL203" i="3"/>
  <c r="AZ203" i="3" s="1"/>
  <c r="BA204" i="3"/>
  <c r="AZ204" i="3" s="1"/>
  <c r="BA18" i="3"/>
  <c r="BL21" i="3"/>
  <c r="G23" i="3"/>
  <c r="BL29" i="3"/>
  <c r="G33" i="3"/>
  <c r="G34" i="3"/>
  <c r="BA37" i="3"/>
  <c r="BL39" i="3"/>
  <c r="G43" i="3"/>
  <c r="G44" i="3"/>
  <c r="BA45" i="3"/>
  <c r="AZ45" i="3" s="1"/>
  <c r="BA46" i="3"/>
  <c r="BL49" i="3"/>
  <c r="BL50" i="3"/>
  <c r="AZ50" i="3" s="1"/>
  <c r="BL51" i="3"/>
  <c r="AZ51" i="3" s="1"/>
  <c r="BL53" i="3"/>
  <c r="BA56" i="3"/>
  <c r="BA57" i="3"/>
  <c r="AZ57" i="3" s="1"/>
  <c r="BL58" i="3"/>
  <c r="AZ58" i="3" s="1"/>
  <c r="G60" i="3"/>
  <c r="BA60" i="3"/>
  <c r="G265" i="3"/>
  <c r="BL265" i="3"/>
  <c r="AZ265" i="3" s="1"/>
  <c r="G267" i="3"/>
  <c r="BA273" i="3"/>
  <c r="AZ273" i="3" s="1"/>
  <c r="BA278" i="3"/>
  <c r="BA280" i="3"/>
  <c r="AZ280" i="3" s="1"/>
  <c r="BL283" i="3"/>
  <c r="AZ283" i="3" s="1"/>
  <c r="BL284" i="3"/>
  <c r="G288" i="3"/>
  <c r="BL292" i="3"/>
  <c r="BA294" i="3"/>
  <c r="AZ294" i="3" s="1"/>
  <c r="BL295" i="3"/>
  <c r="BA298" i="3"/>
  <c r="AZ298" i="3" s="1"/>
  <c r="BL301" i="3"/>
  <c r="BL302" i="3"/>
  <c r="AZ302" i="3" s="1"/>
  <c r="BA114" i="3"/>
  <c r="BL123" i="3"/>
  <c r="AZ123" i="3" s="1"/>
  <c r="BA128" i="3"/>
  <c r="AZ128" i="3" s="1"/>
  <c r="BL134" i="3"/>
  <c r="AZ134" i="3" s="1"/>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6" i="3"/>
  <c r="BL28" i="3"/>
  <c r="BA29" i="3"/>
  <c r="BA36" i="3"/>
  <c r="BL38" i="3"/>
  <c r="AZ38" i="3" s="1"/>
  <c r="BA39" i="3"/>
  <c r="BL47" i="3"/>
  <c r="AZ47" i="3" s="1"/>
  <c r="G49" i="3"/>
  <c r="G50" i="3"/>
  <c r="G52" i="3"/>
  <c r="BA52" i="3"/>
  <c r="AZ52" i="3" s="1"/>
  <c r="BA53" i="3"/>
  <c r="BA54" i="3"/>
  <c r="BL57" i="3"/>
  <c r="G59" i="3"/>
  <c r="G62" i="3"/>
  <c r="G63" i="3"/>
  <c r="BA65" i="3"/>
  <c r="BA66" i="3"/>
  <c r="AZ66" i="3" s="1"/>
  <c r="BA70" i="3"/>
  <c r="D31" i="71"/>
  <c r="C32" i="71"/>
  <c r="D50" i="71"/>
  <c r="C51" i="71"/>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BA200" i="3"/>
  <c r="AZ200" i="3" s="1"/>
  <c r="BA202" i="3"/>
  <c r="BL207" i="3"/>
  <c r="BL18" i="3"/>
  <c r="G19" i="3"/>
  <c r="BL19" i="3"/>
  <c r="AZ19" i="3" s="1"/>
  <c r="BA20" i="3"/>
  <c r="AZ20" i="3" s="1"/>
  <c r="BL25" i="3"/>
  <c r="BL27" i="3"/>
  <c r="AZ27" i="3" s="1"/>
  <c r="BA28" i="3"/>
  <c r="BA31" i="3"/>
  <c r="AZ31" i="3" s="1"/>
  <c r="BA32" i="3"/>
  <c r="G38" i="3"/>
  <c r="BA38" i="3"/>
  <c r="BA41" i="3"/>
  <c r="AZ41" i="3" s="1"/>
  <c r="BA42" i="3"/>
  <c r="G46" i="3"/>
  <c r="BL48" i="3"/>
  <c r="BL54" i="3"/>
  <c r="BL55" i="3"/>
  <c r="AZ55" i="3" s="1"/>
  <c r="G57" i="3"/>
  <c r="BA59" i="3"/>
  <c r="AZ59" i="3" s="1"/>
  <c r="G61" i="3"/>
  <c r="BL61" i="3"/>
  <c r="AZ61" i="3" s="1"/>
  <c r="BA68" i="3"/>
  <c r="D34" i="71"/>
  <c r="C35" i="71"/>
  <c r="F66" i="71"/>
  <c r="Q67" i="71"/>
  <c r="V24" i="71"/>
  <c r="E23" i="71"/>
  <c r="E22" i="71" s="1"/>
  <c r="E21" i="71" s="1"/>
  <c r="E20" i="71" s="1"/>
  <c r="E19" i="71" s="1"/>
  <c r="E18" i="71" s="1"/>
  <c r="E17" i="71" s="1"/>
  <c r="E16" i="71" s="1"/>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Y25" i="71"/>
  <c r="Z25" i="71" s="1"/>
  <c r="Y29" i="71"/>
  <c r="Z29" i="71" s="1"/>
  <c r="AB32" i="71"/>
  <c r="X33" i="71"/>
  <c r="BA73" i="3"/>
  <c r="AZ73" i="3" s="1"/>
  <c r="AZ103" i="3"/>
  <c r="P66" i="71"/>
  <c r="C66" i="71"/>
  <c r="AA27" i="71"/>
  <c r="AB26" i="71"/>
  <c r="S28" i="71"/>
  <c r="C39" i="71"/>
  <c r="Y28" i="71"/>
  <c r="Z28" i="71" s="1"/>
  <c r="C28" i="71"/>
  <c r="Y30" i="71"/>
  <c r="Z30" i="71" s="1"/>
  <c r="X28" i="71"/>
  <c r="X32" i="71"/>
  <c r="F38" i="71"/>
  <c r="F39" i="71" s="1"/>
  <c r="F40" i="71" s="1"/>
  <c r="V40" i="71" s="1"/>
  <c r="AB38" i="71"/>
  <c r="AA39" i="71"/>
  <c r="F75" i="71"/>
  <c r="F74" i="71" s="1"/>
  <c r="B79" i="71"/>
  <c r="B78" i="71" s="1"/>
  <c r="BL77" i="3"/>
  <c r="AZ77" i="3" s="1"/>
  <c r="BA79" i="3"/>
  <c r="AZ79" i="3" s="1"/>
  <c r="BA84" i="3"/>
  <c r="AZ84" i="3" s="1"/>
  <c r="BL88" i="3"/>
  <c r="AZ88" i="3" s="1"/>
  <c r="BL90" i="3"/>
  <c r="BL92" i="3"/>
  <c r="G101" i="3"/>
  <c r="BA101" i="3"/>
  <c r="AZ101" i="3" s="1"/>
  <c r="G109" i="3"/>
  <c r="BL112" i="3"/>
  <c r="AB21" i="33"/>
  <c r="U25" i="40"/>
  <c r="S21" i="34"/>
  <c r="B68" i="43"/>
  <c r="B88" i="43"/>
  <c r="BL62" i="3"/>
  <c r="AZ62" i="3" s="1"/>
  <c r="BL63" i="3"/>
  <c r="AZ63" i="3" s="1"/>
  <c r="G65" i="3"/>
  <c r="BL65" i="3"/>
  <c r="BL66" i="3"/>
  <c r="BL67" i="3"/>
  <c r="AZ67" i="3" s="1"/>
  <c r="BL70" i="3"/>
  <c r="BL71" i="3"/>
  <c r="AZ71" i="3" s="1"/>
  <c r="BL72" i="3"/>
  <c r="AZ72" i="3" s="1"/>
  <c r="BL75" i="3"/>
  <c r="BL81" i="3"/>
  <c r="BA82" i="3"/>
  <c r="AZ82" i="3" s="1"/>
  <c r="BL83" i="3"/>
  <c r="G88" i="3"/>
  <c r="BA90" i="3"/>
  <c r="BL94" i="3"/>
  <c r="AZ94" i="3" s="1"/>
  <c r="BA100" i="3"/>
  <c r="AZ100" i="3" s="1"/>
  <c r="BA102" i="3"/>
  <c r="AZ102" i="3" s="1"/>
  <c r="BL105" i="3"/>
  <c r="AZ105" i="3" s="1"/>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34" i="3"/>
  <c r="AZ438" i="3"/>
  <c r="AZ446" i="3"/>
  <c r="AZ450" i="3"/>
  <c r="G28" i="6"/>
  <c r="U26" i="21"/>
  <c r="W36" i="39"/>
  <c r="U23" i="40"/>
  <c r="AA39" i="37"/>
  <c r="AC16" i="36"/>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60" i="3"/>
  <c r="BL268" i="3"/>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F66" i="15"/>
  <c r="Q71" i="67"/>
  <c r="C27" i="67"/>
  <c r="F71" i="67"/>
  <c r="N59" i="67"/>
  <c r="L59" i="67"/>
  <c r="L58" i="67"/>
  <c r="M59" i="67"/>
  <c r="B13" i="70"/>
  <c r="M7" i="67"/>
  <c r="J6" i="67" s="1"/>
  <c r="F50" i="67"/>
  <c r="F68" i="67"/>
  <c r="F64" i="67"/>
  <c r="D9" i="69"/>
  <c r="F26" i="15"/>
  <c r="F37" i="15"/>
  <c r="D3" i="73"/>
  <c r="C36" i="68"/>
  <c r="M9" i="15"/>
  <c r="D9" i="68"/>
  <c r="F42" i="15"/>
  <c r="F40" i="15"/>
  <c r="F43" i="15"/>
  <c r="J15" i="15"/>
  <c r="F13" i="15"/>
  <c r="C16" i="67"/>
  <c r="M24" i="15"/>
  <c r="L47" i="15"/>
  <c r="F7" i="15"/>
  <c r="D5" i="73"/>
  <c r="C36" i="69"/>
  <c r="F36" i="15"/>
  <c r="C76" i="15"/>
  <c r="F8" i="15"/>
  <c r="L48" i="15"/>
  <c r="F16" i="15"/>
  <c r="D7" i="73"/>
  <c r="M6" i="15"/>
  <c r="F9" i="15"/>
  <c r="M26" i="15"/>
  <c r="D4" i="73"/>
  <c r="AB36" i="33" l="1"/>
  <c r="S36" i="33"/>
  <c r="S29" i="33"/>
  <c r="AA29" i="33"/>
  <c r="U11" i="33"/>
  <c r="S11" i="33"/>
  <c r="W13" i="33"/>
  <c r="AC13" i="33"/>
  <c r="F48" i="9"/>
  <c r="O52" i="9" s="1"/>
  <c r="F32" i="15"/>
  <c r="F60" i="15" s="1"/>
  <c r="F54" i="9"/>
  <c r="F52" i="9"/>
  <c r="F30" i="68"/>
  <c r="G26" i="43"/>
  <c r="J26" i="43"/>
  <c r="G16" i="1"/>
  <c r="F10" i="39" s="1"/>
  <c r="AA10" i="39" s="1"/>
  <c r="Q16" i="1"/>
  <c r="P6" i="1"/>
  <c r="C13" i="12" s="1"/>
  <c r="E59" i="40"/>
  <c r="K16" i="1"/>
  <c r="H16" i="1"/>
  <c r="F26" i="43"/>
  <c r="D26" i="43" s="1"/>
  <c r="C25" i="43" s="1"/>
  <c r="J53" i="15"/>
  <c r="L56" i="15" s="1"/>
  <c r="J57" i="15"/>
  <c r="J55" i="15" s="1"/>
  <c r="J58" i="15" s="1"/>
  <c r="Q50" i="15" s="1"/>
  <c r="I54" i="15"/>
  <c r="F50" i="15"/>
  <c r="F31" i="15"/>
  <c r="M7" i="15"/>
  <c r="J6" i="15" s="1"/>
  <c r="J18" i="15" s="1"/>
  <c r="F71" i="15"/>
  <c r="F65" i="15"/>
  <c r="C6" i="15"/>
  <c r="F51" i="15"/>
  <c r="M59" i="15"/>
  <c r="N59" i="15"/>
  <c r="L58" i="15"/>
  <c r="Q60" i="15" s="1"/>
  <c r="L59" i="15"/>
  <c r="Q74" i="15" s="1"/>
  <c r="F68" i="15"/>
  <c r="Q71" i="15"/>
  <c r="C27" i="15"/>
  <c r="F64" i="15"/>
  <c r="AZ107" i="3"/>
  <c r="AZ26" i="3"/>
  <c r="AZ268" i="3"/>
  <c r="T28" i="71"/>
  <c r="D28" i="71"/>
  <c r="U28" i="71" s="1"/>
  <c r="C27" i="71"/>
  <c r="T32" i="71"/>
  <c r="D32" i="71"/>
  <c r="AZ65" i="3"/>
  <c r="AZ39" i="3"/>
  <c r="U23" i="35"/>
  <c r="AB23" i="35"/>
  <c r="AB31" i="39"/>
  <c r="U31" i="39"/>
  <c r="U23" i="36"/>
  <c r="AB23" i="36"/>
  <c r="AC37" i="39"/>
  <c r="W37" i="39"/>
  <c r="W39" i="40"/>
  <c r="AC39" i="40"/>
  <c r="U12" i="34"/>
  <c r="AB12" i="34"/>
  <c r="C36" i="71"/>
  <c r="D35" i="71"/>
  <c r="AZ190" i="3"/>
  <c r="S33" i="36"/>
  <c r="AA33" i="36"/>
  <c r="W12" i="34"/>
  <c r="AC12" i="34"/>
  <c r="J7" i="36"/>
  <c r="AC7" i="36" s="1"/>
  <c r="V36" i="36" s="1"/>
  <c r="I36" i="36" s="1"/>
  <c r="E26" i="43"/>
  <c r="AZ492" i="3"/>
  <c r="AB12" i="33"/>
  <c r="V20" i="71"/>
  <c r="C40" i="71"/>
  <c r="D39" i="71"/>
  <c r="O65" i="71"/>
  <c r="D66" i="71"/>
  <c r="O66" i="71"/>
  <c r="AZ28" i="3"/>
  <c r="C52" i="71"/>
  <c r="D51" i="71"/>
  <c r="AZ70" i="3"/>
  <c r="AZ53" i="3"/>
  <c r="AZ25" i="3"/>
  <c r="C56" i="71"/>
  <c r="D55" i="71"/>
  <c r="AZ464" i="3"/>
  <c r="AZ461" i="3"/>
  <c r="AZ282" i="3"/>
  <c r="AZ223" i="3"/>
  <c r="AZ401" i="3"/>
  <c r="AZ415" i="3"/>
  <c r="AZ398" i="3"/>
  <c r="AZ432" i="3"/>
  <c r="AB9" i="34"/>
  <c r="U9" i="34"/>
  <c r="J7" i="37"/>
  <c r="W7" i="37" s="1"/>
  <c r="G5" i="3"/>
  <c r="B3" i="3" s="1"/>
  <c r="E510" i="3" s="1"/>
  <c r="AZ29" i="3"/>
  <c r="AZ278" i="3"/>
  <c r="AZ460" i="3"/>
  <c r="AZ243" i="3"/>
  <c r="AZ421" i="3"/>
  <c r="AC31" i="39"/>
  <c r="W31" i="39"/>
  <c r="AC23" i="36"/>
  <c r="W23" i="36"/>
  <c r="U36" i="39"/>
  <c r="AB36" i="39"/>
  <c r="AA37" i="39"/>
  <c r="S37" i="39"/>
  <c r="U39" i="40"/>
  <c r="AB39" i="40"/>
  <c r="AC9" i="34"/>
  <c r="W9" i="34"/>
  <c r="AA25" i="37"/>
  <c r="S25" i="37"/>
  <c r="K1" i="73"/>
  <c r="E575" i="3"/>
  <c r="E499" i="3"/>
  <c r="E449" i="3"/>
  <c r="E255" i="3"/>
  <c r="E417" i="3"/>
  <c r="E479" i="3"/>
  <c r="E241" i="3"/>
  <c r="E292" i="3"/>
  <c r="E409" i="3"/>
  <c r="E484" i="3"/>
  <c r="E267" i="3"/>
  <c r="E249" i="3"/>
  <c r="E67" i="3"/>
  <c r="E33" i="3"/>
  <c r="E63" i="3"/>
  <c r="E81" i="3"/>
  <c r="E198" i="3"/>
  <c r="E281" i="3"/>
  <c r="E18" i="3"/>
  <c r="E96" i="3"/>
  <c r="E34" i="3"/>
  <c r="E206" i="3"/>
  <c r="E22" i="3"/>
  <c r="E205" i="3"/>
  <c r="E405" i="3"/>
  <c r="E456" i="3"/>
  <c r="E451" i="3"/>
  <c r="E360" i="3"/>
  <c r="E13" i="3"/>
  <c r="E452" i="3"/>
  <c r="E26" i="3"/>
  <c r="E104" i="3"/>
  <c r="E225" i="3"/>
  <c r="E243" i="3"/>
  <c r="E412" i="3"/>
  <c r="E78" i="3"/>
  <c r="E324" i="3"/>
  <c r="E342" i="3"/>
  <c r="E232" i="3"/>
  <c r="E370" i="3"/>
  <c r="E326" i="3"/>
  <c r="E83" i="3"/>
  <c r="E188" i="3"/>
  <c r="E223" i="3"/>
  <c r="E393" i="3"/>
  <c r="E493" i="3"/>
  <c r="E427" i="3"/>
  <c r="E486" i="3"/>
  <c r="E440" i="3"/>
  <c r="E490" i="3"/>
  <c r="J6" i="3"/>
  <c r="E498" i="3"/>
  <c r="E463" i="3"/>
  <c r="E40" i="3"/>
  <c r="E178" i="3"/>
  <c r="E202" i="3"/>
  <c r="E346" i="3"/>
  <c r="E333" i="3"/>
  <c r="E60" i="3"/>
  <c r="E43" i="3"/>
  <c r="E15" i="3"/>
  <c r="E455" i="3"/>
  <c r="E170" i="3"/>
  <c r="E137" i="3"/>
  <c r="E299" i="3"/>
  <c r="E339" i="3"/>
  <c r="AQ6" i="3"/>
  <c r="E52" i="3"/>
  <c r="E123" i="3"/>
  <c r="E147"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H10" i="40"/>
  <c r="AB10" i="40" s="1"/>
  <c r="C7" i="43"/>
  <c r="C5" i="43" s="1"/>
  <c r="D10" i="52"/>
  <c r="D125" i="9"/>
  <c r="D11" i="52" s="1"/>
  <c r="B7" i="74"/>
  <c r="C7" i="74" s="1"/>
  <c r="F67" i="39"/>
  <c r="E69" i="39"/>
  <c r="F59" i="67"/>
  <c r="H7" i="37"/>
  <c r="AB7" i="37" s="1"/>
  <c r="T42" i="37" s="1"/>
  <c r="G42" i="37" s="1"/>
  <c r="S10" i="39"/>
  <c r="H7" i="33"/>
  <c r="J7" i="33"/>
  <c r="D65" i="40"/>
  <c r="E63" i="40"/>
  <c r="F48" i="35"/>
  <c r="S7" i="36"/>
  <c r="AA7" i="36"/>
  <c r="R36" i="36" s="1"/>
  <c r="AC7" i="37"/>
  <c r="AB7" i="36"/>
  <c r="T36" i="36" s="1"/>
  <c r="G36" i="36" s="1"/>
  <c r="U7" i="36"/>
  <c r="F7" i="33"/>
  <c r="E58" i="21"/>
  <c r="F7" i="37"/>
  <c r="M17" i="67"/>
  <c r="P28" i="43"/>
  <c r="B66" i="40" s="1"/>
  <c r="P25" i="43"/>
  <c r="C49" i="67"/>
  <c r="P29" i="43"/>
  <c r="P27" i="43"/>
  <c r="B70" i="39" s="1"/>
  <c r="C32" i="67"/>
  <c r="Q60" i="67"/>
  <c r="Q73" i="67"/>
  <c r="M11" i="67"/>
  <c r="J10" i="67" s="1"/>
  <c r="J5" i="67" s="1"/>
  <c r="F11" i="15"/>
  <c r="M11" i="15"/>
  <c r="J10" i="15" s="1"/>
  <c r="F11" i="67"/>
  <c r="J18" i="67"/>
  <c r="C32" i="15"/>
  <c r="F1" i="67"/>
  <c r="Q52" i="67"/>
  <c r="Q61" i="67"/>
  <c r="Q74" i="67"/>
  <c r="AE11" i="1"/>
  <c r="AE9" i="1"/>
  <c r="AE7" i="1"/>
  <c r="AE8" i="1"/>
  <c r="AE12" i="1"/>
  <c r="AE10" i="1"/>
  <c r="AE6" i="1"/>
  <c r="F27" i="69"/>
  <c r="G1" i="73"/>
  <c r="C16" i="15"/>
  <c r="F27" i="68"/>
  <c r="F41" i="67"/>
  <c r="F1" i="15" l="1"/>
  <c r="C47" i="69"/>
  <c r="D45" i="69" s="1"/>
  <c r="Q73" i="15"/>
  <c r="Q52" i="15"/>
  <c r="M17" i="15"/>
  <c r="F48" i="68"/>
  <c r="C48" i="68"/>
  <c r="C30" i="68"/>
  <c r="F45" i="69"/>
  <c r="C29" i="69"/>
  <c r="D27" i="69" s="1"/>
  <c r="Q61" i="15"/>
  <c r="J10" i="39"/>
  <c r="W10" i="39" s="1"/>
  <c r="J5" i="15"/>
  <c r="J24" i="15" s="1"/>
  <c r="F10" i="40"/>
  <c r="S10" i="40" s="1"/>
  <c r="E340" i="3"/>
  <c r="E112" i="3"/>
  <c r="E392" i="3"/>
  <c r="E234" i="3"/>
  <c r="E38" i="3"/>
  <c r="E473" i="3"/>
  <c r="L6" i="3"/>
  <c r="E276" i="3"/>
  <c r="E108" i="3"/>
  <c r="E401" i="3"/>
  <c r="AH6" i="3"/>
  <c r="E422" i="3"/>
  <c r="E543" i="3"/>
  <c r="E105" i="3"/>
  <c r="E16" i="3"/>
  <c r="E158" i="3"/>
  <c r="E49" i="3"/>
  <c r="E220" i="3"/>
  <c r="E428" i="3"/>
  <c r="E115" i="3"/>
  <c r="E420" i="3"/>
  <c r="E497" i="3"/>
  <c r="E408" i="3"/>
  <c r="E525" i="3"/>
  <c r="E113" i="3"/>
  <c r="E383" i="3"/>
  <c r="E42" i="3"/>
  <c r="E513" i="3"/>
  <c r="E355" i="3"/>
  <c r="E492" i="3"/>
  <c r="E46" i="3"/>
  <c r="E544" i="3"/>
  <c r="E152" i="3"/>
  <c r="E517" i="3"/>
  <c r="E466" i="3"/>
  <c r="E212" i="3"/>
  <c r="E3" i="6"/>
  <c r="E289" i="3"/>
  <c r="E36" i="3"/>
  <c r="E325" i="3"/>
  <c r="E194" i="3"/>
  <c r="E79" i="3"/>
  <c r="E540" i="3"/>
  <c r="E372" i="3"/>
  <c r="E226" i="3"/>
  <c r="E25" i="3"/>
  <c r="E419" i="3"/>
  <c r="E376" i="3"/>
  <c r="E507" i="3"/>
  <c r="E564" i="3"/>
  <c r="E116" i="3"/>
  <c r="E329" i="3"/>
  <c r="E80" i="3"/>
  <c r="E35" i="3"/>
  <c r="E190" i="3"/>
  <c r="E356" i="3"/>
  <c r="E41" i="3"/>
  <c r="E470" i="3"/>
  <c r="E556" i="3"/>
  <c r="E469" i="3"/>
  <c r="E173" i="3"/>
  <c r="E102" i="3"/>
  <c r="E235" i="3"/>
  <c r="AL6" i="3"/>
  <c r="E309" i="3"/>
  <c r="E233" i="3"/>
  <c r="E310" i="3"/>
  <c r="E64" i="3"/>
  <c r="E389" i="3"/>
  <c r="E95" i="3"/>
  <c r="E554" i="3"/>
  <c r="E442" i="3"/>
  <c r="E536" i="3"/>
  <c r="W7" i="36"/>
  <c r="C49" i="15"/>
  <c r="F59" i="15"/>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52" i="71"/>
  <c r="D52" i="71"/>
  <c r="E534" i="3"/>
  <c r="E140" i="3"/>
  <c r="E287" i="3"/>
  <c r="E251" i="3"/>
  <c r="E522" i="3"/>
  <c r="E129" i="3"/>
  <c r="E75" i="3"/>
  <c r="E332" i="3"/>
  <c r="E21" i="3"/>
  <c r="E264" i="3"/>
  <c r="E381" i="3"/>
  <c r="E144" i="3"/>
  <c r="E23" i="3"/>
  <c r="E300" i="3"/>
  <c r="E103" i="3"/>
  <c r="E425" i="3"/>
  <c r="E76" i="3"/>
  <c r="E363" i="3"/>
  <c r="E192" i="3"/>
  <c r="E56" i="3"/>
  <c r="E435" i="3"/>
  <c r="I3" i="6"/>
  <c r="E541" i="3"/>
  <c r="R6" i="3"/>
  <c r="E199" i="3"/>
  <c r="T40" i="71"/>
  <c r="D40" i="71"/>
  <c r="D36" i="71"/>
  <c r="T36" i="71"/>
  <c r="D56" i="71"/>
  <c r="T56" i="71"/>
  <c r="C26" i="71"/>
  <c r="D26" i="71" s="1"/>
  <c r="D27"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53" i="15"/>
  <c r="C48" i="15" s="1"/>
  <c r="C66" i="15" s="1"/>
  <c r="C10" i="15"/>
  <c r="C5" i="15" s="1"/>
  <c r="C38" i="15" s="1"/>
  <c r="F41" i="15"/>
  <c r="M27" i="15"/>
  <c r="M27" i="67"/>
  <c r="F24" i="67" l="1"/>
  <c r="C24" i="67" s="1"/>
  <c r="F22" i="68"/>
  <c r="F41" i="68" s="1"/>
  <c r="F25" i="12"/>
  <c r="C26" i="12" s="1"/>
  <c r="D25" i="12" s="1"/>
  <c r="F24" i="15"/>
  <c r="C24" i="15" s="1"/>
  <c r="F22" i="69"/>
  <c r="F41" i="69" s="1"/>
  <c r="F22" i="11"/>
  <c r="C23" i="11" s="1"/>
  <c r="AC6" i="3"/>
  <c r="E6" i="3" s="1"/>
  <c r="G54" i="34"/>
  <c r="H54" i="34" s="1"/>
  <c r="D116" i="43"/>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4" i="67"/>
  <c r="C17" i="15"/>
  <c r="C17" i="67"/>
  <c r="D10" i="68"/>
  <c r="C34" i="69"/>
  <c r="D10" i="69"/>
  <c r="C26" i="69" l="1"/>
  <c r="D22" i="69" s="1"/>
  <c r="C25" i="11"/>
  <c r="C44" i="68"/>
  <c r="D41" i="68" s="1"/>
  <c r="C44" i="11"/>
  <c r="D41" i="11" s="1"/>
  <c r="C26" i="11"/>
  <c r="D22" i="11" s="1"/>
  <c r="C26" i="68"/>
  <c r="D22" i="68" s="1"/>
  <c r="C24" i="11"/>
  <c r="C44" i="69"/>
  <c r="D41"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14" i="15"/>
  <c r="B6" i="76"/>
  <c r="E6" i="76"/>
  <c r="C34" i="68"/>
  <c r="U6" i="1" l="1"/>
  <c r="C50" i="33"/>
  <c r="C31" i="1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F31" i="67" l="1"/>
  <c r="C6" i="67"/>
  <c r="C10" i="67" s="1"/>
  <c r="C5" i="67" s="1"/>
  <c r="C38" i="67"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B3" i="69"/>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6" i="1"/>
  <c r="AO10" i="1"/>
  <c r="AO12" i="1"/>
  <c r="AO11" i="1"/>
  <c r="AO7" i="1"/>
  <c r="C7" i="71" l="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D22" i="9"/>
  <c r="G19"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D103" i="9"/>
  <c r="G20" i="9"/>
  <c r="G22" i="9" s="1"/>
  <c r="D6" i="71"/>
  <c r="C5" i="71"/>
  <c r="D5" i="71" s="1"/>
  <c r="M24" i="43" s="1"/>
  <c r="C42" i="40"/>
  <c r="C43" i="40"/>
  <c r="E47" i="40"/>
  <c r="F47" i="40" s="1"/>
  <c r="E46" i="40"/>
  <c r="F46" i="40" s="1"/>
  <c r="I47" i="40"/>
  <c r="J47" i="40" s="1"/>
  <c r="C32" i="9" l="1"/>
  <c r="I20" i="9"/>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30" i="72"/>
  <c r="D53" i="9"/>
  <c r="D52" i="9"/>
  <c r="N60" i="9"/>
  <c r="N61" i="9"/>
  <c r="D8" i="52"/>
  <c r="H4" i="52"/>
  <c r="C104" i="9"/>
  <c r="M48" i="9"/>
  <c r="C5" i="74"/>
  <c r="B20" i="72"/>
  <c r="I4" i="52"/>
  <c r="C105" i="9"/>
  <c r="M54" i="9"/>
  <c r="D123" i="9"/>
  <c r="D9" i="52"/>
  <c r="C68" i="9"/>
  <c r="D54" i="9"/>
  <c r="D122" i="9"/>
  <c r="C6" i="74"/>
  <c r="E4" i="52"/>
  <c r="B48" i="72"/>
  <c r="H102" i="9"/>
  <c r="D7" i="53"/>
  <c r="B21" i="72"/>
  <c r="N58" i="9"/>
  <c r="P57" i="9"/>
  <c r="N57" i="9"/>
  <c r="N59" i="9"/>
  <c r="C93" i="9"/>
  <c r="C86" i="9"/>
  <c r="B49" i="72"/>
  <c r="C78" i="9"/>
  <c r="C73" i="9"/>
  <c r="D4" i="52"/>
  <c r="B47" i="72"/>
  <c r="C81" i="9"/>
  <c r="C67" i="9"/>
  <c r="D59" i="9"/>
  <c r="M55" i="9"/>
  <c r="C80" i="9"/>
  <c r="E80" i="9"/>
  <c r="E81" i="9"/>
  <c r="C96" i="9"/>
  <c r="E96" i="9"/>
  <c r="E97" i="9"/>
  <c r="D5" i="53"/>
  <c r="D6" i="53"/>
  <c r="B22" i="72"/>
  <c r="C97" i="9"/>
  <c r="D58" i="9"/>
  <c r="D56" i="9"/>
  <c r="H119" i="9"/>
  <c r="H5" i="52"/>
  <c r="D13" i="53"/>
  <c r="D14" i="53"/>
  <c r="B32" i="72"/>
  <c r="G4" i="52"/>
  <c r="B52" i="72"/>
  <c r="F4" i="52"/>
  <c r="B51" i="72"/>
  <c r="C85" i="9"/>
  <c r="C95" i="9"/>
  <c r="C64" i="9"/>
  <c r="C63" i="9"/>
  <c r="H107" i="9"/>
  <c r="H108" i="9"/>
  <c r="D15" i="53"/>
  <c r="B31" i="72"/>
  <c r="D55" i="9"/>
  <c r="M53" i="9"/>
  <c r="H101" i="9"/>
  <c r="D45" i="9"/>
  <c r="C72" i="9"/>
  <c r="C79" i="9"/>
  <c r="G118" i="9"/>
  <c r="F118" i="9"/>
  <c r="F119" i="9"/>
  <c r="F5" i="52"/>
  <c r="B53" i="72"/>
  <c r="H118" i="9"/>
  <c r="I118" i="9"/>
  <c r="E118" i="9"/>
  <c r="D118" i="9"/>
  <c r="D119" i="9"/>
  <c r="D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<sst xmlns="http://schemas.openxmlformats.org/spreadsheetml/2006/main" count="7948" uniqueCount="3493">
  <si>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</si>
  <si>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</si>
  <si>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</si>
  <si>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</si>
  <si>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</si>
  <si>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</si>
  <si>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</si>
  <si>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</si>
  <si>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</si>
  <si>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</si>
  <si>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</si>
  <si>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</si>
  <si>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</si>
  <si>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</si>
  <si>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</si>
  <si>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</si>
  <si>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</si>
  <si>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</si>
  <si>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</si>
  <si>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</si>
  <si>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</si>
  <si>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</si>
  <si>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</si>
  <si>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</si>
  <si>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</si>
  <si>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</si>
  <si>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</si>
  <si>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</si>
  <si>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</si>
  <si>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</si>
  <si>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</si>
  <si>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</si>
  <si>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</si>
  <si>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</si>
  <si>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</si>
  <si>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</si>
  <si>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</si>
  <si>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</si>
  <si>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</si>
  <si>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</si>
  <si>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</si>
  <si>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</si>
  <si>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</si>
  <si>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</si>
  <si>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</si>
  <si>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</si>
  <si>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</si>
  <si>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</si>
  <si>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</si>
  <si>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</si>
  <si>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</si>
  <si>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</si>
  <si>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</si>
  <si>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</si>
  <si>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</si>
  <si>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</si>
  <si>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</si>
  <si>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</si>
  <si>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</si>
  <si>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</si>
  <si>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</si>
  <si>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</si>
  <si>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</si>
  <si>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</si>
  <si>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</si>
  <si>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</si>
  <si>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</si>
  <si>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</si>
  <si>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</si>
  <si>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</si>
  <si>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</si>
  <si>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</si>
  <si>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</si>
  <si>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</si>
  <si>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</si>
  <si>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</si>
  <si>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</si>
  <si>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</si>
  <si>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</si>
  <si>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</si>
  <si>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</si>
  <si>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</si>
  <si>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</si>
  <si>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</si>
  <si>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</si>
  <si>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</si>
  <si>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</si>
  <si>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</si>
  <si>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</si>
  <si>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</si>
  <si>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</si>
  <si>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</si>
  <si>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</si>
  <si>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</si>
  <si>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</si>
  <si>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</si>
  <si>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</si>
  <si>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</si>
  <si>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</si>
  <si>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</si>
  <si>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</si>
  <si>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</si>
  <si>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</si>
  <si>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</si>
  <si>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</si>
  <si>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</si>
  <si>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</si>
  <si>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</si>
  <si>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</si>
  <si>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</si>
  <si>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</si>
  <si>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</si>
  <si>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</si>
  <si>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</si>
  <si>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</si>
  <si>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</si>
  <si>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</si>
  <si>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</si>
  <si>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</si>
  <si>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</si>
  <si>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</si>
  <si>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</si>
  <si>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</si>
  <si>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</si>
  <si>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</si>
  <si>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</si>
  <si>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</si>
  <si>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</si>
  <si>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</si>
  <si>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</si>
  <si>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</si>
  <si>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</si>
  <si>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</si>
  <si>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</si>
  <si>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</si>
  <si>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</si>
  <si>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</si>
  <si>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</si>
  <si>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</si>
  <si>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</si>
  <si>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</si>
  <si>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</si>
  <si>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</si>
  <si>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</si>
  <si>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</si>
  <si>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</si>
  <si>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</si>
  <si>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</si>
  <si>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</si>
  <si>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</si>
  <si>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</si>
  <si>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</si>
  <si>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</si>
  <si>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</si>
  <si>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</si>
  <si>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</si>
  <si>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</si>
  <si>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</si>
  <si>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</si>
  <si>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</si>
  <si>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</si>
  <si>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</si>
  <si>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</si>
  <si>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</si>
  <si>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</si>
  <si>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</si>
  <si>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</si>
  <si>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</si>
  <si>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</si>
  <si>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</si>
  <si>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</si>
  <si>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</si>
  <si>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</si>
  <si>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</si>
  <si>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</si>
  <si>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</si>
  <si>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</si>
  <si>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</si>
  <si>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</si>
  <si>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</si>
  <si>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</si>
  <si>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</si>
  <si>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</si>
  <si>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</si>
  <si>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</si>
  <si>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</si>
  <si>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</si>
  <si>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</si>
  <si>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</si>
  <si>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</si>
  <si>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</si>
  <si>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</si>
  <si>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</si>
  <si>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</si>
  <si>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</si>
  <si>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</si>
  <si>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</si>
  <si>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</si>
  <si>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</si>
  <si>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</si>
  <si>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</si>
  <si>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</si>
  <si>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</si>
  <si>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</si>
  <si>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</si>
  <si>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</si>
  <si>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</si>
  <si>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</si>
  <si>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</si>
  <si>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</si>
  <si>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</si>
  <si>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</si>
  <si>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</si>
  <si>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</si>
  <si>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</si>
  <si>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</si>
  <si>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</si>
  <si>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</si>
  <si>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</si>
  <si>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</si>
  <si>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</si>
  <si>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</si>
  <si>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</si>
  <si>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</si>
  <si>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</si>
  <si>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</si>
  <si>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</si>
  <si>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</si>
  <si>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</si>
  <si>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</si>
  <si>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</si>
  <si>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</si>
  <si>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</si>
  <si>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</si>
  <si>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</si>
  <si>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</si>
  <si>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</si>
  <si>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</si>
  <si>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</si>
  <si>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</si>
  <si>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</si>
  <si>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</si>
  <si>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</si>
  <si>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</si>
  <si>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</si>
  <si>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</si>
  <si>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</si>
  <si>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</si>
  <si>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</si>
  <si>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</si>
  <si>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</si>
  <si>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</si>
  <si>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</si>
  <si>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</si>
  <si>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</si>
  <si>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</si>
  <si>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</si>
  <si>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</si>
  <si>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</si>
  <si>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</si>
  <si>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</si>
  <si>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</si>
  <si>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</si>
  <si>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</si>
  <si>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</si>
  <si>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</si>
  <si>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</si>
  <si>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</si>
  <si>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</si>
  <si>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</si>
  <si>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</si>
  <si>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</si>
  <si>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</si>
  <si>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</si>
  <si>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</si>
  <si>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</si>
  <si>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</si>
  <si>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</si>
  <si>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</si>
  <si>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</si>
  <si>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</si>
  <si>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</si>
  <si>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</si>
  <si>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</si>
  <si>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</si>
  <si>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</si>
  <si>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</si>
  <si>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</si>
  <si>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</si>
  <si>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</si>
  <si>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</si>
  <si>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</si>
  <si>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</si>
  <si>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</si>
  <si>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</si>
  <si>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</si>
  <si>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</si>
  <si>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</si>
  <si>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</si>
  <si>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</si>
  <si>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</si>
  <si>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</si>
  <si>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</si>
  <si>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</si>
  <si>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</si>
  <si>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</si>
  <si>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</si>
  <si>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</si>
  <si>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</si>
  <si>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</si>
  <si>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</si>
  <si>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</si>
  <si>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</si>
  <si>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</si>
  <si>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</si>
  <si>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</si>
  <si>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</si>
  <si>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</si>
  <si>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</si>
  <si>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</si>
  <si>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</si>
  <si>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</si>
  <si>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</si>
  <si>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</si>
  <si>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</si>
  <si>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</si>
  <si>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</si>
  <si>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</si>
  <si>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</si>
  <si>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</si>
  <si>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</si>
  <si>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</si>
  <si>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</si>
  <si>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</si>
  <si>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</si>
  <si>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</si>
  <si>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</si>
  <si>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</si>
  <si>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</si>
  <si>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</si>
  <si>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</si>
  <si>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</si>
  <si>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</si>
  <si>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</si>
  <si>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</si>
  <si>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</si>
  <si>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</si>
  <si>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</si>
  <si>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</si>
  <si>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</si>
  <si>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</si>
  <si>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</si>
  <si>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</si>
  <si>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</si>
  <si>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</si>
  <si>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</si>
  <si>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</si>
  <si>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</si>
  <si>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</si>
  <si>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</si>
  <si>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</si>
  <si>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</si>
  <si>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</si>
  <si>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</si>
  <si>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</si>
  <si>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</si>
  <si>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</si>
  <si>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</si>
  <si>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</si>
  <si>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</si>
  <si>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</si>
  <si>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</si>
  <si>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</si>
  <si>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</si>
  <si>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</si>
  <si>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</si>
  <si>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</si>
  <si>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</si>
  <si>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</si>
  <si>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</si>
  <si>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</si>
  <si>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</si>
  <si>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</si>
  <si>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</si>
  <si>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</si>
  <si>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</si>
  <si>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</si>
  <si>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</si>
  <si>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</si>
  <si>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</si>
  <si>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</si>
  <si>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</si>
  <si>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</si>
  <si>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</si>
  <si>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</si>
  <si>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</si>
  <si>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</si>
  <si>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</si>
  <si>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</si>
  <si>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</si>
  <si>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</si>
  <si>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</si>
  <si>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</si>
  <si>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</si>
  <si>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</si>
  <si>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</si>
  <si>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</si>
  <si>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</si>
  <si>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</si>
  <si>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</si>
  <si>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</si>
  <si>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</si>
  <si>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</si>
  <si>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</si>
  <si>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</si>
  <si>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</si>
  <si>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</si>
  <si>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</si>
  <si>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</si>
  <si>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</si>
  <si>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</si>
  <si>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</si>
  <si>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</si>
  <si>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</si>
  <si>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</si>
  <si>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</si>
  <si>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</si>
  <si>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</si>
  <si>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</si>
  <si>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</si>
  <si>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</si>
  <si>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</si>
  <si>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</si>
  <si>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</si>
  <si>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</si>
  <si>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</si>
  <si>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</si>
  <si>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</si>
  <si>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</si>
  <si>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</si>
  <si>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</si>
  <si>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</si>
  <si>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</si>
  <si>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</si>
  <si>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</si>
  <si>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</si>
  <si>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</si>
  <si>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</si>
  <si>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</si>
  <si>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</si>
  <si>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</si>
  <si>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</si>
  <si>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</si>
  <si>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</si>
  <si>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</si>
  <si>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</si>
  <si>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</si>
  <si>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</si>
  <si>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</si>
  <si>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</si>
  <si>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</si>
  <si>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</si>
  <si>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</si>
  <si>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</si>
  <si>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</si>
  <si>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</si>
  <si>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</si>
  <si>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</si>
  <si>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</si>
  <si>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</si>
  <si>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</si>
  <si>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</si>
  <si>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</si>
  <si>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</si>
  <si>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</si>
  <si>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</si>
  <si>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</si>
  <si>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</si>
  <si>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</si>
  <si>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</si>
  <si>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</si>
  <si>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</si>
  <si>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</si>
  <si>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</si>
  <si>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</si>
  <si>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</si>
  <si>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</si>
  <si>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</si>
  <si>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</si>
  <si>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</si>
  <si>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</si>
  <si>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</si>
  <si>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</si>
  <si>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</si>
  <si>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</si>
  <si>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</si>
  <si>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</si>
  <si>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</si>
  <si>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</si>
  <si>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</si>
  <si>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</si>
  <si>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</si>
  <si>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</si>
  <si>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</si>
  <si>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</si>
  <si>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</si>
  <si>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</si>
  <si>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</si>
  <si>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</si>
  <si>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</si>
  <si>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</si>
  <si>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</si>
  <si>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</si>
  <si>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</si>
  <si>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</si>
  <si>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</si>
  <si>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</si>
  <si>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</si>
  <si>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</si>
  <si>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</si>
  <si>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</si>
  <si>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</si>
  <si>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</si>
  <si>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</si>
  <si>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</si>
  <si>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</si>
  <si>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</si>
  <si>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</si>
  <si>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</si>
  <si>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</si>
  <si>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</si>
  <si>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</si>
  <si>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</si>
  <si>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</si>
  <si>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</si>
  <si>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</si>
  <si>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</si>
  <si>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</si>
  <si>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</si>
  <si>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</si>
  <si>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</si>
  <si>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</si>
  <si>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</si>
  <si>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</si>
  <si>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</si>
  <si>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</si>
  <si>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</si>
  <si>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</si>
  <si>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</si>
  <si>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</si>
  <si>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</si>
  <si>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</si>
  <si>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</si>
  <si>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</si>
  <si>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</si>
  <si>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</si>
  <si>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</si>
  <si>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</si>
  <si>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</si>
  <si>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</si>
  <si>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</si>
  <si>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</si>
  <si>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</si>
  <si>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</si>
  <si>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</si>
  <si>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</si>
  <si>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</si>
  <si>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</si>
  <si>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</si>
  <si>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</si>
  <si>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</si>
  <si>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</si>
  <si>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</si>
  <si>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</si>
  <si>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</si>
  <si>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</si>
  <si>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</si>
  <si>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</si>
  <si>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</si>
  <si>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</si>
  <si>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</si>
  <si>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</si>
  <si>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</si>
  <si>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</si>
  <si>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</si>
  <si>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</si>
  <si>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</si>
  <si>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</si>
  <si>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</si>
  <si>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</si>
  <si>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</si>
  <si>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</si>
  <si>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</si>
  <si>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</si>
  <si>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</si>
  <si>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</si>
  <si>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</si>
  <si>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</si>
  <si>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</si>
  <si>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</si>
  <si>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</si>
  <si>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</si>
  <si>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</si>
  <si>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</si>
  <si>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</si>
  <si>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</si>
  <si>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</si>
  <si>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</si>
  <si>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</si>
  <si>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</si>
  <si>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</si>
  <si>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</si>
  <si>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</si>
  <si>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</si>
  <si>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</si>
  <si>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</si>
  <si>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</si>
  <si>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</si>
  <si>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</si>
  <si>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</si>
  <si>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</si>
  <si>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</si>
  <si>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</si>
  <si>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</si>
  <si>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</si>
  <si>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</si>
  <si>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</si>
  <si>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</si>
  <si>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</si>
  <si>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</si>
  <si>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</si>
  <si>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</si>
  <si>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</si>
  <si>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</si>
  <si>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</si>
  <si>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</si>
  <si>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</si>
  <si>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</si>
  <si>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</si>
  <si>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</si>
  <si>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</si>
  <si>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</si>
  <si>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</si>
  <si>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</si>
  <si>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</si>
  <si>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</si>
  <si>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</si>
  <si>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</si>
  <si>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</si>
  <si>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</si>
  <si>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</si>
  <si>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</si>
  <si>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</si>
  <si>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</si>
  <si>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</si>
  <si>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</si>
  <si>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</si>
  <si>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</si>
  <si>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</si>
  <si>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</si>
  <si>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</si>
  <si>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</si>
  <si>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</si>
  <si>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</si>
  <si>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</si>
  <si>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</si>
  <si>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</si>
  <si>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</si>
  <si>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</si>
  <si>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</si>
  <si>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</si>
  <si>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</si>
  <si>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</si>
  <si>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</si>
  <si>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</si>
  <si>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</si>
  <si>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</si>
  <si>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</si>
  <si>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</si>
  <si>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</si>
  <si>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</si>
  <si>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</si>
  <si>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</si>
  <si>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</si>
  <si>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</si>
  <si>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</si>
  <si>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</si>
  <si>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</si>
  <si>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</si>
  <si>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</si>
  <si>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</si>
  <si>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</si>
  <si>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</si>
  <si>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</si>
  <si>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</si>
  <si>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</si>
  <si>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</si>
  <si>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</si>
  <si>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</si>
  <si>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</si>
  <si>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</si>
  <si>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</si>
  <si>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</si>
  <si>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</si>
  <si>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</si>
  <si>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</si>
  <si>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</si>
  <si>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</si>
  <si>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</si>
  <si>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</si>
  <si>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</si>
  <si>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</si>
  <si>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</si>
  <si>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</si>
  <si>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</si>
  <si>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</si>
  <si>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</si>
  <si>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</si>
  <si>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</si>
  <si>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</si>
  <si>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</si>
  <si>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</si>
  <si>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</si>
  <si>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</si>
  <si>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</si>
  <si>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</si>
  <si>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</si>
  <si>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</si>
  <si>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</si>
  <si>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</si>
  <si>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</si>
  <si>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</si>
  <si>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</si>
  <si>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</si>
  <si>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</si>
  <si>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</si>
  <si>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</si>
  <si>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</si>
  <si>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</si>
  <si>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</si>
  <si>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</si>
  <si>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</si>
  <si>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</si>
  <si>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</si>
  <si>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</si>
  <si>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</si>
  <si>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</si>
  <si>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</si>
  <si>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</si>
  <si>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</si>
  <si>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</si>
  <si>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</si>
  <si>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</si>
  <si>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</si>
  <si>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</si>
  <si>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</si>
  <si>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</si>
  <si>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</si>
  <si>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</si>
  <si>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</si>
  <si>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</si>
  <si>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</si>
  <si>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</si>
  <si>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</si>
  <si>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</si>
  <si>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</si>
  <si>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</si>
  <si>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</si>
  <si>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</si>
  <si>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</si>
  <si>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</si>
  <si>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</si>
  <si>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</si>
  <si>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</si>
  <si>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</si>
  <si>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</si>
  <si>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</si>
  <si>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</si>
  <si>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</si>
  <si>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</si>
  <si>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</si>
  <si>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</si>
  <si>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</si>
  <si>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</si>
  <si>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</si>
  <si>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</si>
  <si>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</si>
  <si>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</si>
  <si>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</si>
  <si>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</si>
  <si>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</si>
  <si>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</si>
  <si>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</si>
  <si>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</si>
  <si>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</si>
  <si>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</si>
  <si>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</si>
  <si>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</si>
  <si>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</si>
  <si>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</si>
  <si>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</si>
  <si>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</si>
  <si>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</si>
  <si>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</si>
  <si>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</si>
  <si>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</si>
  <si>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</si>
  <si>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</si>
  <si>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</si>
  <si>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</si>
  <si>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</si>
  <si>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</si>
  <si>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</si>
  <si>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</si>
  <si>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</si>
  <si>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</si>
  <si>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</si>
  <si>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</si>
  <si>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</si>
  <si>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</si>
  <si>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</si>
  <si>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</si>
  <si>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</si>
  <si>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</si>
  <si>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</si>
  <si>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</si>
  <si>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</si>
  <si>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</si>
  <si>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</si>
  <si>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</si>
  <si>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</si>
  <si>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</si>
  <si>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</si>
  <si>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</si>
  <si>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</si>
  <si>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</si>
  <si>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</si>
  <si>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</si>
  <si>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</si>
  <si>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</si>
  <si>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</si>
  <si>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</si>
  <si>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</si>
  <si>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</si>
  <si>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</si>
  <si>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</si>
  <si>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</si>
  <si>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</si>
  <si>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</si>
  <si>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</si>
  <si>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</si>
  <si>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</si>
  <si>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</si>
  <si>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</si>
  <si>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</si>
  <si>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</si>
  <si>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</si>
  <si>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</si>
  <si>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</si>
  <si>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</si>
  <si>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</si>
  <si>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</si>
  <si>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</si>
  <si>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</si>
  <si>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</si>
  <si>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</si>
  <si>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</si>
  <si>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</si>
  <si>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</si>
  <si>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</si>
  <si>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</si>
  <si>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</si>
  <si>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</si>
  <si>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</si>
  <si>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</si>
  <si>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</si>
  <si>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</si>
  <si>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</si>
  <si>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</si>
  <si>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</si>
  <si>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</si>
  <si>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</si>
  <si>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</si>
  <si>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</si>
  <si>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</si>
  <si>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</si>
  <si>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</si>
  <si>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</si>
  <si>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</si>
  <si>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</si>
  <si>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</si>
  <si>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</si>
  <si>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</si>
  <si>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</si>
  <si>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</si>
  <si>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</si>
  <si>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</si>
  <si>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</si>
  <si>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</si>
  <si>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</si>
  <si>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</si>
  <si>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</si>
  <si>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</si>
  <si>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</si>
  <si>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</si>
  <si>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</si>
  <si>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</si>
  <si>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</si>
  <si>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</si>
  <si>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</si>
  <si>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</si>
  <si>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</si>
  <si>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</si>
  <si>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</si>
  <si>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</si>
  <si>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</si>
  <si>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</si>
  <si>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</si>
  <si>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</si>
  <si>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</si>
  <si>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</si>
  <si>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</si>
  <si>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</si>
  <si>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</si>
  <si>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</si>
  <si>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</si>
  <si>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</si>
  <si>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</si>
  <si>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</si>
  <si>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</si>
  <si>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</si>
  <si>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</si>
  <si>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</si>
  <si>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</si>
  <si>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</si>
  <si>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</si>
  <si>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</si>
  <si>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</si>
  <si>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</si>
  <si>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</si>
  <si>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</si>
  <si>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</si>
  <si>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</si>
  <si>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</si>
  <si>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</si>
  <si>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</si>
  <si>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</si>
  <si>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</si>
  <si>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</si>
  <si>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</si>
  <si>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</si>
  <si>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</si>
  <si>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</si>
  <si>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</si>
  <si>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</si>
  <si>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</si>
  <si>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</si>
  <si>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</si>
  <si>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</si>
  <si>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</si>
  <si>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</si>
  <si>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</si>
  <si>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</si>
  <si>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</si>
  <si>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</si>
  <si>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</si>
  <si>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</si>
  <si>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</si>
  <si>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</si>
  <si>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</si>
  <si>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</si>
  <si>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</si>
  <si>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</si>
  <si>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</si>
  <si>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</si>
  <si>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</si>
  <si>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</si>
  <si>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</si>
  <si>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</si>
  <si>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</si>
  <si>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</si>
  <si>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</si>
  <si>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</si>
  <si>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</si>
  <si>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</si>
  <si>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</si>
  <si>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</si>
  <si>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</si>
  <si>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</si>
  <si>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</si>
  <si>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</si>
  <si>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</si>
  <si>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</si>
  <si>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</si>
  <si>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</si>
  <si>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</si>
  <si>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</si>
  <si>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</si>
  <si>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</si>
  <si>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</si>
  <si>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</si>
  <si>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</si>
  <si>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</si>
  <si>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</si>
  <si>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</si>
  <si>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</si>
  <si>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</si>
  <si>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</si>
  <si>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</si>
  <si>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</si>
  <si>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</si>
  <si>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</si>
  <si>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</si>
  <si>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</si>
  <si>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</si>
  <si>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</si>
  <si>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</si>
  <si>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</si>
  <si>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</si>
  <si>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</si>
  <si>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</si>
  <si>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</si>
  <si>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</si>
  <si>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</si>
  <si>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</si>
  <si>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</si>
  <si>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</si>
  <si>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</si>
  <si>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</si>
  <si>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</si>
  <si>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</si>
  <si>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</si>
  <si>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</si>
  <si>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</si>
  <si>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</si>
  <si>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</si>
  <si>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</si>
  <si>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</si>
  <si>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</si>
  <si>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</si>
  <si>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</si>
  <si>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</si>
  <si>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</si>
  <si>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</si>
  <si>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</si>
  <si>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</si>
  <si>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</si>
  <si>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</si>
  <si>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</si>
  <si>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</si>
  <si>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</si>
  <si>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</si>
  <si>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</si>
  <si>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</si>
  <si>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</si>
  <si>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</si>
  <si>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</si>
  <si>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</si>
  <si>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</si>
  <si>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</si>
  <si>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</si>
  <si>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</si>
  <si>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</si>
  <si>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</si>
  <si>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</si>
  <si>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</si>
  <si>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</si>
  <si>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</si>
  <si>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</si>
  <si>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</si>
  <si>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</si>
  <si>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</si>
  <si>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</si>
  <si>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</si>
  <si>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</si>
  <si>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</si>
  <si>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</si>
  <si>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</si>
  <si>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</si>
  <si>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</si>
  <si>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</si>
  <si>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</si>
  <si>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</si>
  <si>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</si>
  <si>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</si>
  <si>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</si>
  <si>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</si>
  <si>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</si>
  <si>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</si>
  <si>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</si>
  <si>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</si>
  <si>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</si>
  <si>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</si>
  <si>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</si>
  <si>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</si>
  <si>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</si>
  <si>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</si>
  <si>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</si>
  <si>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</si>
  <si>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</si>
  <si>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</si>
  <si>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</si>
  <si>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</si>
  <si>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</si>
  <si>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</si>
  <si>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</si>
  <si>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</si>
  <si>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</si>
  <si>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</si>
  <si>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</si>
  <si>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</si>
  <si>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</si>
  <si>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</si>
  <si>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</si>
  <si>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</si>
  <si>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</si>
  <si>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</si>
  <si>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</si>
  <si>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</si>
  <si>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</si>
  <si>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</si>
  <si>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</si>
  <si>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</si>
  <si>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</si>
  <si>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</si>
  <si>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</si>
  <si>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</si>
  <si>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</si>
  <si>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</si>
  <si>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</si>
  <si>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</si>
  <si>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</si>
  <si>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</si>
  <si>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</si>
  <si>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</si>
  <si>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</si>
  <si>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</si>
  <si>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</si>
  <si>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</si>
  <si>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</si>
  <si>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</si>
  <si>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</si>
  <si>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</si>
  <si>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</si>
  <si>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</si>
  <si>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</si>
  <si>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</si>
  <si>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</si>
  <si>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</si>
  <si>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</si>
  <si>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</si>
  <si>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</si>
  <si>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</si>
  <si>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</si>
  <si>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</si>
  <si>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</si>
  <si>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</si>
  <si>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</si>
  <si>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</si>
  <si>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</si>
  <si>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</si>
  <si>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</si>
  <si>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</si>
  <si>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</si>
  <si>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</si>
  <si>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</si>
  <si>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</si>
  <si>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</si>
  <si>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</si>
  <si>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</si>
  <si>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</si>
  <si>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</si>
  <si>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</si>
  <si>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</si>
  <si>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</si>
  <si>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</si>
  <si>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</si>
  <si>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</si>
  <si>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</si>
  <si>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</si>
  <si>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</si>
  <si>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</si>
  <si>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</si>
  <si>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</si>
  <si>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</si>
  <si>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</si>
  <si>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</si>
  <si>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</si>
  <si>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</si>
  <si>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</si>
  <si>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</si>
  <si>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</si>
  <si>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</si>
  <si>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</si>
  <si>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</si>
  <si>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</si>
  <si>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</si>
  <si>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</si>
  <si>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</si>
  <si>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</si>
  <si>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</si>
  <si>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</si>
  <si>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</si>
  <si>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</si>
  <si>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</si>
  <si>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</si>
  <si>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</si>
  <si>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</si>
  <si>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</si>
  <si>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</si>
  <si>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</si>
  <si>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</si>
  <si>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</si>
  <si>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</si>
  <si>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</si>
  <si>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</si>
  <si>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</si>
  <si>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</si>
  <si>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</si>
  <si>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</si>
  <si>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</si>
  <si>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</si>
  <si>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</si>
  <si>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</si>
  <si>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</si>
  <si>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</si>
  <si>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</si>
  <si>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</si>
  <si>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</si>
  <si>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</si>
  <si>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</si>
  <si>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</si>
  <si>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</si>
  <si>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</si>
  <si>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</si>
  <si>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</si>
  <si>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</si>
  <si>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</si>
  <si>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</si>
  <si>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</si>
  <si>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</si>
  <si>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</si>
  <si>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</si>
  <si>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</si>
  <si>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</si>
  <si>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</si>
  <si>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</si>
  <si>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</si>
  <si>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</si>
  <si>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</si>
  <si>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</si>
  <si>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</si>
  <si>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</si>
  <si>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</si>
  <si>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</si>
  <si>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</si>
  <si>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</si>
  <si>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</si>
  <si>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</si>
  <si>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</si>
  <si>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</si>
  <si>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</si>
  <si>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</si>
  <si>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</si>
  <si>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</si>
  <si>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</si>
  <si>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</si>
  <si>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</si>
  <si>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</si>
  <si>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</si>
  <si>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</si>
  <si>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</si>
  <si>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</si>
  <si>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</si>
  <si>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</si>
  <si>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</si>
  <si>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</si>
  <si>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</si>
  <si>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</si>
  <si>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</si>
  <si>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</si>
  <si>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</si>
  <si>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</si>
  <si>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</si>
  <si>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</si>
  <si>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</si>
  <si>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</si>
  <si>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</si>
  <si>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</si>
  <si>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</si>
  <si>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</si>
  <si>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</si>
  <si>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</si>
  <si>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</si>
  <si>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</si>
  <si>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</si>
  <si>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</si>
  <si>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</si>
  <si>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</si>
  <si>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</si>
  <si>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</si>
  <si>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</si>
  <si>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</si>
  <si>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</si>
  <si>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</si>
  <si>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</si>
  <si>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</si>
  <si>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</si>
  <si>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</si>
  <si>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</si>
  <si>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</si>
  <si>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</si>
  <si>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</si>
  <si>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</si>
  <si>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</si>
  <si>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</si>
  <si>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</si>
  <si>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</si>
  <si>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</si>
  <si>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</si>
  <si>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</si>
  <si>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</si>
  <si>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</si>
  <si>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</si>
  <si>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</si>
  <si>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</si>
  <si>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</si>
  <si>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</si>
  <si>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</si>
  <si>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</si>
  <si>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</si>
  <si>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</si>
  <si>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</si>
  <si>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</si>
  <si>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</si>
  <si>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</si>
  <si>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</si>
  <si>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</si>
  <si>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</si>
  <si>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</si>
  <si>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</si>
  <si>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</si>
  <si>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</si>
  <si>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</si>
  <si>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</si>
  <si>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</si>
  <si>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</si>
  <si>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</si>
  <si>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</si>
  <si>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</si>
  <si>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</si>
  <si>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</si>
  <si>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</si>
  <si>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</si>
  <si>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</si>
  <si>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</si>
  <si>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</si>
  <si>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</si>
  <si>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</si>
  <si>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</si>
  <si>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</si>
  <si>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</si>
  <si>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</si>
  <si>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</si>
  <si>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</si>
  <si>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</si>
  <si>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</si>
  <si>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</si>
  <si>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</si>
  <si>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</si>
  <si>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</si>
  <si>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</si>
  <si>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</si>
  <si>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</si>
  <si>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</si>
  <si>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</si>
  <si>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</si>
  <si>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</si>
  <si>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</si>
  <si>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</si>
  <si>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</si>
  <si>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</si>
  <si>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</si>
  <si>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</si>
  <si>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</si>
  <si>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</si>
  <si>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</si>
  <si>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</si>
  <si>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</si>
  <si>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</si>
  <si>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</si>
  <si>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</si>
  <si>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</si>
  <si>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</si>
  <si>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</si>
  <si>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</si>
  <si>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</si>
  <si>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</si>
  <si>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</si>
  <si>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</si>
  <si>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</si>
  <si>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</si>
  <si>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</si>
  <si>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</si>
  <si>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</si>
  <si>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</si>
  <si>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</si>
  <si>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</si>
  <si>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</si>
  <si>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</si>
  <si>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</si>
  <si>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</si>
  <si>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</si>
  <si>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</si>
  <si>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</si>
  <si>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</si>
  <si>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</si>
  <si>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</si>
  <si>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</si>
  <si>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</si>
  <si>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</si>
  <si>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</si>
  <si>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</si>
  <si>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</si>
  <si>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</si>
  <si>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</si>
  <si>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</si>
  <si>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</si>
  <si>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</si>
  <si>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</si>
  <si>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</si>
  <si>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</si>
  <si>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</si>
  <si>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</si>
  <si>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</si>
  <si>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</si>
  <si>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</si>
  <si>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</si>
  <si>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</si>
  <si>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</si>
  <si>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</si>
  <si>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</si>
  <si>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</si>
  <si>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</si>
  <si>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</si>
  <si>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</si>
  <si>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</si>
  <si>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</si>
  <si>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</si>
  <si>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</si>
  <si>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</si>
  <si>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</si>
  <si>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</si>
  <si>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</si>
  <si>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</si>
  <si>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</si>
  <si>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</si>
  <si>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</si>
  <si>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</si>
  <si>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</si>
  <si>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</si>
  <si>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</si>
  <si>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</si>
  <si>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</si>
  <si>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</si>
  <si>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</si>
  <si>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</si>
  <si>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</si>
  <si>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</si>
  <si>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</si>
  <si>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</si>
  <si>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</si>
  <si>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</si>
  <si>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</si>
  <si>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</si>
  <si>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</si>
  <si>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</si>
  <si>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</si>
  <si>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</si>
  <si>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</si>
  <si>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</si>
  <si>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</si>
  <si>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</si>
  <si>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</si>
  <si>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</si>
  <si>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</si>
  <si>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</si>
  <si>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</si>
  <si>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</si>
  <si>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</si>
  <si>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</si>
  <si>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</si>
  <si>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</si>
  <si>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</si>
  <si>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</si>
  <si>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</si>
  <si>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</si>
  <si>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</si>
  <si>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</si>
  <si>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</si>
  <si>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</si>
  <si>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</si>
  <si>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</si>
  <si>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</si>
  <si>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</si>
  <si>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</si>
  <si>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</si>
  <si>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</si>
  <si>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</si>
  <si>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</si>
  <si>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</si>
  <si>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</si>
  <si>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</si>
  <si>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</si>
  <si>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</si>
  <si>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</si>
  <si>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</si>
  <si>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</si>
  <si>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</si>
  <si>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</si>
  <si>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</si>
  <si>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</si>
  <si>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</si>
  <si>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</si>
  <si>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</si>
  <si>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</si>
  <si>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</si>
  <si>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</si>
  <si>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</si>
  <si>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</si>
  <si>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</si>
  <si>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</si>
  <si>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</si>
  <si>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</si>
  <si>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</si>
  <si>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</si>
  <si>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</si>
  <si>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</si>
  <si>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</si>
  <si>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</si>
  <si>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</si>
  <si>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</si>
  <si>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</si>
  <si>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</si>
  <si>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</si>
  <si>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</si>
  <si>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</si>
  <si>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</si>
  <si>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</si>
  <si>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</si>
  <si>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</si>
  <si>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</si>
  <si>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</si>
  <si>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</si>
  <si>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</si>
  <si>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</si>
  <si>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</si>
  <si>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</si>
  <si>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</si>
  <si>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</si>
  <si>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</si>
  <si>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</si>
  <si>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</si>
  <si>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</si>
  <si>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</si>
  <si>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</si>
  <si>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</si>
  <si>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</si>
  <si>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</si>
  <si>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</si>
  <si>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</si>
  <si>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</si>
  <si>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</si>
  <si>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</si>
  <si>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</si>
  <si>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</si>
  <si>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</si>
  <si>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</si>
  <si>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</si>
  <si>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</si>
  <si>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</si>
  <si>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</si>
  <si>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</si>
  <si>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</si>
  <si>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</si>
  <si>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</si>
  <si>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</si>
  <si>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</si>
  <si>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</si>
  <si>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</si>
  <si>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</si>
  <si>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</si>
  <si>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</si>
  <si>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</si>
  <si>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</si>
  <si>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</si>
  <si>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</si>
  <si>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</si>
  <si>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</si>
  <si>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</si>
  <si>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</si>
  <si>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</si>
  <si>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</si>
  <si>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</si>
  <si>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</si>
  <si>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</si>
  <si>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</si>
  <si>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</si>
  <si>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</si>
  <si>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</si>
  <si>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</si>
  <si>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</si>
  <si>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</si>
  <si>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</si>
  <si>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</si>
  <si>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</si>
  <si>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</si>
  <si>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</si>
  <si>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</si>
  <si>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</si>
  <si>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</si>
  <si>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</si>
  <si>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</si>
  <si>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</si>
  <si>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</si>
  <si>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</si>
  <si>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</si>
  <si>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</si>
  <si>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</si>
  <si>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</si>
  <si>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</si>
  <si>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</si>
  <si>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</si>
  <si>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</si>
  <si>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</si>
  <si>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</si>
  <si>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</si>
  <si>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</si>
  <si>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</si>
  <si>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</si>
  <si>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</si>
  <si>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</si>
  <si>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</si>
  <si>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</si>
  <si>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</si>
  <si>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</si>
  <si>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</si>
  <si>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</si>
  <si>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</si>
  <si>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</si>
  <si>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</si>
  <si>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</si>
  <si>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</si>
  <si>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</si>
  <si>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</si>
  <si>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</si>
  <si>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</si>
  <si>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</si>
  <si>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</si>
  <si>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</si>
  <si>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</si>
  <si>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</si>
  <si>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</si>
  <si>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</si>
  <si>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</si>
  <si>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</si>
  <si>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</si>
  <si>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</si>
  <si>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</si>
  <si>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</si>
  <si>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</si>
  <si>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</si>
  <si>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</si>
  <si>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</si>
  <si>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</si>
  <si>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</si>
  <si>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</si>
  <si>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</si>
  <si>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</si>
  <si>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</si>
  <si>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</si>
  <si>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</si>
  <si>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</si>
  <si>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</si>
  <si>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</si>
  <si>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</si>
  <si>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</si>
  <si>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</si>
  <si>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</si>
  <si>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</si>
  <si>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</si>
  <si>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</si>
  <si>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</si>
  <si>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</si>
  <si>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</si>
  <si>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</si>
  <si>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</si>
  <si>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</si>
  <si>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</si>
  <si>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</si>
  <si>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</si>
  <si>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</si>
  <si>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</si>
  <si>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</si>
  <si>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</si>
  <si>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</si>
  <si>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</si>
  <si>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</si>
  <si>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</si>
  <si>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</si>
  <si>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</si>
  <si>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</si>
  <si>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</si>
  <si>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</si>
  <si>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</si>
  <si>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</si>
  <si>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</si>
  <si>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</si>
  <si>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</si>
  <si>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</si>
  <si>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</si>
  <si>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</si>
  <si>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</si>
  <si>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</si>
  <si>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</si>
  <si>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</si>
  <si>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</si>
  <si>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</si>
  <si>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</si>
  <si>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</si>
  <si>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</si>
  <si>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</si>
  <si>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</si>
  <si>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</si>
  <si>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</si>
  <si>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</si>
  <si>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</si>
  <si>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</si>
  <si>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</si>
  <si>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</si>
  <si>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</si>
  <si>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</si>
  <si>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</si>
  <si>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</si>
  <si>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</si>
  <si>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</si>
  <si>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</si>
  <si>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</si>
  <si>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</si>
  <si>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</si>
  <si>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</si>
  <si>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</si>
  <si>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</si>
  <si>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</si>
  <si>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</si>
  <si>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</si>
  <si>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</si>
  <si>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</si>
  <si>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</si>
  <si>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</si>
  <si>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</si>
  <si>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</si>
  <si>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</si>
  <si>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</si>
  <si>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</si>
  <si>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</si>
  <si>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</si>
  <si>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</si>
  <si>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</si>
  <si>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</si>
  <si>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</si>
  <si>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</si>
  <si>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</si>
  <si>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</si>
  <si>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</si>
  <si>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</si>
  <si>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</si>
  <si>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</si>
  <si>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</si>
  <si>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</si>
  <si>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</si>
  <si>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</si>
  <si>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</si>
  <si>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</si>
  <si>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</si>
  <si>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</si>
  <si>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</si>
  <si>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</si>
  <si>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</si>
  <si>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</si>
  <si>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</si>
  <si>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</si>
  <si>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</si>
  <si>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</si>
  <si>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</si>
  <si>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</si>
  <si>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</si>
  <si>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</si>
  <si>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</si>
  <si>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</si>
  <si>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</si>
  <si>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</si>
  <si>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</si>
  <si>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</si>
  <si>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</si>
  <si>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</si>
  <si>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</si>
  <si>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</si>
  <si>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</si>
  <si>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</si>
  <si>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</si>
  <si>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</si>
  <si>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</si>
  <si>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</si>
  <si>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</si>
  <si>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</si>
  <si>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</si>
  <si>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</si>
  <si>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</si>
  <si>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</si>
  <si>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</si>
  <si>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</si>
  <si>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</si>
  <si>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</si>
  <si>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</si>
  <si>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</si>
  <si>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</si>
  <si>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</si>
  <si>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</si>
  <si>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</si>
  <si>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</si>
  <si>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</si>
  <si>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</si>
  <si>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</si>
  <si>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</si>
  <si>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</si>
  <si>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</si>
  <si>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</si>
  <si>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</si>
  <si>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</si>
  <si>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</si>
  <si>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</si>
  <si>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</si>
  <si>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</si>
  <si>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</si>
  <si>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</si>
  <si>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</si>
  <si>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</si>
  <si>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</si>
  <si>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</si>
  <si>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</si>
  <si>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</si>
  <si>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</si>
  <si>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</si>
  <si>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</si>
  <si>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</si>
  <si>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</si>
  <si>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</si>
  <si>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</si>
  <si>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</si>
  <si>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</si>
  <si>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</si>
  <si>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</si>
  <si>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</si>
  <si>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</si>
  <si>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</si>
  <si>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</si>
  <si>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</si>
  <si>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</si>
  <si>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</si>
  <si>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</si>
  <si>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</si>
  <si>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</si>
  <si>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</si>
  <si>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</si>
  <si>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</si>
  <si>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</si>
  <si>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</si>
  <si>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</si>
  <si>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</si>
  <si>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</si>
  <si>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</si>
  <si>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</si>
  <si>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</si>
  <si>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</si>
  <si>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</si>
  <si>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</si>
  <si>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</si>
  <si>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</si>
  <si>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</si>
  <si>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</si>
  <si>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</si>
  <si>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</si>
  <si>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</si>
  <si>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</si>
  <si>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</si>
  <si>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</si>
  <si>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</si>
  <si>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</si>
  <si>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</si>
  <si>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</si>
  <si>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</si>
  <si>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</si>
  <si>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</si>
  <si>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</si>
  <si>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</si>
  <si>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</si>
  <si>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</si>
  <si>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</si>
  <si>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</si>
  <si>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</si>
  <si>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</si>
  <si>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</si>
  <si>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</si>
  <si>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</si>
  <si>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</si>
  <si>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</si>
  <si>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</si>
  <si>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</si>
  <si>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</si>
  <si>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</si>
  <si>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</si>
  <si>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</si>
  <si>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</si>
  <si>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</si>
  <si>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</si>
  <si>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</si>
  <si>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</si>
  <si>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</si>
  <si>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</si>
  <si>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</si>
  <si>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</si>
  <si>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</si>
  <si>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</si>
  <si>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</si>
  <si>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</si>
  <si>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</si>
  <si>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</si>
  <si>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</si>
  <si>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</si>
  <si>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</si>
  <si>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</si>
  <si>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</si>
  <si>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</si>
  <si>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</si>
  <si>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</si>
  <si>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</si>
  <si>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</si>
  <si>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</si>
  <si>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</si>
  <si>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</si>
  <si>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</si>
  <si>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</si>
  <si>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</si>
  <si>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</si>
  <si>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</si>
  <si>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</si>
  <si>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</si>
  <si>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</si>
  <si>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</si>
  <si>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</si>
  <si>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</si>
  <si>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</si>
  <si>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</si>
  <si>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</si>
  <si>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</si>
  <si>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</si>
  <si>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</si>
  <si>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</si>
  <si>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</si>
  <si>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</si>
  <si>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</si>
  <si>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</si>
  <si>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</si>
  <si>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</si>
  <si>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</si>
  <si>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</si>
  <si>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</si>
  <si>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</si>
  <si>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</si>
  <si>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</si>
  <si>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</si>
  <si>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</si>
  <si>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</si>
  <si>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</si>
  <si>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</si>
  <si>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</si>
  <si>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</si>
  <si>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</si>
  <si>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</si>
  <si>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</si>
  <si>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</si>
  <si>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</si>
  <si>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</si>
  <si>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</si>
  <si>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</si>
  <si>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</si>
  <si>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</si>
  <si>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</si>
  <si>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</si>
  <si>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</si>
  <si>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</si>
  <si>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</si>
  <si>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</si>
  <si>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</si>
  <si>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</si>
  <si>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</si>
  <si>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</si>
  <si>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</si>
  <si>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</si>
  <si>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</si>
  <si>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</si>
  <si>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</si>
  <si>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</si>
  <si>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</si>
  <si>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</si>
  <si>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</si>
  <si>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</si>
  <si>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</si>
  <si>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</si>
  <si>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</si>
  <si>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</si>
  <si>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</si>
  <si>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</si>
  <si>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</si>
  <si>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</si>
  <si>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</si>
  <si>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</si>
  <si>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</si>
  <si>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</si>
  <si>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</si>
  <si>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</si>
  <si>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</si>
  <si>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</si>
  <si>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</si>
  <si>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</si>
  <si>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</si>
  <si>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</si>
  <si>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</si>
  <si>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</si>
  <si>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</si>
  <si>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</si>
  <si>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</si>
  <si>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</si>
  <si>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</si>
  <si>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</si>
  <si>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</si>
  <si>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</si>
  <si>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</si>
  <si>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</si>
  <si>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</si>
  <si>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</si>
  <si>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</si>
  <si>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</si>
  <si>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</si>
  <si>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</si>
  <si>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</si>
  <si>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</si>
  <si>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</si>
  <si>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</si>
  <si>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</si>
  <si>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</si>
  <si>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</si>
  <si>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</si>
  <si>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</si>
  <si>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</si>
  <si>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</si>
  <si>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</si>
  <si>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</si>
  <si>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</si>
  <si>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</si>
  <si>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</si>
  <si>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</si>
  <si>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</si>
  <si>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</si>
  <si>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</si>
  <si>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</si>
  <si>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</si>
  <si>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</si>
  <si>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</si>
  <si>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</si>
  <si>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</si>
  <si>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</si>
  <si>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</si>
  <si>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</si>
  <si>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</si>
  <si>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</si>
  <si>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</si>
  <si>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</si>
  <si>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</si>
  <si>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</si>
  <si>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</si>
  <si>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</si>
  <si>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</si>
  <si>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</si>
  <si>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</si>
  <si>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</si>
  <si>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</si>
  <si>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</si>
  <si>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</si>
  <si>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</si>
  <si>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</si>
  <si>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</si>
  <si>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</si>
  <si>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</si>
  <si>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</si>
  <si>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</si>
  <si>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</si>
  <si>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</si>
  <si>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</si>
  <si>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</si>
  <si>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</si>
  <si>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</si>
  <si>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</si>
  <si>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</si>
  <si>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</si>
  <si>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</si>
  <si>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</si>
  <si>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</si>
  <si>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</si>
  <si>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</si>
  <si>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</si>
  <si>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</si>
  <si>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</si>
  <si>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</si>
  <si>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</si>
  <si>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</si>
  <si>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</si>
  <si>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</si>
  <si>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</si>
  <si>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</si>
  <si>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</si>
  <si>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</si>
  <si>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</si>
  <si>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</si>
  <si>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</si>
  <si>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</si>
  <si>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</si>
  <si>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</si>
  <si>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</si>
  <si>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</si>
  <si>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</si>
  <si>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</si>
  <si>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</si>
  <si>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</si>
  <si>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</si>
  <si>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</si>
  <si>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</si>
  <si>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</si>
  <si>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</si>
  <si>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</si>
  <si>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</si>
  <si>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</si>
  <si>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</si>
  <si>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</si>
  <si>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</si>
  <si>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</si>
  <si>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</si>
  <si>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</si>
  <si>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</si>
  <si>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</si>
  <si>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</si>
  <si>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</si>
  <si>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</si>
  <si>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</si>
  <si>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</si>
  <si>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</si>
  <si>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</si>
  <si>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</si>
  <si>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</si>
  <si>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</si>
  <si>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</si>
  <si>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</si>
  <si>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</si>
  <si>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</si>
  <si>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</si>
  <si>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</si>
  <si>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</si>
  <si>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</si>
  <si>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</si>
  <si>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</si>
  <si>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</si>
  <si>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</si>
  <si>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</si>
  <si>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</si>
  <si>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</si>
  <si>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</si>
  <si>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</si>
  <si>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</si>
  <si>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</si>
  <si>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</si>
  <si>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</si>
  <si>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</si>
  <si>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</si>
  <si>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</si>
  <si>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</si>
  <si>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</si>
  <si>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</si>
  <si>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</si>
  <si>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</si>
  <si>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</si>
  <si>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</si>
  <si>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</si>
  <si>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</si>
  <si>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</si>
  <si>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</si>
  <si>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</si>
  <si>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</si>
  <si>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</si>
  <si>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</si>
  <si>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</si>
  <si>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</si>
  <si>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</si>
  <si>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</si>
  <si>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</si>
  <si>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</si>
  <si>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</si>
  <si>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</si>
  <si>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</si>
  <si>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</si>
  <si>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</si>
  <si>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</si>
  <si>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</si>
  <si>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</si>
  <si>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</si>
  <si>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</si>
  <si>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</si>
  <si>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</si>
  <si>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</si>
  <si>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</si>
  <si>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</si>
  <si>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</si>
  <si>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</si>
  <si>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</si>
  <si>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</si>
  <si>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</si>
  <si>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</si>
  <si>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</si>
  <si>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</si>
  <si>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</si>
  <si>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</si>
  <si>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</si>
  <si>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</si>
  <si>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</si>
  <si>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</si>
  <si>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</si>
  <si>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</si>
  <si>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</si>
  <si>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</si>
  <si>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</si>
  <si>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</si>
  <si>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</si>
  <si>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</si>
  <si>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</si>
  <si>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</si>
  <si>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</si>
  <si>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</si>
  <si>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</si>
  <si>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</si>
  <si>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</si>
  <si>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</si>
  <si>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</si>
  <si>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</si>
  <si>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</si>
  <si>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</si>
  <si>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</si>
  <si>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</si>
  <si>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</si>
  <si>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</si>
  <si>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</si>
  <si>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</si>
  <si>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</si>
  <si>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</si>
  <si>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</si>
  <si>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</si>
  <si>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</si>
  <si>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</si>
  <si>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</si>
  <si>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</si>
  <si>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</si>
  <si>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</si>
  <si>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</si>
  <si>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</si>
  <si>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</si>
  <si>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</si>
  <si>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</si>
  <si>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</si>
  <si>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</si>
  <si>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</si>
  <si>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</si>
  <si>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</si>
  <si>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</si>
  <si>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</si>
  <si>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</si>
  <si>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</si>
  <si>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</si>
  <si>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</si>
  <si>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</si>
  <si>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</si>
  <si>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</si>
  <si>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</si>
  <si>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</si>
  <si>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</si>
  <si>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</si>
  <si>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</si>
  <si>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</si>
  <si>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</si>
  <si>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</si>
  <si>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</si>
  <si>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</si>
  <si>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</si>
  <si>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</si>
  <si>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</si>
  <si>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</si>
  <si>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</si>
  <si>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</si>
  <si>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</si>
  <si>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</si>
  <si>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</si>
  <si>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</si>
  <si>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</si>
  <si>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</si>
  <si>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</si>
  <si>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</si>
  <si>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</si>
  <si>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</si>
  <si>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</si>
  <si>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</si>
  <si>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</si>
  <si>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</si>
  <si>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</si>
  <si>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</si>
  <si>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</si>
  <si>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</si>
  <si>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</si>
  <si>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</si>
  <si>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</si>
  <si>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</si>
  <si>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</si>
  <si>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</si>
  <si>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</si>
  <si>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</si>
  <si>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</si>
  <si>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</si>
  <si>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</si>
  <si>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</si>
  <si>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</si>
  <si>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</si>
  <si>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</si>
  <si>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</si>
  <si>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</si>
  <si>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</si>
  <si>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</si>
  <si>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</si>
  <si>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</si>
  <si>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</si>
  <si>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</si>
  <si>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</si>
  <si>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</si>
  <si>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</si>
  <si>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</si>
  <si>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</si>
  <si>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</si>
  <si>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</si>
  <si>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</si>
  <si>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</si>
  <si>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</si>
  <si>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</si>
  <si>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</si>
  <si>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</si>
  <si>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</si>
  <si>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</si>
  <si>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</si>
  <si>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</si>
  <si>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</si>
  <si>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</si>
  <si>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</si>
  <si>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</si>
  <si>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</si>
  <si>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</si>
  <si>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</si>
  <si>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</si>
  <si>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</si>
  <si>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</si>
  <si>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</si>
  <si>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</si>
  <si>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</si>
  <si>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</si>
  <si>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</si>
  <si>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</si>
  <si>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</si>
  <si>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</si>
  <si>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</si>
  <si>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</si>
  <si>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</si>
  <si>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</si>
  <si>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</si>
  <si>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</si>
  <si>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</si>
  <si>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</si>
  <si>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</si>
  <si>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</si>
  <si>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</si>
  <si>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</si>
  <si>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</si>
  <si>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</si>
  <si>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</si>
  <si>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</si>
  <si>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</si>
  <si>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</si>
  <si>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</si>
  <si>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</si>
  <si>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</si>
  <si>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</si>
  <si>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</si>
  <si>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</si>
  <si>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</si>
  <si>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</si>
  <si>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</si>
  <si>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</si>
  <si>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</si>
  <si>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</si>
  <si>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</si>
  <si>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</si>
  <si>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</si>
  <si>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</si>
  <si>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</si>
  <si>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</si>
  <si>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</si>
  <si>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</si>
  <si>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</si>
  <si>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</si>
  <si>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</si>
  <si>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</si>
  <si>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</si>
  <si>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</si>
  <si>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</si>
  <si>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</si>
  <si>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</si>
  <si>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</si>
  <si>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</si>
  <si>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</si>
  <si>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</si>
  <si>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</si>
  <si>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</si>
  <si>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</si>
  <si>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</si>
  <si>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</si>
  <si>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</si>
  <si>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</si>
  <si>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</si>
  <si>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</si>
  <si>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</si>
  <si>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</si>
  <si>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</si>
  <si>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</si>
  <si>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</si>
  <si>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</si>
  <si>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</si>
  <si>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</si>
  <si>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</si>
  <si>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</si>
  <si>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</si>
  <si>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</si>
  <si>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</si>
  <si>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</si>
  <si>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</si>
  <si>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</si>
  <si>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</si>
  <si>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</si>
  <si>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</si>
  <si>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</si>
  <si>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</si>
  <si>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</si>
  <si>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</si>
  <si>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</si>
  <si>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</si>
  <si>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</si>
  <si>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</si>
  <si>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</si>
  <si>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</si>
  <si>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</si>
  <si>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</si>
  <si>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</si>
  <si>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</si>
  <si>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</si>
  <si>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</si>
  <si>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</si>
  <si>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</si>
  <si>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</si>
  <si>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</si>
  <si>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</si>
  <si>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</si>
  <si>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</si>
  <si>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</si>
  <si>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</si>
  <si>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</si>
  <si>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</si>
  <si>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</si>
  <si>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</si>
  <si>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</si>
  <si>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</si>
  <si>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</si>
  <si>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</si>
  <si>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</si>
  <si>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</si>
  <si>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</si>
  <si>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</si>
  <si>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</si>
  <si>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</si>
  <si>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</si>
  <si>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</si>
  <si>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</si>
  <si>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</si>
  <si>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</si>
  <si>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</si>
  <si>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</si>
  <si>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</si>
  <si>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</si>
  <si>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</si>
  <si>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</si>
  <si>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</si>
  <si>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</si>
  <si>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</si>
  <si>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</si>
  <si>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</si>
  <si>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</si>
  <si>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</si>
  <si>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</si>
  <si>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</si>
  <si>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</si>
  <si>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</si>
  <si>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</si>
  <si>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</si>
  <si>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</si>
  <si>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</si>
  <si>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</si>
  <si>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</si>
  <si>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</si>
  <si>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</si>
  <si>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</si>
  <si>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</si>
  <si>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</si>
  <si>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</si>
  <si>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</si>
  <si>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</si>
  <si>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</si>
  <si>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</si>
  <si>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</si>
  <si>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</si>
  <si>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</si>
  <si>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</si>
  <si>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</si>
  <si>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</si>
  <si>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</si>
  <si>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</si>
  <si>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</si>
  <si>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</si>
  <si>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</si>
  <si>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</si>
  <si>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</si>
  <si>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</si>
  <si>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</si>
  <si>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</si>
  <si>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</si>
  <si>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</si>
  <si>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</si>
  <si>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</si>
  <si>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</si>
  <si>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</si>
  <si>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</si>
  <si>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</si>
  <si>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</si>
  <si>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</si>
  <si>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</si>
  <si>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</si>
  <si>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</si>
  <si>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</si>
  <si>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</si>
  <si>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</si>
  <si>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</si>
  <si>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</si>
  <si>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</si>
  <si>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</si>
  <si>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</si>
  <si>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</si>
  <si>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</si>
  <si>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</si>
  <si>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</si>
  <si>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</si>
  <si>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</si>
  <si>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</si>
  <si>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</si>
  <si>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</si>
  <si>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</si>
  <si>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</si>
  <si>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</si>
  <si>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</si>
  <si>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</si>
  <si>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</si>
  <si>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</si>
  <si>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</si>
  <si>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</si>
  <si>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</si>
  <si>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</si>
  <si>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</si>
  <si>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</si>
  <si>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</si>
  <si>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</si>
  <si>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</si>
  <si>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</si>
  <si>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</si>
  <si>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</si>
  <si>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</si>
  <si>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</si>
  <si>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</si>
  <si>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</si>
  <si>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</si>
  <si>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</si>
  <si>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</si>
  <si>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</si>
  <si>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</si>
  <si>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</si>
  <si>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</si>
  <si>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</si>
  <si>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</si>
  <si>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</si>
  <si>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</si>
  <si>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</si>
  <si>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</si>
  <si>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</si>
  <si>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</si>
  <si>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</si>
  <si>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</si>
  <si>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</si>
  <si>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</si>
  <si>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</si>
  <si>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</si>
  <si>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</si>
  <si>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</si>
  <si>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</si>
  <si>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</si>
  <si>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</si>
  <si>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</si>
  <si>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</si>
  <si>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</si>
  <si>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</si>
  <si>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</si>
  <si>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</si>
  <si>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</si>
  <si>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</si>
  <si>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</si>
  <si>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</si>
  <si>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</si>
  <si>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</si>
  <si>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</si>
  <si>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</si>
  <si>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</si>
  <si>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</si>
  <si>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</si>
  <si>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</si>
  <si>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</si>
  <si>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</si>
  <si>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</si>
  <si>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</si>
  <si>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</si>
  <si>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</si>
  <si>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</si>
  <si>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</si>
  <si>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</si>
  <si>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</si>
  <si>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</si>
  <si>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</si>
  <si>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</si>
  <si>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</si>
  <si>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</si>
  <si>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</si>
  <si>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</si>
  <si>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</si>
  <si>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</si>
  <si>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</si>
  <si>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</si>
  <si>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</si>
  <si>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</si>
  <si>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</si>
  <si>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</si>
  <si>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</si>
  <si>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</si>
  <si>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</si>
  <si>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</si>
  <si>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</si>
  <si>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</si>
  <si>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</si>
  <si>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</si>
  <si>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</si>
  <si>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</si>
  <si>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</si>
  <si>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</si>
  <si>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</si>
  <si>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</si>
  <si>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</si>
  <si>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</si>
  <si>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</si>
  <si>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</si>
  <si>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</si>
  <si>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</si>
  <si>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</si>
  <si>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</si>
  <si>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</si>
  <si>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</si>
  <si>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</si>
  <si>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</si>
  <si>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</si>
  <si>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</si>
  <si>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</si>
  <si>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</si>
  <si>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</si>
  <si>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</si>
  <si>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</si>
  <si>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</si>
  <si>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</si>
  <si>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</si>
  <si>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</si>
  <si>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</si>
  <si>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</si>
  <si>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</si>
  <si>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</si>
  <si>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</si>
  <si>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</si>
  <si>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</si>
  <si>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</si>
  <si>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</si>
  <si>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</si>
  <si>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</si>
  <si>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</si>
  <si>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</si>
  <si>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</si>
  <si>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</si>
  <si>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</si>
  <si>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</si>
  <si>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</si>
  <si>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</si>
  <si>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</si>
  <si>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</si>
  <si>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</si>
  <si>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</si>
  <si>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</si>
  <si>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</si>
  <si>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</si>
  <si>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</si>
  <si>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</si>
  <si>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</si>
  <si>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</si>
  <si>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</si>
  <si>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</si>
  <si>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</si>
  <si>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</si>
  <si>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</si>
  <si>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</si>
  <si>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</si>
  <si>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</si>
  <si>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</si>
  <si>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</si>
  <si>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</si>
  <si>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</si>
  <si>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</si>
  <si>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</si>
  <si>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</si>
  <si>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</si>
  <si>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</si>
  <si>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</si>
  <si>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</si>
  <si>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</si>
  <si>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</si>
  <si>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</si>
  <si>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</si>
  <si>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</si>
  <si>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</si>
  <si>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</si>
  <si>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</si>
  <si>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</si>
  <si>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</si>
  <si>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</si>
  <si>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</si>
  <si>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</si>
  <si>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</si>
  <si>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</si>
  <si>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</si>
  <si>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</si>
  <si>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</si>
  <si>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</si>
  <si>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</si>
  <si>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</si>
  <si>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</si>
  <si>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</si>
  <si>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</si>
  <si>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</si>
  <si>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</si>
  <si>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</si>
  <si>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</si>
  <si>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</si>
  <si>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</si>
  <si>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</si>
  <si>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</si>
  <si>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</si>
  <si>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</si>
  <si>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</si>
  <si>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</si>
  <si>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</si>
  <si>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</si>
  <si>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</si>
  <si>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</si>
  <si>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</si>
  <si>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</si>
  <si>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</si>
  <si>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</si>
  <si>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</si>
  <si>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</si>
  <si>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</si>
  <si>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</si>
  <si>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</si>
  <si>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</si>
  <si>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</si>
  <si>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</si>
  <si>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</si>
  <si>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</si>
  <si>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</si>
  <si>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</si>
  <si>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</si>
  <si>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</si>
  <si>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</si>
  <si>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</si>
  <si>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</si>
  <si>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</si>
  <si>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</si>
  <si>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</si>
  <si>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</si>
  <si>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</si>
  <si>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</si>
  <si>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</si>
  <si>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</si>
  <si>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</si>
  <si>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</si>
  <si>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</si>
  <si>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</si>
  <si>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</si>
  <si>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</si>
  <si>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</si>
  <si>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</si>
  <si>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</si>
  <si>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</si>
  <si>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</si>
  <si>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</si>
  <si>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</si>
  <si>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</si>
  <si>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</si>
  <si>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</si>
  <si>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</si>
  <si>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</si>
  <si>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</si>
  <si>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</si>
  <si>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</si>
  <si>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</si>
  <si>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</si>
  <si>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</si>
  <si>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</si>
  <si>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</si>
  <si>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</si>
  <si>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</si>
  <si>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</si>
  <si>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</si>
  <si>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</si>
  <si>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</si>
  <si>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</si>
  <si>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</si>
  <si>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</si>
  <si>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</si>
  <si>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</si>
  <si>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</si>
  <si>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</si>
  <si>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</si>
  <si>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</si>
  <si>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</si>
  <si>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</si>
  <si>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</si>
  <si>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</si>
  <si>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</si>
  <si>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</si>
  <si>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</si>
  <si>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</si>
  <si>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</si>
  <si>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</si>
  <si>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</si>
  <si>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</si>
  <si>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</si>
  <si>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</si>
  <si>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</si>
  <si>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</si>
  <si>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</si>
  <si>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</si>
  <si>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</si>
  <si>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</si>
  <si>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</si>
  <si>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</si>
  <si>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</si>
  <si>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</si>
  <si>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</si>
  <si>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</si>
  <si>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</si>
  <si>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</si>
  <si>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</si>
  <si>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</si>
  <si>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</si>
  <si>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</si>
  <si>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</si>
  <si>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</si>
  <si>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</si>
  <si>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</si>
  <si>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</si>
  <si>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</si>
  <si>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</si>
  <si>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</si>
  <si>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</si>
  <si>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</si>
  <si>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</si>
  <si>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</si>
  <si>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</si>
  <si>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</si>
  <si>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</si>
  <si>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</si>
  <si>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</si>
  <si>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</si>
  <si>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</si>
  <si>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</si>
  <si>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</si>
  <si>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</si>
  <si>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</si>
  <si>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</si>
  <si>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</si>
  <si>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</si>
  <si>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</si>
  <si>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</si>
  <si>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</si>
  <si>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</si>
  <si>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</si>
  <si>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</si>
  <si>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</si>
  <si>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</si>
  <si>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</si>
  <si>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</si>
  <si>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</si>
  <si>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</si>
  <si>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</si>
  <si>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</si>
  <si>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</si>
  <si>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</si>
  <si>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</si>
  <si>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</si>
  <si>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</si>
  <si>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</si>
  <si>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</si>
  <si>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</si>
  <si>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</si>
  <si>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</si>
  <si>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</si>
  <si>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</si>
  <si>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</si>
  <si>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</si>
  <si>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</si>
  <si>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</si>
  <si>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</si>
  <si>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</si>
  <si>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</si>
  <si>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</si>
  <si>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</si>
  <si>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</si>
  <si>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</si>
  <si>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</si>
  <si>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</si>
  <si>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</si>
  <si>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</si>
  <si>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</si>
  <si>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</si>
  <si>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</si>
  <si>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</si>
  <si>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</si>
  <si>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</si>
  <si>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</si>
  <si>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</si>
  <si>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</si>
  <si>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</si>
  <si>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</si>
  <si>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</si>
  <si>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</si>
  <si>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</si>
  <si>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</si>
  <si>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</si>
  <si>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</si>
  <si>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</si>
  <si>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</si>
  <si>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</si>
  <si>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</si>
  <si>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</si>
  <si>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</si>
  <si>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</si>
  <si>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</si>
  <si>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</si>
  <si>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</si>
  <si>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</si>
  <si>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</si>
  <si>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</si>
  <si>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</si>
  <si>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</si>
  <si>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</si>
  <si>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</si>
  <si>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</si>
  <si>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</si>
  <si>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</si>
  <si>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</si>
  <si>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</si>
  <si>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</si>
  <si>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</si>
  <si>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</si>
  <si>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</si>
  <si>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</si>
  <si>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</si>
  <si>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</si>
  <si>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</si>
  <si>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</si>
  <si>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</si>
  <si>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</si>
  <si>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</si>
  <si>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</si>
  <si>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</si>
  <si>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</si>
  <si>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</si>
  <si>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</si>
  <si>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</si>
  <si>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</si>
  <si>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</si>
  <si>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</si>
  <si>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</si>
  <si>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</si>
  <si>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</si>
  <si>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</si>
  <si>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</si>
  <si>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</si>
  <si>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</si>
  <si>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</si>
  <si>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</si>
  <si>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</si>
  <si>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</si>
  <si>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</si>
  <si>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</si>
  <si>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</si>
  <si>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</si>
  <si>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</si>
  <si>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</si>
  <si>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</si>
  <si>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</si>
  <si>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</si>
  <si>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</si>
  <si>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</si>
  <si>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</si>
  <si>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</si>
  <si>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</si>
  <si>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</si>
  <si>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</si>
  <si>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</si>
  <si>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</si>
  <si>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</si>
  <si>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</si>
  <si>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</si>
  <si>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</si>
  <si>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</si>
  <si>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</si>
  <si>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</si>
  <si>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</si>
  <si>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</si>
  <si>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</si>
  <si>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</si>
  <si>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</si>
  <si>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</si>
  <si>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</si>
  <si>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</si>
  <si>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</si>
  <si>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</si>
  <si>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</si>
  <si>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</si>
  <si>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</si>
  <si>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</si>
  <si>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</si>
  <si>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</si>
  <si>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</si>
  <si>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</si>
  <si>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</si>
  <si>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</si>
  <si>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</si>
  <si>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</si>
  <si>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</si>
  <si>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</si>
  <si>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</si>
  <si>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</si>
  <si>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</si>
  <si>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</si>
  <si>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</si>
  <si>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</si>
  <si>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</si>
  <si>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</si>
  <si>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</si>
  <si>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</si>
  <si>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</si>
  <si>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</si>
  <si>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</si>
  <si>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</si>
  <si>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</si>
  <si>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</si>
  <si>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</si>
  <si>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</si>
  <si>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</si>
  <si>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</si>
  <si>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</si>
  <si>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</si>
  <si>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</si>
  <si>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</si>
  <si>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</si>
  <si>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</si>
  <si>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</si>
  <si>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</si>
  <si>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</si>
  <si>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</si>
  <si>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</si>
  <si>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</si>
  <si>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</si>
  <si>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</si>
  <si>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</si>
  <si>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</si>
  <si>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</si>
  <si>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</si>
  <si>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</si>
  <si>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</si>
  <si>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</si>
  <si>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</si>
  <si>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</si>
  <si>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</si>
  <si>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</si>
  <si>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</si>
  <si>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</si>
  <si>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</si>
  <si>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</si>
  <si>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</si>
  <si>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</si>
  <si>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</si>
  <si>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</si>
  <si>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</si>
  <si>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</si>
  <si>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</si>
  <si>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</si>
  <si>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</si>
  <si>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</si>
  <si>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</si>
  <si>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</si>
  <si>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</si>
  <si>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</si>
  <si>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</si>
  <si>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</si>
  <si>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</si>
  <si>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</si>
  <si>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</si>
  <si>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</si>
  <si>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</si>
  <si>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</si>
  <si>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</si>
  <si>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</si>
  <si>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</si>
  <si>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</si>
  <si>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</si>
  <si>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</si>
  <si>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</si>
  <si>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</si>
  <si>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</si>
  <si>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</si>
  <si>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</si>
  <si>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</si>
  <si>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</si>
  <si>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</si>
  <si>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</si>
  <si>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</si>
  <si>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</si>
  <si>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</si>
  <si>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</si>
  <si>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</si>
  <si>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</si>
  <si>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</si>
  <si>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</si>
  <si>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</si>
  <si>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</si>
  <si>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</si>
  <si>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</si>
  <si>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</si>
  <si>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</si>
  <si>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</si>
  <si>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</si>
  <si>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</si>
  <si>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</si>
  <si>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</si>
  <si>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</si>
  <si>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</si>
  <si>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</si>
  <si>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</si>
  <si>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</si>
  <si>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</si>
  <si>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</si>
  <si>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</si>
  <si>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</si>
  <si>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</si>
  <si>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</si>
  <si>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</si>
  <si>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</si>
  <si>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</si>
  <si>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</si>
  <si>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</si>
  <si>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</si>
  <si>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</si>
  <si>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</si>
  <si>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</si>
  <si>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</si>
  <si>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</si>
  <si>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</si>
  <si>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</si>
  <si>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</si>
  <si>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</si>
  <si>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</si>
  <si>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</si>
  <si>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</si>
  <si>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</si>
  <si>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</si>
  <si>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</si>
  <si>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</si>
  <si>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</si>
  <si>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</si>
  <si>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</si>
  <si>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</si>
  <si>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</si>
  <si>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</si>
  <si>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</si>
  <si>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</si>
  <si>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</si>
  <si>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</si>
  <si>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</si>
  <si>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</si>
  <si>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</si>
  <si>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</si>
  <si>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</si>
  <si>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</si>
  <si>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</si>
  <si>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</si>
  <si>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</si>
  <si>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</si>
  <si>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</si>
  <si>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</si>
  <si>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</si>
  <si>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</si>
  <si>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</si>
  <si>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</si>
  <si>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</si>
  <si>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</si>
  <si>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</si>
  <si>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</si>
  <si>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</si>
  <si>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</si>
  <si>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</si>
  <si>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</si>
  <si>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</si>
  <si>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</si>
  <si>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</si>
  <si>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</si>
  <si>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</si>
  <si>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</si>
  <si>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</si>
  <si>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</si>
  <si>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</si>
  <si>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</si>
  <si>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</si>
  <si>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</si>
  <si>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</si>
  <si>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</si>
  <si>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</si>
  <si>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</si>
  <si>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</si>
  <si>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</si>
  <si>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</si>
  <si>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</si>
  <si>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</si>
  <si>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</si>
  <si>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</si>
  <si>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</si>
  <si>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</si>
  <si>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</si>
  <si>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</si>
  <si>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</si>
  <si>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</si>
  <si>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</si>
  <si>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</si>
  <si>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</si>
  <si>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</si>
  <si>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</si>
  <si>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</si>
  <si>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</si>
  <si>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</si>
  <si>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</si>
  <si>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</si>
  <si>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</si>
  <si>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</si>
  <si>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</si>
  <si>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</si>
  <si>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</si>
  <si>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</si>
  <si>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</si>
  <si>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</si>
  <si>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</si>
  <si>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</si>
  <si>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</si>
  <si>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</si>
  <si>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</si>
  <si>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</si>
  <si>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</si>
  <si>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</si>
  <si>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</si>
  <si>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</si>
  <si>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</si>
  <si>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</si>
  <si>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</si>
  <si>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</si>
  <si>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</si>
  <si>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</si>
  <si>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</si>
  <si>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</si>
  <si>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</si>
  <si>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</si>
  <si>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</si>
  <si>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</si>
  <si>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</si>
  <si>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</si>
  <si>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</si>
  <si>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</si>
  <si>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</si>
  <si>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</si>
  <si>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</si>
  <si>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</si>
  <si>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</si>
  <si>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</si>
  <si>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</si>
  <si>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</si>
  <si>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</si>
  <si>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</si>
  <si>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</si>
  <si>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</si>
  <si>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</si>
  <si>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</si>
  <si>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</si>
  <si>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</si>
  <si>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</si>
  <si>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</si>
  <si>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</si>
  <si>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</si>
  <si>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</si>
  <si>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</si>
  <si>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</si>
  <si>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</si>
  <si>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</si>
  <si>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</si>
  <si>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</si>
  <si>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</si>
  <si>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</si>
  <si>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</si>
  <si>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</si>
  <si>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</si>
  <si>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</si>
  <si>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</si>
  <si>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</si>
  <si>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</si>
  <si>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</si>
  <si>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</si>
  <si>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</si>
  <si>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</si>
  <si>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地上</t>
  </si>
  <si>
    <t>是</t>
  </si>
  <si>
    <t>商业</t>
    <phoneticPr fontId="7" type="noConversion"/>
  </si>
  <si>
    <t>成新度</t>
  </si>
  <si>
    <t>收益法 (元)</t>
  </si>
  <si>
    <t>自定义容积率</t>
  </si>
  <si>
    <t>有</t>
  </si>
  <si>
    <t>通路</t>
  </si>
  <si>
    <t>通电</t>
  </si>
  <si>
    <t>通讯</t>
  </si>
  <si>
    <t>通上水</t>
  </si>
  <si>
    <t>通下水</t>
  </si>
  <si>
    <t>通热</t>
  </si>
  <si>
    <t>平整</t>
  </si>
  <si>
    <t>与级别开发程度不一致</t>
  </si>
  <si>
    <t>楼层修正</t>
  </si>
  <si>
    <t>一般</t>
  </si>
  <si>
    <t>较好</t>
  </si>
  <si>
    <t>好</t>
  </si>
  <si>
    <t>未包含在土地购买价格中</t>
  </si>
  <si>
    <t>已包含在土地取得成本中</t>
  </si>
  <si>
    <t>全部缴纳</t>
  </si>
  <si>
    <t>估价对象本身</t>
    <phoneticPr fontId="134" type="noConversion"/>
  </si>
  <si>
    <t>建筑面积</t>
    <phoneticPr fontId="134" type="noConversion"/>
  </si>
  <si>
    <t>一拍</t>
    <phoneticPr fontId="134" type="noConversion"/>
  </si>
  <si>
    <t>总价</t>
    <phoneticPr fontId="134" type="noConversion"/>
  </si>
  <si>
    <t>单价</t>
    <phoneticPr fontId="134" type="noConversion"/>
  </si>
  <si>
    <t>起拍价</t>
    <phoneticPr fontId="134" type="noConversion"/>
  </si>
  <si>
    <t>评估价</t>
    <phoneticPr fontId="134" type="noConversion"/>
  </si>
  <si>
    <t>流拍时间</t>
    <phoneticPr fontId="134" type="noConversion"/>
  </si>
  <si>
    <t>二拍</t>
    <phoneticPr fontId="134" type="noConversion"/>
  </si>
  <si>
    <t>变卖</t>
    <phoneticPr fontId="134" type="noConversion"/>
  </si>
  <si>
    <t>变卖价</t>
    <phoneticPr fontId="134" type="noConversion"/>
  </si>
  <si>
    <t>一层</t>
    <phoneticPr fontId="134" type="noConversion"/>
  </si>
  <si>
    <t>二层</t>
    <phoneticPr fontId="134" type="noConversion"/>
  </si>
  <si>
    <t>地下一层</t>
    <phoneticPr fontId="134" type="noConversion"/>
  </si>
  <si>
    <t>https://paimai.jd.com/300482221</t>
    <phoneticPr fontId="134" type="noConversion"/>
  </si>
  <si>
    <t>北京市丰台区南方庄68号2层202房屋</t>
    <phoneticPr fontId="134" type="noConversion"/>
  </si>
  <si>
    <t>市场价</t>
    <phoneticPr fontId="134" type="noConversion"/>
  </si>
  <si>
    <t>成交价</t>
    <phoneticPr fontId="134" type="noConversion"/>
  </si>
  <si>
    <t>成交时间</t>
    <phoneticPr fontId="134" type="noConversion"/>
  </si>
  <si>
    <t>押一</t>
  </si>
  <si>
    <t>钢混</t>
  </si>
  <si>
    <t>非生产用房</t>
  </si>
  <si>
    <t>基准地价</t>
  </si>
  <si>
    <t>https://sf-item.taobao.com/sf_item/725074108693.htm?spm=a213w.7398504.paiList.5.36f972dfcCMpz3&amp;track_id=725711b3-6fb2-42df-97d2-7d4abf4365b3</t>
    <phoneticPr fontId="134" type="noConversion"/>
  </si>
  <si>
    <t>https://sf-item.taobao.com/sf_item/723099071084.htm?spm=a213w.7398504.paiList.7.36f972dfcCMpz3&amp;track_id=725711b3-6fb2-42df-97d2-7d4abf4365b3</t>
    <phoneticPr fontId="134" type="noConversion"/>
  </si>
  <si>
    <r>
      <t>1</t>
    </r>
    <r>
      <rPr>
        <sz val="11"/>
        <color theme="1"/>
        <rFont val="宋体"/>
        <family val="3"/>
        <charset val="134"/>
        <scheme val="minor"/>
      </rPr>
      <t>-2层</t>
    </r>
    <phoneticPr fontId="134" type="noConversion"/>
  </si>
  <si>
    <t>2层</t>
    <phoneticPr fontId="134" type="noConversion"/>
  </si>
  <si>
    <t>成本法 (元)</t>
  </si>
  <si>
    <t>https://sf-item.taobao.com/sf_item/704732695193.htm?spm=a213w.7398504.paiList.17.36f972dfcCMpz3&amp;track_id=725711b3-6fb2-42df-97d2-7d4abf4365b3</t>
    <phoneticPr fontId="134" type="noConversion"/>
  </si>
  <si>
    <t>2层</t>
    <phoneticPr fontId="134" type="noConversion"/>
  </si>
  <si>
    <t>https://sf-item.taobao.com/sf_item/671821942683.htm?spm=a213w.7398504.paiList.25.36f972dfcCMpz3&amp;track_id=725711b3-6fb2-42df-97d2-7d4abf4365b3</t>
    <phoneticPr fontId="134" type="noConversion"/>
  </si>
  <si>
    <t>成交价</t>
    <phoneticPr fontId="134" type="noConversion"/>
  </si>
  <si>
    <t>https://paimai.jd.com/282581439</t>
    <phoneticPr fontId="134" type="noConversion"/>
  </si>
  <si>
    <t>4层</t>
    <phoneticPr fontId="134" type="noConversion"/>
  </si>
  <si>
    <t>正常</t>
  </si>
  <si>
    <t>挂牌</t>
  </si>
  <si>
    <t>挂牌</t>
    <phoneticPr fontId="30" type="noConversion"/>
  </si>
  <si>
    <t>商业</t>
    <phoneticPr fontId="30" type="noConversion"/>
  </si>
  <si>
    <t>七通</t>
  </si>
  <si>
    <t>双面临街</t>
    <phoneticPr fontId="3" type="noConversion"/>
  </si>
  <si>
    <t>单面临街</t>
    <phoneticPr fontId="3" type="noConversion"/>
  </si>
  <si>
    <r>
      <rPr>
        <sz val="11"/>
        <color indexed="8"/>
        <rFont val="宋体"/>
        <family val="3"/>
        <charset val="134"/>
      </rPr>
      <t>不临街</t>
    </r>
    <r>
      <rPr>
        <sz val="11"/>
        <color indexed="8"/>
        <rFont val="Arial"/>
        <family val="2"/>
      </rPr>
      <t xml:space="preserve"> </t>
    </r>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</si>
  <si>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</si>
  <si>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</si>
  <si>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</si>
  <si>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</si>
  <si>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</si>
  <si>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</si>
  <si>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</si>
  <si>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</si>
  <si>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</si>
  <si>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</si>
  <si>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r>
      <t>1-2</t>
    </r>
    <r>
      <rPr>
        <sz val="11"/>
        <color indexed="8"/>
        <rFont val="宋体"/>
        <family val="3"/>
        <charset val="134"/>
      </rPr>
      <t>层</t>
    </r>
    <phoneticPr fontId="3" type="noConversion"/>
  </si>
  <si>
    <r>
      <rPr>
        <sz val="11"/>
        <color indexed="8"/>
        <rFont val="宋体"/>
        <family val="3"/>
        <charset val="134"/>
      </rPr>
      <t>地下一至</t>
    </r>
    <r>
      <rPr>
        <sz val="11"/>
        <color indexed="8"/>
        <rFont val="Arial"/>
        <family val="2"/>
      </rPr>
      <t>2</t>
    </r>
    <r>
      <rPr>
        <sz val="11"/>
        <color indexed="8"/>
        <rFont val="宋体"/>
        <family val="3"/>
        <charset val="134"/>
      </rPr>
      <t>层</t>
    </r>
    <phoneticPr fontId="3" type="noConversion"/>
  </si>
  <si>
    <t>商业综合体</t>
    <phoneticPr fontId="3" type="noConversion"/>
  </si>
  <si>
    <t>商业街商铺</t>
    <phoneticPr fontId="3" type="noConversion"/>
  </si>
  <si>
    <t>写字楼底商</t>
    <phoneticPr fontId="3" type="noConversion"/>
  </si>
  <si>
    <t>住宅配套商业</t>
    <phoneticPr fontId="3" type="noConversion"/>
  </si>
  <si>
    <t>钢混</t>
    <phoneticPr fontId="3" type="noConversion"/>
  </si>
  <si>
    <t>混合</t>
    <phoneticPr fontId="3" type="noConversion"/>
  </si>
  <si>
    <t>精装修</t>
    <phoneticPr fontId="3" type="noConversion"/>
  </si>
  <si>
    <t>普通装修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</si>
  <si>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</si>
  <si>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</si>
  <si>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</si>
  <si>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</si>
  <si>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</si>
  <si>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</si>
  <si>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</si>
  <si>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</si>
  <si>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毛坯</t>
    <phoneticPr fontId="3" type="noConversion"/>
  </si>
  <si>
    <t>标准层高</t>
    <phoneticPr fontId="3" type="noConversion"/>
  </si>
  <si>
    <t xml:space="preserve">不临街 </t>
  </si>
  <si>
    <t>较差</t>
  </si>
  <si>
    <t>楼层</t>
    <phoneticPr fontId="30" type="noConversion"/>
  </si>
  <si>
    <r>
      <t>3</t>
    </r>
    <r>
      <rPr>
        <sz val="11"/>
        <rFont val="宋体"/>
        <family val="3"/>
        <charset val="134"/>
      </rPr>
      <t>层</t>
    </r>
    <phoneticPr fontId="30" type="noConversion"/>
  </si>
  <si>
    <r>
      <t>1</t>
    </r>
    <r>
      <rPr>
        <sz val="11"/>
        <rFont val="宋体"/>
        <family val="3"/>
        <charset val="134"/>
      </rPr>
      <t>层</t>
    </r>
    <phoneticPr fontId="30" type="noConversion"/>
  </si>
  <si>
    <t>单面临街</t>
  </si>
  <si>
    <t>育菲园东里</t>
    <phoneticPr fontId="3" type="noConversion"/>
  </si>
  <si>
    <t>花乡青旅科创园</t>
    <phoneticPr fontId="3" type="noConversion"/>
  </si>
  <si>
    <t>芳菲路66号</t>
    <phoneticPr fontId="3" type="noConversion"/>
  </si>
  <si>
    <r>
      <t>1</t>
    </r>
    <r>
      <rPr>
        <sz val="11"/>
        <color indexed="8"/>
        <rFont val="宋体"/>
        <family val="3"/>
        <charset val="134"/>
      </rPr>
      <t>层</t>
    </r>
    <phoneticPr fontId="30" type="noConversion"/>
  </si>
  <si>
    <r>
      <t>3</t>
    </r>
    <r>
      <rPr>
        <sz val="11"/>
        <color indexed="8"/>
        <rFont val="宋体"/>
        <family val="3"/>
        <charset val="134"/>
      </rPr>
      <t>层</t>
    </r>
    <phoneticPr fontId="30" type="noConversion"/>
  </si>
  <si>
    <t>较差</t>
    <phoneticPr fontId="30" type="noConversion"/>
  </si>
  <si>
    <t>一般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</si>
</sst>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95" fillId="5" borderId="0" xfId="0" applyFont="1" applyFill="1">
      <alignment vertical="center"/>
    </xf>
    <xf numFmtId="14" fontId="0" fillId="0" borderId="0" xfId="0" applyNumberFormat="1">
      <alignment vertical="center"/>
    </xf>
    <xf numFmtId="0" fontId="269" fillId="0" borderId="0" xfId="19">
      <alignment vertical="center"/>
    </xf>
    <xf numFmtId="0" fontId="0" fillId="5" borderId="0" xfId="0" applyFill="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0" fillId="7" borderId="0" xfId="0" applyFill="1">
      <alignment vertical="center"/>
    </xf>
    <xf numFmtId="176" fontId="49" fillId="0" borderId="37" xfId="0" applyNumberFormat="1" applyFont="1" applyFill="1" applyBorder="1" applyAlignment="1" applyProtection="1">
      <alignment horizontal="center" vertical="center" wrapText="1"/>
      <protection locked="0"/>
    </xf>
    <xf numFmtId="10" fontId="51" fillId="0" borderId="0" xfId="0" applyNumberFormat="1" applyFont="1" applyFill="1" applyAlignment="1" applyProtection="1">
      <alignment horizontal="center" vertical="center"/>
      <protection locked="0"/>
    </xf>
    <xf numFmtId="10" fontId="51" fillId="0" borderId="38"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18" Type="http://schemas.openxmlformats.org/officeDocument/2006/relationships/image" Target="../media/image3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19.png"/><Relationship Id="rId16" Type="http://schemas.openxmlformats.org/officeDocument/2006/relationships/image" Target="../media/image33.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3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503771</xdr:colOff>
      <xdr:row>35</xdr:row>
      <xdr:rowOff>84914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28571" cy="6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98966</xdr:colOff>
      <xdr:row>27</xdr:row>
      <xdr:rowOff>57970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71766" cy="4995730"/>
        </a:xfrm>
        <a:prstGeom prst="rect">
          <a:avLst/>
        </a:prstGeom>
      </xdr:spPr>
    </xdr:pic>
    <xdr:clientData/>
  </xdr:twoCellAnchor>
  <xdr:twoCellAnchor editAs="oneCell">
    <xdr:from>
      <xdr:col>0</xdr:col>
      <xdr:colOff>0</xdr:colOff>
      <xdr:row>28</xdr:row>
      <xdr:rowOff>8375</xdr:rowOff>
    </xdr:from>
    <xdr:to>
      <xdr:col>20</xdr:col>
      <xdr:colOff>521171</xdr:colOff>
      <xdr:row>34</xdr:row>
      <xdr:rowOff>53097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29015"/>
          <a:ext cx="12713171" cy="11420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579121</xdr:colOff>
      <xdr:row>15</xdr:row>
      <xdr:rowOff>78006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8503920" cy="2821206"/>
        </a:xfrm>
        <a:prstGeom prst="rect">
          <a:avLst/>
        </a:prstGeom>
      </xdr:spPr>
    </xdr:pic>
    <xdr:clientData/>
  </xdr:twoCellAnchor>
  <xdr:twoCellAnchor editAs="oneCell">
    <xdr:from>
      <xdr:col>0</xdr:col>
      <xdr:colOff>22860</xdr:colOff>
      <xdr:row>15</xdr:row>
      <xdr:rowOff>38100</xdr:rowOff>
    </xdr:from>
    <xdr:to>
      <xdr:col>14</xdr:col>
      <xdr:colOff>12104</xdr:colOff>
      <xdr:row>38</xdr:row>
      <xdr:rowOff>86885</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 y="2781300"/>
          <a:ext cx="8523644" cy="4255025"/>
        </a:xfrm>
        <a:prstGeom prst="rect">
          <a:avLst/>
        </a:prstGeom>
      </xdr:spPr>
    </xdr:pic>
    <xdr:clientData/>
  </xdr:twoCellAnchor>
  <xdr:twoCellAnchor editAs="oneCell">
    <xdr:from>
      <xdr:col>0</xdr:col>
      <xdr:colOff>0</xdr:colOff>
      <xdr:row>38</xdr:row>
      <xdr:rowOff>6762</xdr:rowOff>
    </xdr:from>
    <xdr:to>
      <xdr:col>13</xdr:col>
      <xdr:colOff>373380</xdr:colOff>
      <xdr:row>53</xdr:row>
      <xdr:rowOff>45225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956202"/>
          <a:ext cx="8298180" cy="2781663"/>
        </a:xfrm>
        <a:prstGeom prst="rect">
          <a:avLst/>
        </a:prstGeom>
      </xdr:spPr>
    </xdr:pic>
    <xdr:clientData/>
  </xdr:twoCellAnchor>
  <xdr:twoCellAnchor editAs="oneCell">
    <xdr:from>
      <xdr:col>0</xdr:col>
      <xdr:colOff>0</xdr:colOff>
      <xdr:row>53</xdr:row>
      <xdr:rowOff>83820</xdr:rowOff>
    </xdr:from>
    <xdr:to>
      <xdr:col>13</xdr:col>
      <xdr:colOff>182475</xdr:colOff>
      <xdr:row>76</xdr:row>
      <xdr:rowOff>46852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776460"/>
          <a:ext cx="8107275" cy="4169272"/>
        </a:xfrm>
        <a:prstGeom prst="rect">
          <a:avLst/>
        </a:prstGeom>
      </xdr:spPr>
    </xdr:pic>
    <xdr:clientData/>
  </xdr:twoCellAnchor>
  <xdr:twoCellAnchor editAs="oneCell">
    <xdr:from>
      <xdr:col>0</xdr:col>
      <xdr:colOff>0</xdr:colOff>
      <xdr:row>75</xdr:row>
      <xdr:rowOff>121920</xdr:rowOff>
    </xdr:from>
    <xdr:to>
      <xdr:col>14</xdr:col>
      <xdr:colOff>384556</xdr:colOff>
      <xdr:row>99</xdr:row>
      <xdr:rowOff>167640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837920"/>
          <a:ext cx="8918956" cy="4434840"/>
        </a:xfrm>
        <a:prstGeom prst="rect">
          <a:avLst/>
        </a:prstGeom>
      </xdr:spPr>
    </xdr:pic>
    <xdr:clientData/>
  </xdr:twoCellAnchor>
  <xdr:twoCellAnchor editAs="oneCell">
    <xdr:from>
      <xdr:col>0</xdr:col>
      <xdr:colOff>0</xdr:colOff>
      <xdr:row>99</xdr:row>
      <xdr:rowOff>78758</xdr:rowOff>
    </xdr:from>
    <xdr:to>
      <xdr:col>14</xdr:col>
      <xdr:colOff>160020</xdr:colOff>
      <xdr:row>116</xdr:row>
      <xdr:rowOff>104237</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8183878"/>
          <a:ext cx="8694420" cy="3134439"/>
        </a:xfrm>
        <a:prstGeom prst="rect">
          <a:avLst/>
        </a:prstGeom>
      </xdr:spPr>
    </xdr:pic>
    <xdr:clientData/>
  </xdr:twoCellAnchor>
  <xdr:twoCellAnchor editAs="oneCell">
    <xdr:from>
      <xdr:col>0</xdr:col>
      <xdr:colOff>0</xdr:colOff>
      <xdr:row>116</xdr:row>
      <xdr:rowOff>68580</xdr:rowOff>
    </xdr:from>
    <xdr:to>
      <xdr:col>14</xdr:col>
      <xdr:colOff>342900</xdr:colOff>
      <xdr:row>124</xdr:row>
      <xdr:rowOff>108281</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1282660"/>
          <a:ext cx="8877300" cy="1502741"/>
        </a:xfrm>
        <a:prstGeom prst="rect">
          <a:avLst/>
        </a:prstGeom>
      </xdr:spPr>
    </xdr:pic>
    <xdr:clientData/>
  </xdr:twoCellAnchor>
  <xdr:twoCellAnchor editAs="oneCell">
    <xdr:from>
      <xdr:col>16</xdr:col>
      <xdr:colOff>586740</xdr:colOff>
      <xdr:row>19</xdr:row>
      <xdr:rowOff>99450</xdr:rowOff>
    </xdr:from>
    <xdr:to>
      <xdr:col>29</xdr:col>
      <xdr:colOff>593012</xdr:colOff>
      <xdr:row>49</xdr:row>
      <xdr:rowOff>42892</xdr:rowOff>
    </xdr:to>
    <xdr:pic>
      <xdr:nvPicPr>
        <xdr:cNvPr id="11" name="图片 10"/>
        <xdr:cNvPicPr>
          <a:picLocks noChangeAspect="1"/>
        </xdr:cNvPicPr>
      </xdr:nvPicPr>
      <xdr:blipFill>
        <a:blip xmlns:r="http://schemas.openxmlformats.org/officeDocument/2006/relationships" r:embed="rId8"/>
        <a:stretch>
          <a:fillRect/>
        </a:stretch>
      </xdr:blipFill>
      <xdr:spPr>
        <a:xfrm>
          <a:off x="10340340" y="3574170"/>
          <a:ext cx="7931072" cy="5429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4573</xdr:colOff>
      <xdr:row>31</xdr:row>
      <xdr:rowOff>65652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38973" cy="5734932"/>
        </a:xfrm>
        <a:prstGeom prst="rect">
          <a:avLst/>
        </a:prstGeom>
      </xdr:spPr>
    </xdr:pic>
    <xdr:clientData/>
  </xdr:twoCellAnchor>
  <xdr:twoCellAnchor editAs="oneCell">
    <xdr:from>
      <xdr:col>0</xdr:col>
      <xdr:colOff>0</xdr:colOff>
      <xdr:row>32</xdr:row>
      <xdr:rowOff>83820</xdr:rowOff>
    </xdr:from>
    <xdr:to>
      <xdr:col>13</xdr:col>
      <xdr:colOff>287234</xdr:colOff>
      <xdr:row>61</xdr:row>
      <xdr:rowOff>143785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935980"/>
          <a:ext cx="8212034" cy="5363485"/>
        </a:xfrm>
        <a:prstGeom prst="rect">
          <a:avLst/>
        </a:prstGeom>
      </xdr:spPr>
    </xdr:pic>
    <xdr:clientData/>
  </xdr:twoCellAnchor>
  <xdr:twoCellAnchor editAs="oneCell">
    <xdr:from>
      <xdr:col>15</xdr:col>
      <xdr:colOff>22860</xdr:colOff>
      <xdr:row>28</xdr:row>
      <xdr:rowOff>175260</xdr:rowOff>
    </xdr:from>
    <xdr:to>
      <xdr:col>39</xdr:col>
      <xdr:colOff>154365</xdr:colOff>
      <xdr:row>67</xdr:row>
      <xdr:rowOff>4845</xdr:rowOff>
    </xdr:to>
    <xdr:pic>
      <xdr:nvPicPr>
        <xdr:cNvPr id="4" name="图片 3"/>
        <xdr:cNvPicPr>
          <a:picLocks noChangeAspect="1"/>
        </xdr:cNvPicPr>
      </xdr:nvPicPr>
      <xdr:blipFill>
        <a:blip xmlns:r="http://schemas.openxmlformats.org/officeDocument/2006/relationships" r:embed="rId3"/>
        <a:stretch>
          <a:fillRect/>
        </a:stretch>
      </xdr:blipFill>
      <xdr:spPr>
        <a:xfrm>
          <a:off x="9166860" y="5295900"/>
          <a:ext cx="14761905" cy="6961905"/>
        </a:xfrm>
        <a:prstGeom prst="rect">
          <a:avLst/>
        </a:prstGeom>
      </xdr:spPr>
    </xdr:pic>
    <xdr:clientData/>
  </xdr:twoCellAnchor>
  <xdr:twoCellAnchor editAs="oneCell">
    <xdr:from>
      <xdr:col>0</xdr:col>
      <xdr:colOff>0</xdr:colOff>
      <xdr:row>61</xdr:row>
      <xdr:rowOff>144780</xdr:rowOff>
    </xdr:from>
    <xdr:to>
      <xdr:col>15</xdr:col>
      <xdr:colOff>571261</xdr:colOff>
      <xdr:row>89</xdr:row>
      <xdr:rowOff>132562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300460"/>
          <a:ext cx="9715261" cy="51084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114211</xdr:colOff>
      <xdr:row>24</xdr:row>
      <xdr:rowOff>21714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53311" cy="4410834"/>
        </a:xfrm>
        <a:prstGeom prst="rect">
          <a:avLst/>
        </a:prstGeom>
      </xdr:spPr>
    </xdr:pic>
    <xdr:clientData/>
  </xdr:twoCellAnchor>
  <xdr:twoCellAnchor editAs="oneCell">
    <xdr:from>
      <xdr:col>0</xdr:col>
      <xdr:colOff>0</xdr:colOff>
      <xdr:row>25</xdr:row>
      <xdr:rowOff>0</xdr:rowOff>
    </xdr:from>
    <xdr:to>
      <xdr:col>13</xdr:col>
      <xdr:colOff>104688</xdr:colOff>
      <xdr:row>50</xdr:row>
      <xdr:rowOff>147618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572000"/>
          <a:ext cx="8143788" cy="4719618"/>
        </a:xfrm>
        <a:prstGeom prst="rect">
          <a:avLst/>
        </a:prstGeom>
      </xdr:spPr>
    </xdr:pic>
    <xdr:clientData/>
  </xdr:twoCellAnchor>
  <xdr:twoCellAnchor editAs="oneCell">
    <xdr:from>
      <xdr:col>0</xdr:col>
      <xdr:colOff>0</xdr:colOff>
      <xdr:row>51</xdr:row>
      <xdr:rowOff>0</xdr:rowOff>
    </xdr:from>
    <xdr:to>
      <xdr:col>13</xdr:col>
      <xdr:colOff>295164</xdr:colOff>
      <xdr:row>77</xdr:row>
      <xdr:rowOff>92571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326880"/>
          <a:ext cx="8334264" cy="4847451"/>
        </a:xfrm>
        <a:prstGeom prst="rect">
          <a:avLst/>
        </a:prstGeom>
      </xdr:spPr>
    </xdr:pic>
    <xdr:clientData/>
  </xdr:twoCellAnchor>
  <xdr:twoCellAnchor editAs="oneCell">
    <xdr:from>
      <xdr:col>0</xdr:col>
      <xdr:colOff>0</xdr:colOff>
      <xdr:row>81</xdr:row>
      <xdr:rowOff>137583</xdr:rowOff>
    </xdr:from>
    <xdr:to>
      <xdr:col>12</xdr:col>
      <xdr:colOff>144986</xdr:colOff>
      <xdr:row>107</xdr:row>
      <xdr:rowOff>68249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950863"/>
          <a:ext cx="7574486" cy="4685546"/>
        </a:xfrm>
        <a:prstGeom prst="rect">
          <a:avLst/>
        </a:prstGeom>
      </xdr:spPr>
    </xdr:pic>
    <xdr:clientData/>
  </xdr:twoCellAnchor>
  <xdr:twoCellAnchor editAs="oneCell">
    <xdr:from>
      <xdr:col>0</xdr:col>
      <xdr:colOff>0</xdr:colOff>
      <xdr:row>116</xdr:row>
      <xdr:rowOff>175009</xdr:rowOff>
    </xdr:from>
    <xdr:to>
      <xdr:col>8</xdr:col>
      <xdr:colOff>484328</xdr:colOff>
      <xdr:row>131</xdr:row>
      <xdr:rowOff>5035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1389089"/>
          <a:ext cx="5475428" cy="2573226"/>
        </a:xfrm>
        <a:prstGeom prst="rect">
          <a:avLst/>
        </a:prstGeom>
      </xdr:spPr>
    </xdr:pic>
    <xdr:clientData/>
  </xdr:twoCellAnchor>
  <xdr:twoCellAnchor editAs="oneCell">
    <xdr:from>
      <xdr:col>0</xdr:col>
      <xdr:colOff>68580</xdr:colOff>
      <xdr:row>130</xdr:row>
      <xdr:rowOff>144781</xdr:rowOff>
    </xdr:from>
    <xdr:to>
      <xdr:col>7</xdr:col>
      <xdr:colOff>213360</xdr:colOff>
      <xdr:row>150</xdr:row>
      <xdr:rowOff>65615</xdr:rowOff>
    </xdr:to>
    <xdr:pic>
      <xdr:nvPicPr>
        <xdr:cNvPr id="8" name="图片 7"/>
        <xdr:cNvPicPr>
          <a:picLocks noChangeAspect="1"/>
        </xdr:cNvPicPr>
      </xdr:nvPicPr>
      <xdr:blipFill>
        <a:blip xmlns:r="http://schemas.openxmlformats.org/officeDocument/2006/relationships" r:embed="rId6"/>
        <a:stretch>
          <a:fillRect/>
        </a:stretch>
      </xdr:blipFill>
      <xdr:spPr>
        <a:xfrm>
          <a:off x="68580" y="23919181"/>
          <a:ext cx="4526280" cy="3578434"/>
        </a:xfrm>
        <a:prstGeom prst="rect">
          <a:avLst/>
        </a:prstGeom>
      </xdr:spPr>
    </xdr:pic>
    <xdr:clientData/>
  </xdr:twoCellAnchor>
  <xdr:twoCellAnchor editAs="oneCell">
    <xdr:from>
      <xdr:col>9</xdr:col>
      <xdr:colOff>245364</xdr:colOff>
      <xdr:row>116</xdr:row>
      <xdr:rowOff>106680</xdr:rowOff>
    </xdr:from>
    <xdr:to>
      <xdr:col>15</xdr:col>
      <xdr:colOff>370667</xdr:colOff>
      <xdr:row>131</xdr:row>
      <xdr:rowOff>92768</xdr:rowOff>
    </xdr:to>
    <xdr:pic>
      <xdr:nvPicPr>
        <xdr:cNvPr id="9" name="图片 8"/>
        <xdr:cNvPicPr>
          <a:picLocks noChangeAspect="1"/>
        </xdr:cNvPicPr>
      </xdr:nvPicPr>
      <xdr:blipFill>
        <a:blip xmlns:r="http://schemas.openxmlformats.org/officeDocument/2006/relationships" r:embed="rId7"/>
        <a:stretch>
          <a:fillRect/>
        </a:stretch>
      </xdr:blipFill>
      <xdr:spPr>
        <a:xfrm>
          <a:off x="5731764" y="21320760"/>
          <a:ext cx="3821003" cy="2729288"/>
        </a:xfrm>
        <a:prstGeom prst="rect">
          <a:avLst/>
        </a:prstGeom>
      </xdr:spPr>
    </xdr:pic>
    <xdr:clientData/>
  </xdr:twoCellAnchor>
  <xdr:twoCellAnchor editAs="oneCell">
    <xdr:from>
      <xdr:col>0</xdr:col>
      <xdr:colOff>0</xdr:colOff>
      <xdr:row>153</xdr:row>
      <xdr:rowOff>152400</xdr:rowOff>
    </xdr:from>
    <xdr:to>
      <xdr:col>13</xdr:col>
      <xdr:colOff>143200</xdr:colOff>
      <xdr:row>173</xdr:row>
      <xdr:rowOff>123181</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8133040"/>
          <a:ext cx="8182300" cy="3628381"/>
        </a:xfrm>
        <a:prstGeom prst="rect">
          <a:avLst/>
        </a:prstGeom>
      </xdr:spPr>
    </xdr:pic>
    <xdr:clientData/>
  </xdr:twoCellAnchor>
  <xdr:twoCellAnchor editAs="oneCell">
    <xdr:from>
      <xdr:col>0</xdr:col>
      <xdr:colOff>0</xdr:colOff>
      <xdr:row>171</xdr:row>
      <xdr:rowOff>167952</xdr:rowOff>
    </xdr:from>
    <xdr:to>
      <xdr:col>10</xdr:col>
      <xdr:colOff>144780</xdr:colOff>
      <xdr:row>198</xdr:row>
      <xdr:rowOff>128536</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1440432"/>
          <a:ext cx="6355080" cy="4898344"/>
        </a:xfrm>
        <a:prstGeom prst="rect">
          <a:avLst/>
        </a:prstGeom>
      </xdr:spPr>
    </xdr:pic>
    <xdr:clientData/>
  </xdr:twoCellAnchor>
  <xdr:twoCellAnchor editAs="oneCell">
    <xdr:from>
      <xdr:col>5</xdr:col>
      <xdr:colOff>708660</xdr:colOff>
      <xdr:row>175</xdr:row>
      <xdr:rowOff>129540</xdr:rowOff>
    </xdr:from>
    <xdr:to>
      <xdr:col>19</xdr:col>
      <xdr:colOff>496080</xdr:colOff>
      <xdr:row>186</xdr:row>
      <xdr:rowOff>175003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3756660" y="32133540"/>
          <a:ext cx="9000000" cy="2057143"/>
        </a:xfrm>
        <a:prstGeom prst="rect">
          <a:avLst/>
        </a:prstGeom>
      </xdr:spPr>
    </xdr:pic>
    <xdr:clientData/>
  </xdr:twoCellAnchor>
  <xdr:twoCellAnchor editAs="oneCell">
    <xdr:from>
      <xdr:col>0</xdr:col>
      <xdr:colOff>0</xdr:colOff>
      <xdr:row>207</xdr:row>
      <xdr:rowOff>0</xdr:rowOff>
    </xdr:from>
    <xdr:to>
      <xdr:col>8</xdr:col>
      <xdr:colOff>361281</xdr:colOff>
      <xdr:row>222</xdr:row>
      <xdr:rowOff>18705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37856160"/>
          <a:ext cx="5352381" cy="2761905"/>
        </a:xfrm>
        <a:prstGeom prst="rect">
          <a:avLst/>
        </a:prstGeom>
      </xdr:spPr>
    </xdr:pic>
    <xdr:clientData/>
  </xdr:twoCellAnchor>
  <xdr:twoCellAnchor editAs="oneCell">
    <xdr:from>
      <xdr:col>8</xdr:col>
      <xdr:colOff>223984</xdr:colOff>
      <xdr:row>205</xdr:row>
      <xdr:rowOff>129540</xdr:rowOff>
    </xdr:from>
    <xdr:to>
      <xdr:col>18</xdr:col>
      <xdr:colOff>330015</xdr:colOff>
      <xdr:row>223</xdr:row>
      <xdr:rowOff>54553</xdr:rowOff>
    </xdr:to>
    <xdr:pic>
      <xdr:nvPicPr>
        <xdr:cNvPr id="14" name="图片 13"/>
        <xdr:cNvPicPr>
          <a:picLocks noChangeAspect="1"/>
        </xdr:cNvPicPr>
      </xdr:nvPicPr>
      <xdr:blipFill>
        <a:blip xmlns:r="http://schemas.openxmlformats.org/officeDocument/2006/relationships" r:embed="rId12"/>
        <a:stretch>
          <a:fillRect/>
        </a:stretch>
      </xdr:blipFill>
      <xdr:spPr>
        <a:xfrm>
          <a:off x="5215084" y="37619940"/>
          <a:ext cx="6765911" cy="3216853"/>
        </a:xfrm>
        <a:prstGeom prst="rect">
          <a:avLst/>
        </a:prstGeom>
      </xdr:spPr>
    </xdr:pic>
    <xdr:clientData/>
  </xdr:twoCellAnchor>
  <xdr:twoCellAnchor editAs="oneCell">
    <xdr:from>
      <xdr:col>0</xdr:col>
      <xdr:colOff>0</xdr:colOff>
      <xdr:row>217</xdr:row>
      <xdr:rowOff>76200</xdr:rowOff>
    </xdr:from>
    <xdr:to>
      <xdr:col>11</xdr:col>
      <xdr:colOff>58105</xdr:colOff>
      <xdr:row>257</xdr:row>
      <xdr:rowOff>179881</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39761160"/>
          <a:ext cx="6878005" cy="7418881"/>
        </a:xfrm>
        <a:prstGeom prst="rect">
          <a:avLst/>
        </a:prstGeom>
      </xdr:spPr>
    </xdr:pic>
    <xdr:clientData/>
  </xdr:twoCellAnchor>
  <xdr:twoCellAnchor editAs="oneCell">
    <xdr:from>
      <xdr:col>0</xdr:col>
      <xdr:colOff>0</xdr:colOff>
      <xdr:row>265</xdr:row>
      <xdr:rowOff>83820</xdr:rowOff>
    </xdr:from>
    <xdr:to>
      <xdr:col>13</xdr:col>
      <xdr:colOff>288596</xdr:colOff>
      <xdr:row>285</xdr:row>
      <xdr:rowOff>136512</xdr:rowOff>
    </xdr:to>
    <xdr:pic>
      <xdr:nvPicPr>
        <xdr:cNvPr id="16" name="图片 15"/>
        <xdr:cNvPicPr>
          <a:picLocks noChangeAspect="1"/>
        </xdr:cNvPicPr>
      </xdr:nvPicPr>
      <xdr:blipFill>
        <a:blip xmlns:r="http://schemas.openxmlformats.org/officeDocument/2006/relationships" r:embed="rId14"/>
        <a:stretch>
          <a:fillRect/>
        </a:stretch>
      </xdr:blipFill>
      <xdr:spPr>
        <a:xfrm>
          <a:off x="0" y="48547020"/>
          <a:ext cx="8327696" cy="3710292"/>
        </a:xfrm>
        <a:prstGeom prst="rect">
          <a:avLst/>
        </a:prstGeom>
      </xdr:spPr>
    </xdr:pic>
    <xdr:clientData/>
  </xdr:twoCellAnchor>
  <xdr:twoCellAnchor editAs="oneCell">
    <xdr:from>
      <xdr:col>11</xdr:col>
      <xdr:colOff>111007</xdr:colOff>
      <xdr:row>264</xdr:row>
      <xdr:rowOff>144780</xdr:rowOff>
    </xdr:from>
    <xdr:to>
      <xdr:col>19</xdr:col>
      <xdr:colOff>79117</xdr:colOff>
      <xdr:row>298</xdr:row>
      <xdr:rowOff>35187</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930907" y="48425100"/>
          <a:ext cx="5408790" cy="6108327"/>
        </a:xfrm>
        <a:prstGeom prst="rect">
          <a:avLst/>
        </a:prstGeom>
      </xdr:spPr>
    </xdr:pic>
    <xdr:clientData/>
  </xdr:twoCellAnchor>
  <xdr:twoCellAnchor editAs="oneCell">
    <xdr:from>
      <xdr:col>0</xdr:col>
      <xdr:colOff>0</xdr:colOff>
      <xdr:row>305</xdr:row>
      <xdr:rowOff>53340</xdr:rowOff>
    </xdr:from>
    <xdr:to>
      <xdr:col>7</xdr:col>
      <xdr:colOff>317311</xdr:colOff>
      <xdr:row>328</xdr:row>
      <xdr:rowOff>94309</xdr:rowOff>
    </xdr:to>
    <xdr:pic>
      <xdr:nvPicPr>
        <xdr:cNvPr id="18" name="图片 17"/>
        <xdr:cNvPicPr>
          <a:picLocks noChangeAspect="1"/>
        </xdr:cNvPicPr>
      </xdr:nvPicPr>
      <xdr:blipFill>
        <a:blip xmlns:r="http://schemas.openxmlformats.org/officeDocument/2006/relationships" r:embed="rId16"/>
        <a:stretch>
          <a:fillRect/>
        </a:stretch>
      </xdr:blipFill>
      <xdr:spPr>
        <a:xfrm>
          <a:off x="0" y="55831740"/>
          <a:ext cx="4698811" cy="4247209"/>
        </a:xfrm>
        <a:prstGeom prst="rect">
          <a:avLst/>
        </a:prstGeom>
      </xdr:spPr>
    </xdr:pic>
    <xdr:clientData/>
  </xdr:twoCellAnchor>
  <xdr:twoCellAnchor editAs="oneCell">
    <xdr:from>
      <xdr:col>7</xdr:col>
      <xdr:colOff>396240</xdr:colOff>
      <xdr:row>307</xdr:row>
      <xdr:rowOff>102405</xdr:rowOff>
    </xdr:from>
    <xdr:to>
      <xdr:col>18</xdr:col>
      <xdr:colOff>604326</xdr:colOff>
      <xdr:row>327</xdr:row>
      <xdr:rowOff>1209</xdr:rowOff>
    </xdr:to>
    <xdr:pic>
      <xdr:nvPicPr>
        <xdr:cNvPr id="19" name="图片 18"/>
        <xdr:cNvPicPr>
          <a:picLocks noChangeAspect="1"/>
        </xdr:cNvPicPr>
      </xdr:nvPicPr>
      <xdr:blipFill>
        <a:blip xmlns:r="http://schemas.openxmlformats.org/officeDocument/2006/relationships" r:embed="rId17"/>
        <a:stretch>
          <a:fillRect/>
        </a:stretch>
      </xdr:blipFill>
      <xdr:spPr>
        <a:xfrm>
          <a:off x="4777740" y="56246565"/>
          <a:ext cx="7477566" cy="3556404"/>
        </a:xfrm>
        <a:prstGeom prst="rect">
          <a:avLst/>
        </a:prstGeom>
      </xdr:spPr>
    </xdr:pic>
    <xdr:clientData/>
  </xdr:twoCellAnchor>
  <xdr:twoCellAnchor editAs="oneCell">
    <xdr:from>
      <xdr:col>0</xdr:col>
      <xdr:colOff>0</xdr:colOff>
      <xdr:row>326</xdr:row>
      <xdr:rowOff>106680</xdr:rowOff>
    </xdr:from>
    <xdr:to>
      <xdr:col>9</xdr:col>
      <xdr:colOff>185784</xdr:colOff>
      <xdr:row>351</xdr:row>
      <xdr:rowOff>170443</xdr:rowOff>
    </xdr:to>
    <xdr:pic>
      <xdr:nvPicPr>
        <xdr:cNvPr id="20" name="图片 19"/>
        <xdr:cNvPicPr>
          <a:picLocks noChangeAspect="1"/>
        </xdr:cNvPicPr>
      </xdr:nvPicPr>
      <xdr:blipFill>
        <a:blip xmlns:r="http://schemas.openxmlformats.org/officeDocument/2006/relationships" r:embed="rId18"/>
        <a:stretch>
          <a:fillRect/>
        </a:stretch>
      </xdr:blipFill>
      <xdr:spPr>
        <a:xfrm>
          <a:off x="0" y="59725560"/>
          <a:ext cx="5786484" cy="46357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4.xml.rels><?xml version="1.0" encoding="UTF-8" standalone="yes"?>
<Relationships xmlns="http://schemas.openxmlformats.org/package/2006/relationships"><Relationship Id="rId3" Type="http://schemas.openxmlformats.org/officeDocument/2006/relationships/hyperlink" Target="https://sf-item.taobao.com/sf_item/723099071084.htm?spm=a213w.7398504.paiList.7.36f972dfcCMpz3&amp;track_id=725711b3-6fb2-42df-97d2-7d4abf4365b3" TargetMode="External"/><Relationship Id="rId7" Type="http://schemas.openxmlformats.org/officeDocument/2006/relationships/drawing" Target="../drawings/drawing5.xml"/><Relationship Id="rId2" Type="http://schemas.openxmlformats.org/officeDocument/2006/relationships/hyperlink" Target="https://sf-item.taobao.com/sf_item/725074108693.htm?spm=a213w.7398504.paiList.5.36f972dfcCMpz3&amp;track_id=725711b3-6fb2-42df-97d2-7d4abf4365b3" TargetMode="External"/><Relationship Id="rId1" Type="http://schemas.openxmlformats.org/officeDocument/2006/relationships/hyperlink" Target="https://paimai.jd.com/300482221" TargetMode="External"/><Relationship Id="rId6" Type="http://schemas.openxmlformats.org/officeDocument/2006/relationships/hyperlink" Target="https://paimai.jd.com/282581439" TargetMode="External"/><Relationship Id="rId5" Type="http://schemas.openxmlformats.org/officeDocument/2006/relationships/hyperlink" Target="https://sf-item.taobao.com/sf_item/671821942683.htm?spm=a213w.7398504.paiList.25.36f972dfcCMpz3&amp;track_id=725711b3-6fb2-42df-97d2-7d4abf4365b3" TargetMode="External"/><Relationship Id="rId4" Type="http://schemas.openxmlformats.org/officeDocument/2006/relationships/hyperlink" Target="https://sf-item.taobao.com/sf_item/704732695193.htm?spm=a213w.7398504.paiList.17.36f972dfcCMpz3&amp;track_id=725711b3-6fb2-42df-97d2-7d4abf4365b3"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2" customWidth="1"/>
    <col min="2" max="2" width="81" style="1209" customWidth="1"/>
    <col min="3" max="16384" width="9" style="1207"/>
  </cols>
  <sheetData>
    <row r="1" spans="1:2" s="1195" customFormat="1" ht="16.2" thickBot="1">
      <c r="A1" s="1194" t="s">
        <v>521</v>
      </c>
      <c r="B1" s="1193" t="s">
        <v>600</v>
      </c>
    </row>
    <row r="2" spans="1:2" s="1198" customFormat="1" ht="16.2" thickTop="1">
      <c r="A2" s="1196" t="s">
        <v>522</v>
      </c>
      <c r="B2" s="1197" t="str">
        <f>'预评函-封皮'!B37:I37</f>
        <v>北京市预评估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6.2" thickBot="1">
      <c r="A5" s="1202" t="s">
        <v>525</v>
      </c>
      <c r="B5" s="1203" t="str">
        <f>'预评函-封皮'!B49</f>
        <v>康正预评字号</v>
      </c>
    </row>
    <row r="6" spans="1:2" s="1198" customFormat="1" ht="16.2" thickTop="1">
      <c r="A6" s="1196" t="s">
        <v>526</v>
      </c>
      <c r="B6" s="1197" t="str">
        <f>'预评函-1'!A4</f>
        <v>受贵公司委托，我公司对北京市进行了预评估。</v>
      </c>
    </row>
    <row r="7" spans="1:2" s="1201" customFormat="1">
      <c r="A7" s="1199" t="s">
        <v>566</v>
      </c>
      <c r="B7" s="1200" t="str">
        <f>'预评函-1'!A7</f>
        <v>估价对象为北京市房地产，为所有。根据《国有土地使用证》[]，估价对象（分摊）出让国有建设用地使用权面积为0平方米，建筑面积为127.35平方米。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估价对象为北京市房地产,属开发建设的，该项目尚在开发建设中。根据《国有土地使用证》[]，估价对象（分摊）出让国有建设用地使用权面积为0平方米，规划建筑面积为127.35平方米。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2024年7月18日（评估专业人员实地查勘之日）</v>
      </c>
    </row>
    <row r="13" spans="1:2" s="1201" customFormat="1">
      <c r="A13" s="1199" t="s">
        <v>529</v>
      </c>
      <c r="B13" s="1200" t="str">
        <f>'预评函-1'!A18</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6.2" thickBot="1">
      <c r="A18" s="1202" t="s">
        <v>534</v>
      </c>
      <c r="B18" s="1203" t="str">
        <f>'预评函-1'!A24</f>
        <v>本次评估采用的主估价方法为成本法和收益法。</v>
      </c>
    </row>
    <row r="19" spans="1:2" s="1198" customFormat="1" ht="16.2"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ht="31.2">
      <c r="A42" s="1199" t="s">
        <v>590</v>
      </c>
      <c r="B42" s="1200" t="str">
        <f>'预评函-3'!B2</f>
        <v>建筑面积</v>
      </c>
    </row>
    <row r="43" spans="1:2" s="1201" customFormat="1">
      <c r="A43" s="1199" t="s">
        <v>591</v>
      </c>
      <c r="B43" s="1200">
        <f>'预评函-3'!B4</f>
        <v>127.35</v>
      </c>
    </row>
    <row r="44" spans="1:2" s="1201" customFormat="1" ht="31.2">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6.2" thickBot="1">
      <c r="A57" s="1202" t="s">
        <v>599</v>
      </c>
      <c r="B57" s="1203" t="str">
        <f>'预评函-3'!A6</f>
        <v>估价师知悉的法定优先受偿款</v>
      </c>
    </row>
    <row r="58" spans="1:2" s="1198" customFormat="1" ht="16.2"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6.2" thickBot="1">
      <c r="A69" s="1202" t="s">
        <v>561</v>
      </c>
      <c r="B69" s="1204">
        <f>'预评函-4'!C31</f>
        <v>42551</v>
      </c>
    </row>
    <row r="70" spans="1:2" ht="16.2" thickTop="1">
      <c r="A70" s="1205" t="s">
        <v>562</v>
      </c>
      <c r="B70" s="1206">
        <f>'预评函-4'!A4</f>
        <v>0</v>
      </c>
    </row>
    <row r="71" spans="1:2">
      <c r="A71" s="1199" t="s">
        <v>563</v>
      </c>
      <c r="B71" s="1200">
        <f>'预评函-4'!B4</f>
        <v>0</v>
      </c>
    </row>
    <row r="72" spans="1:2">
      <c r="A72" s="1199" t="s">
        <v>564</v>
      </c>
      <c r="B72" s="1208">
        <f>'预评函-4'!A5</f>
        <v>0</v>
      </c>
    </row>
    <row r="73" spans="1:2" s="1195" customFormat="1" ht="16.2" thickBot="1">
      <c r="A73" s="1202" t="s">
        <v>565</v>
      </c>
      <c r="B73" s="1203">
        <f>'预评函-4'!B5</f>
        <v>0</v>
      </c>
    </row>
    <row r="74" spans="1:2" ht="16.2"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2579</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2580</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2293</v>
      </c>
      <c r="C17" s="1545"/>
    </row>
    <row r="18" spans="1:3">
      <c r="A18" s="1544" t="s">
        <v>1046</v>
      </c>
      <c r="B18" s="1544" t="s">
        <v>2435</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2" t="s">
        <v>385</v>
      </c>
      <c r="C54" s="1549" t="s">
        <v>583</v>
      </c>
    </row>
    <row r="55" spans="1:4">
      <c r="A55" s="3504"/>
      <c r="B55" s="1552" t="s">
        <v>386</v>
      </c>
      <c r="C55" s="1549" t="s">
        <v>584</v>
      </c>
    </row>
    <row r="56" spans="1:4">
      <c r="A56" s="3504"/>
      <c r="B56" s="1552" t="s">
        <v>387</v>
      </c>
      <c r="C56" s="1549" t="s">
        <v>588</v>
      </c>
    </row>
    <row r="57" spans="1:4">
      <c r="A57" s="350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05" t="s">
        <v>2582</v>
      </c>
      <c r="J2" s="3505"/>
      <c r="K2" s="3505"/>
      <c r="L2" s="3505"/>
      <c r="M2" s="3505"/>
      <c r="N2" s="3505"/>
      <c r="O2" s="3505"/>
      <c r="P2" s="3505"/>
      <c r="Q2" s="3505"/>
      <c r="R2" s="3505"/>
    </row>
    <row r="3" spans="1:18">
      <c r="A3" s="3018" t="s">
        <v>2503</v>
      </c>
      <c r="B3" s="3019">
        <f>项目基本情况!D3</f>
        <v>45491</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2.42</v>
      </c>
      <c r="D5" s="3023">
        <f>IF(ISERROR(ROUND(POWER(1+E5,A5-C5)*(POWER(1+E5,C5)-1)/(POWER(1+E5,A5)-1),3)),0,ROUND(POWER(1+E5,A5-C5)*(POWER(1+E5,C5)-1)/(POWER(1+E5,A5)-1),4))</f>
        <v>0.1144</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12.43</v>
      </c>
      <c r="D6" s="3023">
        <f>IF(ISERROR(ROUND(POWER(1+E6,A6-C6)*(POWER(1+E6,C6)-1)/(POWER(1+E6,A6)-1),3)),0,ROUND(POWER(1+E6,A6-C6)*(POWER(1+E6,C6)-1)/(POWER(1+E6,A6)-1),4))</f>
        <v>0.44900000000000001</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32.44</v>
      </c>
      <c r="D7" s="3023">
        <f>IF(ISERROR(ROUND(POWER(1+E7,A7-C7)*(POWER(1+E7,C7)-1)/(POWER(1+E7,A7)-1),3)),0,ROUND(POWER(1+E7,A7-C7)*(POWER(1+E7,C7)-1)/(POWER(1+E7,A7)-1),4))</f>
        <v>0.76919999999999999</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5" thickBot="1">
      <c r="A18" s="3029" t="s">
        <v>2518</v>
      </c>
      <c r="B18" s="3030">
        <f>ROUND(B17*F11/F12,2)</f>
        <v>5541.87</v>
      </c>
      <c r="C18" s="3030">
        <f>ROUND(F11/F12,4)</f>
        <v>1.1521999999999999</v>
      </c>
      <c r="D18" s="3031"/>
      <c r="E18" s="3031"/>
      <c r="F18" s="3032"/>
    </row>
    <row r="19" spans="1:13" ht="15" thickBot="1"/>
    <row r="20" spans="1:13" s="3067" customFormat="1" ht="1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19" sqref="J19"/>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4" t="s">
        <v>2168</v>
      </c>
      <c r="B1" s="3514" t="str">
        <f>IF(B10="北京市","北京市",C10)&amp;F10&amp;IF(结果表!G1="在建","出让国有建设用地使用权及在建建筑物",IF(结果表!G1="土地","出让国有建设用地使用权",))&amp;B9&amp;"预评估"</f>
        <v>北京市预评估</v>
      </c>
      <c r="C1" s="3515"/>
      <c r="D1" s="3515"/>
      <c r="E1" s="3515"/>
      <c r="F1" s="3515"/>
      <c r="G1" s="3515"/>
      <c r="H1" s="3515"/>
      <c r="I1" s="3516"/>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2170</v>
      </c>
      <c r="B3" s="2371">
        <v>45491</v>
      </c>
      <c r="C3" s="2372" t="s">
        <v>2171</v>
      </c>
      <c r="D3" s="2371">
        <f>B3</f>
        <v>45491</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8" thickBot="1">
      <c r="A4" s="1088"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8"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c r="C8" s="2388"/>
      <c r="D8" s="3517" t="s">
        <v>2177</v>
      </c>
      <c r="E8" s="2389"/>
      <c r="F8" s="2390"/>
      <c r="G8" s="2661"/>
      <c r="H8" s="2661"/>
      <c r="I8" s="2661"/>
      <c r="J8" s="2437"/>
      <c r="K8" s="2612"/>
      <c r="L8" s="2611"/>
      <c r="M8" s="2611"/>
      <c r="N8" s="2437"/>
      <c r="O8" s="2448"/>
      <c r="P8" s="2437"/>
      <c r="Q8" s="2437"/>
      <c r="R8" s="2437"/>
    </row>
    <row r="9" spans="1:30" ht="13.8" thickBot="1">
      <c r="A9" s="2391" t="s">
        <v>2178</v>
      </c>
      <c r="B9" s="2392"/>
      <c r="C9" s="2393"/>
      <c r="D9" s="3518"/>
      <c r="E9" s="2392"/>
      <c r="F9" s="2394"/>
      <c r="G9" s="2663"/>
      <c r="H9" s="2663"/>
      <c r="I9" s="2663"/>
      <c r="J9" s="2437"/>
      <c r="K9" s="2614"/>
      <c r="L9" s="2611"/>
      <c r="M9" s="2611"/>
      <c r="N9" s="2437"/>
      <c r="O9" s="2448"/>
      <c r="P9" s="2437"/>
      <c r="Q9" s="2437"/>
      <c r="R9" s="2437"/>
    </row>
    <row r="10" spans="1:30" ht="13.8" thickTop="1">
      <c r="A10" s="2395" t="s">
        <v>2179</v>
      </c>
      <c r="B10" s="2396" t="s">
        <v>3384</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3385</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2578</v>
      </c>
      <c r="J12" s="3060"/>
      <c r="K12" s="2611"/>
      <c r="L12" s="2611"/>
      <c r="M12" s="2437"/>
      <c r="N12" s="2448"/>
      <c r="O12" s="2437"/>
      <c r="P12" s="2437"/>
      <c r="Q12" s="2437"/>
      <c r="AD12" s="1743"/>
    </row>
    <row r="13" spans="1:30">
      <c r="A13" s="3421" t="s">
        <v>3334</v>
      </c>
      <c r="B13" s="2405" t="s">
        <v>2190</v>
      </c>
      <c r="C13" s="854"/>
      <c r="D13" s="854">
        <v>53905</v>
      </c>
      <c r="E13" s="854"/>
      <c r="F13" s="854"/>
      <c r="G13" s="854"/>
      <c r="H13" s="854"/>
      <c r="I13" s="854"/>
      <c r="J13" s="3060"/>
      <c r="K13" s="2611"/>
      <c r="L13" s="2611"/>
      <c r="M13" s="2437"/>
      <c r="N13" s="2448"/>
      <c r="O13" s="2437"/>
      <c r="P13" s="2437"/>
      <c r="Q13" s="2437"/>
      <c r="AD13" s="1743"/>
    </row>
    <row r="14" spans="1:30">
      <c r="A14" s="1079"/>
      <c r="B14" s="2405" t="s">
        <v>2191</v>
      </c>
      <c r="C14" s="2406"/>
      <c r="D14" s="2406">
        <v>40</v>
      </c>
      <c r="E14" s="2406"/>
      <c r="F14" s="2406"/>
      <c r="G14" s="2406"/>
      <c r="H14" s="2406"/>
      <c r="I14" s="2406"/>
      <c r="J14" s="3061"/>
      <c r="K14" s="2611"/>
      <c r="L14" s="2611"/>
      <c r="M14" s="2437"/>
      <c r="N14" s="2448"/>
      <c r="O14" s="2437"/>
      <c r="P14" s="2437"/>
      <c r="Q14" s="2437"/>
      <c r="AD14" s="1743"/>
    </row>
    <row r="15" spans="1:30">
      <c r="A15" s="320"/>
      <c r="B15" s="2407" t="s">
        <v>2192</v>
      </c>
      <c r="C15" s="2408" t="str">
        <f>IF(A13="出让",IF(C13="","",ROUNDDOWN(MIN((C13-$D$3)/365,C14),2)),C14)</f>
        <v/>
      </c>
      <c r="D15" s="2408">
        <f>IF(A13="出让",IF(D13="","",ROUNDDOWN(MIN((D13-$D$3)/365,D14),2)),D14)</f>
        <v>23.05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2193</v>
      </c>
      <c r="B16" s="3524"/>
      <c r="C16" s="3525"/>
      <c r="D16" s="3526"/>
      <c r="E16" s="2411" t="s">
        <v>2194</v>
      </c>
      <c r="F16" s="3527"/>
      <c r="G16" s="3528"/>
      <c r="H16" s="3528"/>
      <c r="I16" s="3529"/>
      <c r="J16" s="2437"/>
      <c r="K16" s="2615"/>
      <c r="L16" s="2449"/>
      <c r="M16" s="2449"/>
      <c r="N16" s="2507"/>
      <c r="O16" s="2449"/>
      <c r="P16" s="2507"/>
      <c r="Q16" s="2437"/>
      <c r="R16" s="2437"/>
    </row>
    <row r="17" spans="1:28">
      <c r="A17" s="313" t="s">
        <v>2195</v>
      </c>
      <c r="B17" s="302" t="s">
        <v>2196</v>
      </c>
      <c r="C17" s="8">
        <f>'数据-汇总表'!E3</f>
        <v>127.35</v>
      </c>
      <c r="D17" s="2320" t="s">
        <v>2197</v>
      </c>
      <c r="E17" s="3530" t="s">
        <v>2198</v>
      </c>
      <c r="F17" s="3531"/>
      <c r="G17" s="3531"/>
      <c r="H17" s="3531"/>
      <c r="I17" s="3532"/>
      <c r="J17" s="2437"/>
      <c r="K17" s="2616"/>
      <c r="L17" s="2449"/>
      <c r="M17" s="2449"/>
      <c r="N17" s="2507"/>
      <c r="O17" s="2449"/>
      <c r="P17" s="2507"/>
      <c r="Q17" s="2437"/>
      <c r="R17" s="2437"/>
      <c r="S17" s="2437"/>
      <c r="T17" s="2437"/>
      <c r="U17" s="2437"/>
      <c r="V17" s="2437"/>
    </row>
    <row r="18" spans="1:28" ht="24.6" thickBot="1">
      <c r="A18" s="2412" t="s">
        <v>2199</v>
      </c>
      <c r="B18" s="1088" t="s">
        <v>2200</v>
      </c>
      <c r="C18" s="2413">
        <f>'数据-汇总表'!D3</f>
        <v>0</v>
      </c>
      <c r="D18" s="1090" t="s">
        <v>2201</v>
      </c>
      <c r="E18" s="3533" t="s">
        <v>2202</v>
      </c>
      <c r="F18" s="3534"/>
      <c r="G18" s="3534"/>
      <c r="H18" s="3534"/>
      <c r="I18" s="3535"/>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520" t="s">
        <v>2206</v>
      </c>
      <c r="C20" s="3521"/>
      <c r="D20" s="3522" t="s">
        <v>2207</v>
      </c>
      <c r="E20" s="3523"/>
      <c r="F20" s="2645" t="s">
        <v>1056</v>
      </c>
      <c r="G20" s="2662"/>
      <c r="H20" s="2662"/>
      <c r="I20" s="2662"/>
      <c r="J20" s="2437"/>
      <c r="K20" s="3519"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36.6" thickBot="1">
      <c r="A21" s="2630"/>
      <c r="B21" s="2631" t="s">
        <v>2209</v>
      </c>
      <c r="C21" s="2632" t="s">
        <v>1057</v>
      </c>
      <c r="D21" s="1566" t="s">
        <v>2210</v>
      </c>
      <c r="E21" s="2633" t="s">
        <v>1057</v>
      </c>
      <c r="F21" s="2646"/>
      <c r="G21" s="2662"/>
      <c r="H21" s="2662"/>
      <c r="I21" s="2662"/>
      <c r="J21" s="2437"/>
      <c r="K21" s="351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36.6" thickBot="1">
      <c r="A22" s="2630"/>
      <c r="B22" s="2634" t="s">
        <v>2211</v>
      </c>
      <c r="C22" s="2632" t="s">
        <v>1058</v>
      </c>
      <c r="D22" s="2661"/>
      <c r="E22" s="2661"/>
      <c r="F22" s="2661"/>
      <c r="G22" s="2662"/>
      <c r="H22" s="2662"/>
      <c r="I22" s="2662"/>
      <c r="J22" s="2437"/>
      <c r="K22" s="351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07"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7"/>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7"/>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8"/>
      <c r="B30" s="302" t="s">
        <v>2218</v>
      </c>
      <c r="C30" s="3509"/>
      <c r="D30" s="3510"/>
      <c r="E30" s="2662"/>
      <c r="F30" s="2662"/>
      <c r="G30" s="2662"/>
      <c r="H30" s="2662"/>
      <c r="I30" s="2662"/>
      <c r="J30" s="2437"/>
      <c r="K30" s="2614"/>
      <c r="L30" s="2611"/>
      <c r="M30" s="2611"/>
      <c r="N30" s="2437"/>
      <c r="O30" s="2448"/>
      <c r="P30" s="2437"/>
      <c r="Q30" s="2437"/>
      <c r="R30" s="2437"/>
      <c r="S30" s="2437"/>
      <c r="T30" s="2437"/>
      <c r="U30" s="2437"/>
      <c r="V30" s="2437"/>
    </row>
    <row r="31" spans="1:28">
      <c r="A31" s="3511" t="s">
        <v>2219</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12"/>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12"/>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06" t="s">
        <v>2228</v>
      </c>
      <c r="T34" s="2426" t="str">
        <f>NUMBERSTRING(7-K34,1)&amp;"通"</f>
        <v>七通</v>
      </c>
      <c r="U34" s="2437"/>
      <c r="V34" s="2437"/>
    </row>
    <row r="35" spans="1:30">
      <c r="A35" s="2427"/>
      <c r="B35" s="3513" t="s">
        <v>2229</v>
      </c>
      <c r="C35" s="3513"/>
      <c r="D35" s="3513"/>
      <c r="E35" s="3513"/>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6"/>
      <c r="T35" s="329" t="str">
        <f>IF(T34="一通",L35,IF(T34="二通",M35,IF(T34="三通",N35,IF(T34="四通",O35,IF(T34="五通",P35,IF(T34="六通",Q35,R35))))))</f>
        <v>、、、、、、</v>
      </c>
      <c r="U35" s="2437"/>
      <c r="V35" s="2437"/>
    </row>
    <row r="36" spans="1:30">
      <c r="A36" s="2428"/>
      <c r="B36" s="662" t="s">
        <v>2185</v>
      </c>
      <c r="C36" s="662" t="s">
        <v>2186</v>
      </c>
      <c r="D36" s="662" t="s">
        <v>2184</v>
      </c>
      <c r="E36" s="662" t="s">
        <v>2189</v>
      </c>
      <c r="F36" s="3063" t="s">
        <v>2581</v>
      </c>
      <c r="G36" s="2662"/>
      <c r="H36" s="2662"/>
      <c r="I36" s="2662"/>
      <c r="J36" s="2437"/>
      <c r="K36" s="2614"/>
      <c r="L36" s="2611"/>
      <c r="M36" s="2611"/>
      <c r="N36" s="2437"/>
      <c r="O36" s="2448"/>
      <c r="P36" s="2437"/>
      <c r="Q36" s="2437"/>
      <c r="R36" s="2437"/>
      <c r="S36" s="2437"/>
      <c r="T36" s="2437"/>
      <c r="U36" s="2437"/>
      <c r="V36" s="2437"/>
    </row>
    <row r="37" spans="1:30">
      <c r="A37" s="2628" t="s">
        <v>2230</v>
      </c>
      <c r="B37" s="2429" t="s">
        <v>303</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t="s">
        <v>254</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4" width="9.44140625" style="1571" customWidth="1"/>
    <col min="15" max="15" width="9.88671875" style="1571" customWidth="1"/>
    <col min="16" max="16" width="9.77734375" style="1571" customWidth="1"/>
    <col min="17" max="17" width="9.33203125" style="1571" customWidth="1"/>
    <col min="18" max="18" width="9.21875" style="1571" customWidth="1"/>
    <col min="19" max="19" width="10.88671875" style="1571" customWidth="1"/>
    <col min="20" max="21" width="10.77734375" style="1571" customWidth="1"/>
    <col min="22" max="22" width="10.88671875" style="1571" customWidth="1"/>
    <col min="23" max="27" width="10.77734375" style="1571" customWidth="1"/>
    <col min="28" max="28" width="10.88671875" style="157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c r="B3" s="11">
        <f>IF(C3="否",G5-AT5,G5)</f>
        <v>127.35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1071</v>
      </c>
      <c r="B5" s="1345"/>
      <c r="C5" s="1345"/>
      <c r="D5" s="1347"/>
      <c r="E5" s="13" t="s">
        <v>0</v>
      </c>
      <c r="F5" s="13">
        <f>SUM(F13:F587)</f>
        <v>0</v>
      </c>
      <c r="G5" s="13">
        <f>SUM(G13:G587)</f>
        <v>127.35</v>
      </c>
      <c r="H5" s="13">
        <f t="shared" ref="H5:AT5" si="0">SUM(H13:H656)</f>
        <v>127.35</v>
      </c>
      <c r="I5" s="13">
        <f t="shared" si="0"/>
        <v>127.35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127.35</v>
      </c>
      <c r="BA5" s="15">
        <f t="shared" si="1"/>
        <v>127.35</v>
      </c>
      <c r="BB5" s="15">
        <f t="shared" si="1"/>
        <v>127.35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3.2">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5.2">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8"/>
      <c r="H9" s="1600" t="s">
        <v>1091</v>
      </c>
      <c r="I9" s="1601" t="s">
        <v>3386</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3.2">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49"/>
      <c r="B13" s="1049"/>
      <c r="C13" s="1049"/>
      <c r="D13" s="1623" t="s">
        <v>3387</v>
      </c>
      <c r="E13" s="13">
        <f>IF($C$3="是",ROUND($A$3*G13/$B$3,2),ROUND($A$3*(G13-AT13)/$B$3,2))</f>
        <v>0</v>
      </c>
      <c r="F13" s="29"/>
      <c r="G13" s="30">
        <f>H13+AC13+AT13</f>
        <v>127.35</v>
      </c>
      <c r="H13" s="17">
        <f>SUMIF(I$12:AB$12,"总值",I13:AB13)</f>
        <v>127.35</v>
      </c>
      <c r="I13" s="1624">
        <v>127.35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127.35</v>
      </c>
      <c r="BA13" s="13">
        <f>SUM(BB13:BK13)</f>
        <v>127.35</v>
      </c>
      <c r="BB13" s="13">
        <f>IF($D13="是",I13-J13,0)</f>
        <v>127.35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3.2">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27" sqref="J27"/>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7"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1130</v>
      </c>
      <c r="B1" s="1137"/>
      <c r="C1" s="1137"/>
      <c r="D1" s="1137"/>
      <c r="E1" s="1137"/>
      <c r="F1" s="1137"/>
      <c r="G1" s="1137"/>
      <c r="H1" s="1137"/>
      <c r="I1" s="1137"/>
      <c r="J1" s="1137"/>
      <c r="K1" s="1137"/>
      <c r="L1" s="1137"/>
      <c r="M1" s="1137"/>
      <c r="N1" s="1137"/>
      <c r="O1" s="1137"/>
      <c r="P1" s="1137"/>
    </row>
    <row r="2" spans="1:16" ht="14.4">
      <c r="A2" s="3545" t="s">
        <v>1131</v>
      </c>
      <c r="B2" s="3545"/>
      <c r="C2" s="3545"/>
      <c r="D2" s="794" t="s">
        <v>1107</v>
      </c>
      <c r="E2" s="1637" t="s">
        <v>1108</v>
      </c>
      <c r="F2" s="2657"/>
      <c r="G2" s="2648"/>
      <c r="H2" s="2649"/>
      <c r="I2" s="2323" t="s">
        <v>1132</v>
      </c>
      <c r="J2" s="2657"/>
      <c r="K2" s="2657"/>
      <c r="L2" s="2657"/>
      <c r="M2" s="2657"/>
      <c r="N2" s="2659"/>
      <c r="O2" s="2657"/>
      <c r="P2" s="2657"/>
    </row>
    <row r="3" spans="1:16" ht="15" thickBot="1">
      <c r="A3" s="3546" t="s">
        <v>1105</v>
      </c>
      <c r="B3" s="3546"/>
      <c r="C3" s="3546"/>
      <c r="D3" s="43">
        <f>'数据-基础表'!AY6</f>
        <v>0</v>
      </c>
      <c r="E3" s="43">
        <f>'数据-基础表'!AZ5</f>
        <v>127.35</v>
      </c>
      <c r="F3" s="2657"/>
      <c r="G3" s="1143"/>
      <c r="H3" s="1024" t="s">
        <v>1106</v>
      </c>
      <c r="I3" s="853" t="e">
        <f>ROUND('数据-基础表'!B3/'数据-基础表'!A3,2)</f>
        <v>#DIV/0!</v>
      </c>
      <c r="J3" s="2657"/>
      <c r="K3" s="2657"/>
      <c r="L3" s="2657"/>
      <c r="M3" s="2657"/>
      <c r="N3" s="2659"/>
      <c r="O3" s="2657"/>
      <c r="P3" s="2657"/>
    </row>
    <row r="4" spans="1:16" ht="14.4">
      <c r="A4" s="3547"/>
      <c r="B4" s="3548"/>
      <c r="C4" s="3549"/>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ht="14.4">
      <c r="A5" s="44" t="s">
        <v>1109</v>
      </c>
      <c r="B5" s="3550" t="s">
        <v>1110</v>
      </c>
      <c r="C5" s="3550"/>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50" t="s">
        <v>1111</v>
      </c>
      <c r="C6" s="3550"/>
      <c r="D6" s="45">
        <f>ROUND($D$3*E6/$E$3,2)</f>
        <v>0</v>
      </c>
      <c r="E6" s="46">
        <f>E3-E5</f>
        <v>127.35</v>
      </c>
      <c r="F6" s="2657"/>
      <c r="G6" s="2651" t="s">
        <v>1112</v>
      </c>
      <c r="H6" s="1144" t="s">
        <v>1113</v>
      </c>
      <c r="I6" s="2652" t="e">
        <f>ROUND(F31/D31,2)</f>
        <v>#DIV/0!</v>
      </c>
      <c r="J6" s="2657"/>
      <c r="K6" s="2657"/>
      <c r="L6" s="2657"/>
      <c r="M6" s="2657"/>
      <c r="N6" s="2657"/>
      <c r="O6" s="2657"/>
      <c r="P6" s="2657"/>
    </row>
    <row r="7" spans="1:16" ht="15" thickBot="1">
      <c r="A7" s="3542"/>
      <c r="B7" s="3543"/>
      <c r="C7" s="3544"/>
      <c r="D7" s="1639" t="s">
        <v>1107</v>
      </c>
      <c r="E7" s="1643" t="s">
        <v>1114</v>
      </c>
      <c r="F7" s="2657"/>
      <c r="G7" s="2653" t="s">
        <v>1115</v>
      </c>
      <c r="H7" s="2654"/>
      <c r="I7" s="2655">
        <v>1.1000000000000001</v>
      </c>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127.35</v>
      </c>
      <c r="F8" s="2657"/>
      <c r="G8" s="2658"/>
      <c r="H8" s="2658"/>
      <c r="I8" s="2657"/>
      <c r="J8" s="2657"/>
      <c r="K8" s="2657"/>
      <c r="L8" s="2657"/>
      <c r="M8" s="2657"/>
      <c r="N8" s="2657"/>
      <c r="O8" s="2657"/>
      <c r="P8" s="2657"/>
    </row>
    <row r="9" spans="1:16" ht="14.4">
      <c r="A9" s="1644"/>
      <c r="B9" s="1645"/>
      <c r="C9" s="45" t="s">
        <v>1119</v>
      </c>
      <c r="D9" s="45">
        <f t="shared" si="0"/>
        <v>0</v>
      </c>
      <c r="E9" s="49">
        <v>0</v>
      </c>
      <c r="F9" s="2657"/>
      <c r="G9" s="2658"/>
      <c r="H9" s="2658"/>
      <c r="I9" s="2657"/>
      <c r="J9" s="2657"/>
      <c r="K9" s="2657"/>
      <c r="L9" s="2657"/>
      <c r="M9" s="2657"/>
      <c r="N9" s="2657"/>
      <c r="O9" s="2657"/>
      <c r="P9" s="2657"/>
    </row>
    <row r="10" spans="1:16" ht="14.4">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2"/>
      <c r="B16" s="1645"/>
      <c r="C16" s="47" t="s">
        <v>1123</v>
      </c>
      <c r="D16" s="47">
        <f>SUM(D8:D15)</f>
        <v>0</v>
      </c>
      <c r="E16" s="50">
        <f>SUM(E8:E15)</f>
        <v>127.35</v>
      </c>
      <c r="F16" s="2657"/>
      <c r="G16" s="2658"/>
      <c r="H16" s="1646" t="s">
        <v>1135</v>
      </c>
      <c r="I16" s="1647"/>
      <c r="J16" s="1137"/>
      <c r="K16" s="3539" t="s">
        <v>1135</v>
      </c>
      <c r="L16" s="3540"/>
      <c r="M16" s="3540"/>
      <c r="N16" s="3540"/>
      <c r="O16" s="3540"/>
      <c r="P16" s="3541"/>
    </row>
    <row r="17" spans="1:19" ht="14.4">
      <c r="A17" s="1648" t="s">
        <v>1136</v>
      </c>
      <c r="B17" s="1649" t="s">
        <v>1137</v>
      </c>
      <c r="C17" s="1650" t="s">
        <v>1138</v>
      </c>
      <c r="D17" s="1651" t="s">
        <v>1126</v>
      </c>
      <c r="E17" s="1652" t="s">
        <v>1127</v>
      </c>
      <c r="F17" s="1653"/>
      <c r="G17" s="1654"/>
      <c r="H17" s="1655" t="s">
        <v>1139</v>
      </c>
      <c r="I17" s="1656" t="s">
        <v>1124</v>
      </c>
      <c r="J17" s="1137"/>
      <c r="K17" s="3536" t="s">
        <v>1140</v>
      </c>
      <c r="L17" s="3537"/>
      <c r="M17" s="3538"/>
      <c r="N17" s="3536" t="s">
        <v>1141</v>
      </c>
      <c r="O17" s="3537"/>
      <c r="P17" s="3538"/>
      <c r="R17" s="1638" t="s">
        <v>1142</v>
      </c>
      <c r="S17" s="56"/>
    </row>
    <row r="18" spans="1:19" ht="14.4">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ht="14.4">
      <c r="A19" s="1665"/>
      <c r="B19" s="47" t="s">
        <v>1125</v>
      </c>
      <c r="C19" s="3415" t="s">
        <v>3388</v>
      </c>
      <c r="D19" s="45">
        <f>ROUND($D$3*E19/$E$3,2)</f>
        <v>0</v>
      </c>
      <c r="E19" s="53">
        <f t="shared" ref="E19:E26" si="1">SUM(F19:G19)</f>
        <v>127.35</v>
      </c>
      <c r="F19" s="2793">
        <f>'数据-基础表'!I13</f>
        <v>127.35</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127.35</v>
      </c>
    </row>
    <row r="20" spans="1:19" ht="14.4">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ht="14.4">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ht="14.4">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ht="14.4">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ht="14.4">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ht="14.4">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ht="14.4">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 thickBot="1">
      <c r="A27" s="1668"/>
      <c r="B27" s="45"/>
      <c r="C27" s="1671" t="s">
        <v>1154</v>
      </c>
      <c r="D27" s="1138">
        <f>SUM(D19:D26)</f>
        <v>0</v>
      </c>
      <c r="E27" s="1139">
        <f>IF(SUM(E19:E26)='数据-基础表'!BA5,SUM(E19:E26),IF(F27="地上面积有误","面积有误","地下面积有误"))</f>
        <v>127.35</v>
      </c>
      <c r="F27" s="1138">
        <f>IF(SUM(F19:F26)=E8,SUM(F19:F26),"地上面积有误")</f>
        <v>127.35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127.35</v>
      </c>
    </row>
    <row r="28" spans="1:19" ht="14.4">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 thickBot="1">
      <c r="A31" s="1674"/>
      <c r="B31" s="1675"/>
      <c r="C31" s="833" t="s">
        <v>1158</v>
      </c>
      <c r="D31" s="674">
        <f>D27+D30</f>
        <v>0</v>
      </c>
      <c r="E31" s="674">
        <f>E27+E30</f>
        <v>127.35</v>
      </c>
      <c r="F31" s="675">
        <f>F27+F30</f>
        <v>127.35</v>
      </c>
      <c r="G31" s="676">
        <f>G27+G30</f>
        <v>0</v>
      </c>
      <c r="H31" s="2657"/>
      <c r="I31" s="2657"/>
      <c r="J31" s="2657"/>
      <c r="K31" s="2657"/>
      <c r="L31" s="2657"/>
      <c r="M31" s="2657"/>
      <c r="N31" s="2657"/>
      <c r="O31" s="2657"/>
      <c r="P31" s="2657"/>
    </row>
    <row r="32" spans="1:19" ht="14.4">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AL8" sqref="AL8"/>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8.44140625" style="1680" customWidth="1"/>
    <col min="16" max="17" width="10.88671875" style="1680" customWidth="1"/>
    <col min="18" max="19" width="12.44140625" style="1680" customWidth="1"/>
    <col min="20" max="20" width="12.109375" style="1680" customWidth="1"/>
    <col min="21" max="21" width="7.44140625" style="1680" customWidth="1"/>
    <col min="22" max="22" width="6.33203125" style="1680" customWidth="1"/>
    <col min="23"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 thickBot="1">
      <c r="A2" s="1681" t="s">
        <v>1161</v>
      </c>
      <c r="B2" s="1043">
        <f>项目基本情况!D3</f>
        <v>45491</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3389</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商业</v>
      </c>
      <c r="B6" s="1711" t="str">
        <f>IF(A6=0,"","经营性")</f>
        <v>经营性</v>
      </c>
      <c r="C6" s="1712" t="s">
        <v>673</v>
      </c>
      <c r="D6" s="856">
        <f>SUMIF(项目基本情况!C$12:I$12,C6,项目基本情况!C$14:I$14)</f>
        <v>40</v>
      </c>
      <c r="E6" s="855">
        <f>IF(B6="","",SUMIF(项目基本情况!C$12:I$12,C6,项目基本情况!C$13:I$13))</f>
        <v>53905</v>
      </c>
      <c r="F6" s="64">
        <f>SUMIF(项目基本情况!C$12:I$12,C6,项目基本情况!C$15:I$15)</f>
        <v>23.05</v>
      </c>
      <c r="G6" s="65">
        <f>IF(ISERROR(ROUND(POWER(1+H6,D6-F6)*(POWER(1+H6,F6)-1)/(POWER(1+H6,D6)-1),3)),0,ROUND(POWER(1+H6,D6-F6)*(POWER(1+H6,F6)-1)/(POWER(1+H6,D6)-1),3))</f>
        <v>0.78700000000000003</v>
      </c>
      <c r="H6" s="730">
        <v>0.05</v>
      </c>
      <c r="I6" s="730">
        <v>0.05</v>
      </c>
      <c r="J6" s="66">
        <v>6.5000000000000002E-2</v>
      </c>
      <c r="K6" s="1028">
        <f>SUMIF('数据-汇总表'!C$19:C$33,A6,'数据-汇总表'!E$19:E$33)</f>
        <v>127.35</v>
      </c>
      <c r="L6" s="731">
        <v>3000</v>
      </c>
      <c r="M6" s="67">
        <f t="shared" ref="M6:M14" si="0">ROUND(K6*L6/10000,0)</f>
        <v>38</v>
      </c>
      <c r="N6" s="729">
        <f>N22</f>
        <v>0.77</v>
      </c>
      <c r="O6" s="67" t="str">
        <f>IF($N$5="成新度","——",ROUND(M6*N6,0))</f>
        <v>——</v>
      </c>
      <c r="P6" s="68" t="str">
        <f>IF($N$5="成新度","——",M6-O6)</f>
        <v>——</v>
      </c>
      <c r="Q6" s="732">
        <v>0.25</v>
      </c>
      <c r="R6" s="69">
        <f ca="1">SUMIF('数据-汇总表'!C$19:C$33,A6,'数据-汇总表'!R$19:R$27)</f>
        <v>0</v>
      </c>
      <c r="S6" s="51">
        <f>IF('数据-汇总表'!$I$17="按面积比例",SUMIF('数据-汇总表'!C$19:C$33,A6,'数据-汇总表'!K$19:K$33),SUMIF('数据-汇总表'!C$19:C$33,A6,'数据-汇总表'!N$19:N$33))</f>
        <v>0</v>
      </c>
      <c r="T6" s="1170">
        <f>ROUND($L$14*S6/10000,0)</f>
        <v>0</v>
      </c>
      <c r="U6" s="3426">
        <f>'比较法-商业'!C48</f>
        <v>5.8</v>
      </c>
      <c r="V6" s="70">
        <v>2.5000000000000001E-2</v>
      </c>
      <c r="W6" s="70">
        <v>0.1</v>
      </c>
      <c r="X6" s="1038"/>
      <c r="Y6" s="71">
        <f>N6</f>
        <v>0.77</v>
      </c>
      <c r="Z6" s="72"/>
      <c r="AA6" s="66"/>
      <c r="AB6" s="66"/>
      <c r="AC6" s="1038"/>
      <c r="AD6" s="73"/>
      <c r="AE6" s="1039">
        <f ca="1">IF(AN6="",0,SUMIF(INDIRECT("'"&amp;AN6&amp;"'"&amp;"!E:E"),$AE$5,INDIRECT("'"&amp;AN6&amp;"'"&amp;"!F:F")))</f>
        <v>23.05</v>
      </c>
      <c r="AF6" s="1346"/>
      <c r="AG6" s="138">
        <f>IF(AF6="",0,AE6-AF6)</f>
        <v>0</v>
      </c>
      <c r="AH6" s="74">
        <f>'数据-汇总表'!E19</f>
        <v>127.35</v>
      </c>
      <c r="AI6" s="76">
        <v>365</v>
      </c>
      <c r="AJ6" s="77"/>
      <c r="AK6" s="78">
        <v>0.01</v>
      </c>
      <c r="AL6" s="79">
        <v>1.5E-3</v>
      </c>
      <c r="AM6" s="80">
        <v>0.01</v>
      </c>
      <c r="AN6" s="1713" t="s">
        <v>3390</v>
      </c>
      <c r="AO6" s="52">
        <f ca="1">SUMIF(INDIRECT("'"&amp;AN6&amp;"'"&amp;"!A:A"),"总价",INDIRECT("'"&amp;AN6&amp;"'"&amp;"!B:B"))</f>
        <v>370.94819999999999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1209</v>
      </c>
      <c r="B16" s="88"/>
      <c r="C16" s="831"/>
      <c r="D16" s="1718"/>
      <c r="E16" s="88"/>
      <c r="F16" s="88"/>
      <c r="G16" s="89">
        <f>ROUND(SUMPRODUCT(G6:G13,K6:K13)/SUMPRODUCT((G6:G13&gt;0)*(K6:K13)),3)</f>
        <v>0.78700000000000003</v>
      </c>
      <c r="H16" s="90">
        <f>ROUND(SUMPRODUCT(H6:H13,K6:K13)/SUMPRODUCT((H6:H13&gt;0)*(K6:K13)),3)</f>
        <v>0.05</v>
      </c>
      <c r="I16" s="91"/>
      <c r="J16" s="91"/>
      <c r="K16" s="92">
        <f>SUM(K6:K15)</f>
        <v>127.35</v>
      </c>
      <c r="L16" s="93">
        <f>ROUND(M16*10000/SUM(K6:K14),0)</f>
        <v>2984</v>
      </c>
      <c r="M16" s="93">
        <f>SUM(M6:M14)</f>
        <v>38</v>
      </c>
      <c r="N16" s="94">
        <f>ROUND(SUMPRODUCT(M6:M14,N6:N14)/M16,3)</f>
        <v>0.77</v>
      </c>
      <c r="O16" s="93">
        <f>SUM(O6:O14)</f>
        <v>0</v>
      </c>
      <c r="P16" s="93">
        <f>SUM(P6:P14)</f>
        <v>0</v>
      </c>
      <c r="Q16" s="95">
        <f>ROUND(SUMPRODUCT(Q6:Q13,K6:K13)/SUMPRODUCT((Q6:Q13&gt;0)*(K6:K13)),2)</f>
        <v>0.25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0" t="s">
        <v>1211</v>
      </c>
      <c r="B19" s="103">
        <v>0</v>
      </c>
      <c r="C19" s="2797" t="s">
        <v>2303</v>
      </c>
      <c r="D19" s="2674"/>
      <c r="E19" s="2671"/>
      <c r="F19" s="2671"/>
      <c r="G19" s="2671"/>
      <c r="H19" s="2671"/>
      <c r="I19" s="2671"/>
      <c r="J19" s="2671"/>
      <c r="K19" s="2670"/>
      <c r="L19" s="2670"/>
      <c r="M19" s="2669"/>
      <c r="N19" s="2669">
        <v>2007</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1" t="s">
        <v>1212</v>
      </c>
      <c r="B20" s="104">
        <v>2</v>
      </c>
      <c r="C20" s="2798" t="s">
        <v>2301</v>
      </c>
      <c r="D20" s="2674"/>
      <c r="E20" s="2671"/>
      <c r="F20" s="2671"/>
      <c r="G20" s="2671"/>
      <c r="H20" s="2671"/>
      <c r="I20" s="2671"/>
      <c r="J20" s="2671"/>
      <c r="K20" s="2670"/>
      <c r="L20" s="2670"/>
      <c r="M20" s="2669"/>
      <c r="N20" s="2669">
        <f>ROUND(1-(2023-N19)/60,2)</f>
        <v>0.73</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2" t="s">
        <v>1213</v>
      </c>
      <c r="B21" s="104">
        <v>2</v>
      </c>
      <c r="C21" s="2671"/>
      <c r="D21" s="2674"/>
      <c r="E21" s="2671"/>
      <c r="F21" s="2671"/>
      <c r="G21" s="2671"/>
      <c r="H21" s="2671"/>
      <c r="I21" s="2671"/>
      <c r="J21" s="2671"/>
      <c r="K21" s="2670"/>
      <c r="L21" s="2670"/>
      <c r="M21" s="2669"/>
      <c r="N21" s="2669">
        <v>0.8</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1" t="s">
        <v>1214</v>
      </c>
      <c r="B22" s="105">
        <f>B19+B20</f>
        <v>2</v>
      </c>
      <c r="C22" s="2671"/>
      <c r="D22" s="2674"/>
      <c r="E22" s="2671"/>
      <c r="F22" s="2671"/>
      <c r="G22" s="2671"/>
      <c r="H22" s="2671"/>
      <c r="I22" s="2671"/>
      <c r="J22" s="2671"/>
      <c r="K22" s="2670"/>
      <c r="L22" s="2670"/>
      <c r="M22" s="2669"/>
      <c r="N22" s="2669">
        <f>ROUND((N20+N21)/2,2)</f>
        <v>0.77</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8.8">
      <c r="A27" s="1725" t="s">
        <v>1220</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8.8">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9.4" thickBot="1">
      <c r="A29" s="1728"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8.8">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8.8">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9.4" thickBot="1">
      <c r="A32" s="1730" t="s">
        <v>1225</v>
      </c>
      <c r="B32" s="670">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4">
      <c r="A33" s="1725" t="s">
        <v>1226</v>
      </c>
      <c r="B33" s="671">
        <v>0.03</v>
      </c>
      <c r="C33" s="2801" t="s">
        <v>3382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4">
      <c r="A34" s="1727" t="s">
        <v>1227</v>
      </c>
      <c r="B34" s="113"/>
      <c r="C34" s="2801" t="s">
        <v>2295</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4">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3383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29" t="s">
        <v>1230</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7" t="s">
        <v>1231</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2312</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2"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2"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2"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4"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5" t="s">
        <v>1244</v>
      </c>
      <c r="B52" s="124">
        <f>SUMIF(A54:A63,B53,B54:B63)</f>
        <v>3</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7" t="s">
        <v>1245</v>
      </c>
      <c r="B53" s="1736" t="s">
        <v>303</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7" t="s">
        <v>1251</v>
      </c>
      <c r="B58" s="75">
        <f>C58</f>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4" customWidth="1"/>
    <col min="2" max="2" width="24.44140625" style="1570" customWidth="1"/>
    <col min="3" max="3" width="24.44140625" style="2508" customWidth="1"/>
    <col min="4" max="4" width="2.6640625" style="2508" customWidth="1"/>
    <col min="5" max="5" width="5.88671875" style="2508" customWidth="1"/>
    <col min="6" max="6" width="27" style="1570"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7"/>
    <col min="30" max="16384" width="9" style="1684"/>
  </cols>
  <sheetData>
    <row r="1" spans="1:29" s="2455" customFormat="1" ht="18" thickBot="1">
      <c r="A1" s="3551" t="s">
        <v>2286</v>
      </c>
      <c r="B1" s="3552"/>
      <c r="C1" s="3552"/>
      <c r="D1" s="3552"/>
      <c r="E1" s="3552"/>
      <c r="F1" s="3552"/>
      <c r="G1" s="355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7"/>
      <c r="I2" s="797"/>
      <c r="J2" s="797"/>
      <c r="K2" s="797"/>
      <c r="L2" s="797"/>
      <c r="M2" s="797"/>
      <c r="N2" s="797"/>
      <c r="O2" s="797"/>
      <c r="P2" s="797"/>
      <c r="Q2" s="797"/>
      <c r="R2" s="797"/>
    </row>
    <row r="3" spans="1:29" ht="48">
      <c r="A3" s="2439" t="s">
        <v>2283</v>
      </c>
      <c r="B3" s="2461" t="s">
        <v>2252</v>
      </c>
      <c r="C3" s="2462" t="s">
        <v>2284</v>
      </c>
      <c r="D3" s="2463"/>
      <c r="E3" s="2440" t="s">
        <v>2283</v>
      </c>
      <c r="F3" s="2464" t="s">
        <v>2253</v>
      </c>
      <c r="G3" s="2465" t="s">
        <v>2285</v>
      </c>
      <c r="H3" s="797"/>
      <c r="I3" s="797"/>
      <c r="J3" s="797"/>
      <c r="K3" s="797"/>
      <c r="L3" s="797"/>
      <c r="M3" s="797"/>
      <c r="N3" s="797"/>
      <c r="O3" s="797"/>
      <c r="P3" s="797"/>
      <c r="Q3" s="797"/>
      <c r="R3" s="797"/>
    </row>
    <row r="4" spans="1:29" ht="37.200000000000003">
      <c r="A4" s="2440"/>
      <c r="B4" s="323" t="s">
        <v>2254</v>
      </c>
      <c r="C4" s="2466" t="s">
        <v>2255</v>
      </c>
      <c r="D4" s="2463"/>
      <c r="E4" s="2467"/>
      <c r="F4" s="1371" t="s">
        <v>2256</v>
      </c>
      <c r="G4" s="2468" t="s">
        <v>2257</v>
      </c>
      <c r="H4" s="797"/>
      <c r="I4" s="797"/>
      <c r="J4" s="797"/>
      <c r="K4" s="797"/>
      <c r="L4" s="797"/>
      <c r="M4" s="797"/>
      <c r="N4" s="797"/>
      <c r="O4" s="797"/>
      <c r="P4" s="797"/>
      <c r="Q4" s="797"/>
      <c r="R4" s="797"/>
    </row>
    <row r="5" spans="1:29" ht="37.200000000000003">
      <c r="A5" s="2440"/>
      <c r="B5" s="323" t="s">
        <v>2258</v>
      </c>
      <c r="C5" s="2466" t="s">
        <v>2259</v>
      </c>
      <c r="D5" s="2463"/>
      <c r="E5" s="2467"/>
      <c r="F5" s="323" t="s">
        <v>2260</v>
      </c>
      <c r="G5" s="2468" t="s">
        <v>2261</v>
      </c>
      <c r="H5" s="797"/>
      <c r="I5" s="797"/>
      <c r="J5" s="797"/>
      <c r="K5" s="797"/>
      <c r="L5" s="797"/>
      <c r="M5" s="797"/>
      <c r="N5" s="797"/>
      <c r="O5" s="797"/>
      <c r="P5" s="797"/>
      <c r="Q5" s="797"/>
      <c r="R5" s="797"/>
    </row>
    <row r="6" spans="1:29" ht="48">
      <c r="A6" s="2440"/>
      <c r="B6" s="323" t="s">
        <v>2262</v>
      </c>
      <c r="C6" s="2468" t="s">
        <v>2257</v>
      </c>
      <c r="D6" s="2463"/>
      <c r="E6" s="2467"/>
      <c r="F6" s="323" t="s">
        <v>2263</v>
      </c>
      <c r="G6" s="2468" t="s">
        <v>2264</v>
      </c>
      <c r="H6" s="797"/>
      <c r="I6" s="797"/>
      <c r="J6" s="797"/>
      <c r="K6" s="797"/>
      <c r="L6" s="797"/>
      <c r="M6" s="797"/>
      <c r="N6" s="797"/>
      <c r="O6" s="797"/>
      <c r="P6" s="797"/>
      <c r="Q6" s="797"/>
      <c r="R6" s="797"/>
    </row>
    <row r="7" spans="1:29" ht="36.6" thickBot="1">
      <c r="A7" s="2440"/>
      <c r="B7" s="323" t="s">
        <v>2260</v>
      </c>
      <c r="C7" s="2468" t="s">
        <v>2261</v>
      </c>
      <c r="D7" s="2469"/>
      <c r="E7" s="2470"/>
      <c r="F7" s="2471" t="s">
        <v>2265</v>
      </c>
      <c r="G7" s="2472" t="s">
        <v>2266</v>
      </c>
      <c r="H7" s="797"/>
      <c r="I7" s="797"/>
      <c r="J7" s="797"/>
      <c r="K7" s="797"/>
      <c r="L7" s="797"/>
      <c r="M7" s="797"/>
      <c r="N7" s="797"/>
      <c r="O7" s="797"/>
      <c r="P7" s="797"/>
      <c r="Q7" s="797"/>
      <c r="R7" s="797"/>
    </row>
    <row r="8" spans="1:29" ht="24">
      <c r="A8" s="2440"/>
      <c r="B8" s="323" t="s">
        <v>2263</v>
      </c>
      <c r="C8" s="2468" t="s">
        <v>2264</v>
      </c>
      <c r="D8" s="2469"/>
      <c r="E8" s="2469"/>
      <c r="F8" s="2473"/>
      <c r="G8" s="2473"/>
      <c r="H8" s="797"/>
      <c r="I8" s="797"/>
      <c r="J8" s="797"/>
      <c r="K8" s="797"/>
      <c r="L8" s="797"/>
      <c r="M8" s="797"/>
      <c r="N8" s="797"/>
      <c r="O8" s="797"/>
      <c r="P8" s="797"/>
      <c r="Q8" s="797"/>
      <c r="R8" s="797"/>
    </row>
    <row r="9" spans="1:29" ht="24">
      <c r="A9" s="2440"/>
      <c r="B9" s="323" t="s">
        <v>2267</v>
      </c>
      <c r="C9" s="2466" t="s">
        <v>2268</v>
      </c>
      <c r="D9" s="2463"/>
      <c r="E9" s="2469"/>
      <c r="F9" s="2473"/>
      <c r="G9" s="2473"/>
      <c r="H9" s="797"/>
      <c r="I9" s="797"/>
      <c r="J9" s="797"/>
      <c r="K9" s="797"/>
      <c r="L9" s="797"/>
      <c r="M9" s="797"/>
      <c r="N9" s="797"/>
      <c r="O9" s="797"/>
      <c r="P9" s="797"/>
      <c r="Q9" s="797"/>
      <c r="R9" s="797"/>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7" customFormat="1" ht="14.4" thickBot="1">
      <c r="A23" s="2444"/>
      <c r="B23" s="2500" t="s">
        <v>2278</v>
      </c>
      <c r="C23" s="2503"/>
      <c r="D23" s="1739"/>
      <c r="E23" s="2446"/>
      <c r="F23" s="2504" t="s">
        <v>2279</v>
      </c>
      <c r="G23" s="2505"/>
      <c r="H23" s="2489"/>
      <c r="I23" s="2490"/>
      <c r="J23" s="2489"/>
      <c r="K23" s="2489"/>
      <c r="L23" s="2490"/>
      <c r="M23" s="2489"/>
      <c r="N23" s="2489"/>
      <c r="O23" s="2490"/>
      <c r="P23" s="2489"/>
      <c r="Q23" s="2489"/>
      <c r="R23" s="2491"/>
    </row>
    <row r="24" spans="1:18" s="797" customFormat="1" ht="14.4" thickBot="1">
      <c r="A24" s="2447"/>
      <c r="B24" s="2504" t="s">
        <v>2280</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0" sqref="F40"/>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127.35</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45491</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343</v>
      </c>
      <c r="C5" s="2510">
        <f ca="1">IF(B5=D14,结果表!H102,ROUND(B5*10000/$B$1,0))</f>
        <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3357</v>
      </c>
      <c r="D10" s="2510" t="s">
        <v>3358</v>
      </c>
      <c r="E10" s="3439"/>
      <c r="F10" s="3443" t="s">
        <v>3359</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'数据-汇总表'!E19</f>
        <v>127.35</v>
      </c>
      <c r="C14" s="2516"/>
      <c r="D14" s="2516">
        <f ca="1">结果表!G19</f>
        <v>343</v>
      </c>
      <c r="E14" s="2516">
        <f ca="1">ROUND(D14*10000/B14,0)</f>
        <v>26934</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5.6">
      <c r="A16" s="2515" t="s">
        <v>648</v>
      </c>
      <c r="B16" s="2517"/>
      <c r="C16" s="2517"/>
      <c r="D16" s="2517"/>
      <c r="E16" s="2516" t="e">
        <f t="shared" si="0"/>
        <v>#DIV/0!</v>
      </c>
      <c r="F16" s="2516" t="e">
        <f t="shared" si="1"/>
        <v>#DIV/0!</v>
      </c>
      <c r="G16" s="1329"/>
      <c r="H16" s="1329"/>
      <c r="I16" s="2517"/>
      <c r="J16" s="2686"/>
      <c r="K16" s="2686"/>
    </row>
    <row r="17" spans="1:11" ht="15.6">
      <c r="A17" s="2515" t="s">
        <v>647</v>
      </c>
      <c r="B17" s="2517"/>
      <c r="C17" s="2517"/>
      <c r="D17" s="2517"/>
      <c r="E17" s="2516" t="e">
        <f t="shared" si="0"/>
        <v>#DIV/0!</v>
      </c>
      <c r="F17" s="2516" t="e">
        <f t="shared" si="1"/>
        <v>#DIV/0!</v>
      </c>
      <c r="G17" s="1329"/>
      <c r="H17" s="1329"/>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L42" sqref="L42"/>
    </sheetView>
  </sheetViews>
  <sheetFormatPr defaultRowHeight="14.4"/>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64" t="str">
        <f>项目基本情况!B1</f>
        <v>北京市预评估</v>
      </c>
      <c r="C37" s="3464"/>
      <c r="D37" s="3464"/>
      <c r="E37" s="3464"/>
      <c r="F37" s="3464"/>
      <c r="G37" s="3464"/>
      <c r="H37" s="3464"/>
      <c r="I37" s="3464"/>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37" sqref="F37"/>
    </sheetView>
  </sheetViews>
  <sheetFormatPr defaultColWidth="12.6640625" defaultRowHeight="21.75" customHeight="1"/>
  <cols>
    <col min="1" max="2" width="12.6640625" style="1751"/>
    <col min="3" max="4" width="12.6640625" style="1751" customWidth="1"/>
    <col min="5" max="9" width="12.6640625" style="1751"/>
    <col min="10" max="11" width="12.6640625" style="723" customWidth="1"/>
    <col min="12" max="12" width="12.6640625" style="723"/>
    <col min="13" max="13" width="14.109375" style="723" bestFit="1" customWidth="1"/>
    <col min="14" max="26" width="12.6640625" style="723"/>
    <col min="27" max="35" width="12.6640625" style="1750"/>
    <col min="36" max="16384" width="12.6640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587" t="str">
        <f>项目基本情况!S2</f>
        <v>北京市房地产</v>
      </c>
      <c r="B2" s="3588"/>
      <c r="C2" s="3588"/>
      <c r="D2" s="3588"/>
      <c r="E2" s="3588"/>
      <c r="F2" s="3588"/>
      <c r="G2" s="3588"/>
      <c r="H2" s="3588"/>
      <c r="I2" s="3589"/>
    </row>
    <row r="3" spans="1:12" ht="13.2">
      <c r="A3" s="3591" t="s">
        <v>1264</v>
      </c>
      <c r="B3" s="3592"/>
      <c r="C3" s="3592"/>
      <c r="D3" s="3592"/>
      <c r="E3" s="3592"/>
      <c r="F3" s="3592"/>
      <c r="G3" s="3592"/>
      <c r="H3" s="3592"/>
      <c r="I3" s="3592"/>
    </row>
    <row r="4" spans="1:12" ht="14.4">
      <c r="A4" s="1752" t="s">
        <v>1265</v>
      </c>
      <c r="B4" s="1753" t="s">
        <v>1266</v>
      </c>
      <c r="C4" s="1754" t="s">
        <v>3435</v>
      </c>
      <c r="D4" s="1754" t="s">
        <v>3390</v>
      </c>
      <c r="E4" s="3593" t="s">
        <v>1267</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67" t="s">
        <v>1268</v>
      </c>
      <c r="B5" s="3554">
        <v>25</v>
      </c>
      <c r="C5" s="3570">
        <v>3</v>
      </c>
      <c r="D5" s="3590">
        <f>10-C5</f>
        <v>7</v>
      </c>
      <c r="E5" s="131" t="s">
        <v>1269</v>
      </c>
      <c r="F5" s="1755"/>
      <c r="G5" s="1755"/>
      <c r="H5" s="1755"/>
      <c r="I5" s="1371"/>
    </row>
    <row r="6" spans="1:12" ht="13.2">
      <c r="A6" s="3567"/>
      <c r="B6" s="3554"/>
      <c r="C6" s="3571"/>
      <c r="D6" s="3590"/>
      <c r="E6" s="131" t="s">
        <v>1270</v>
      </c>
      <c r="F6" s="1755"/>
      <c r="G6" s="1755"/>
      <c r="H6" s="1755"/>
      <c r="I6" s="1371"/>
    </row>
    <row r="7" spans="1:12" ht="13.2">
      <c r="A7" s="3567"/>
      <c r="B7" s="3554"/>
      <c r="C7" s="3572"/>
      <c r="D7" s="3590"/>
      <c r="E7" s="131" t="s">
        <v>1271</v>
      </c>
      <c r="F7" s="1755"/>
      <c r="G7" s="1755"/>
      <c r="H7" s="1755"/>
      <c r="I7" s="1371"/>
    </row>
    <row r="8" spans="1:12" ht="13.2">
      <c r="A8" s="3567" t="s">
        <v>1272</v>
      </c>
      <c r="B8" s="3554">
        <v>15</v>
      </c>
      <c r="C8" s="3570"/>
      <c r="D8" s="3590"/>
      <c r="E8" s="131" t="s">
        <v>1273</v>
      </c>
      <c r="F8" s="1755"/>
      <c r="G8" s="1755"/>
      <c r="H8" s="1755"/>
      <c r="I8" s="1371"/>
    </row>
    <row r="9" spans="1:12" ht="13.2">
      <c r="A9" s="3567"/>
      <c r="B9" s="3554"/>
      <c r="C9" s="3572"/>
      <c r="D9" s="3590"/>
      <c r="E9" s="131" t="s">
        <v>1274</v>
      </c>
      <c r="F9" s="1755"/>
      <c r="G9" s="1755"/>
      <c r="H9" s="1755"/>
      <c r="I9" s="1371"/>
    </row>
    <row r="10" spans="1:12" ht="13.2">
      <c r="A10" s="3567" t="s">
        <v>1275</v>
      </c>
      <c r="B10" s="3554">
        <v>15</v>
      </c>
      <c r="C10" s="3570"/>
      <c r="D10" s="3590"/>
      <c r="E10" s="131" t="s">
        <v>1276</v>
      </c>
      <c r="F10" s="1755"/>
      <c r="G10" s="1755"/>
      <c r="H10" s="1755"/>
      <c r="I10" s="1371"/>
    </row>
    <row r="11" spans="1:12" ht="13.2">
      <c r="A11" s="3567"/>
      <c r="B11" s="3554"/>
      <c r="C11" s="3572"/>
      <c r="D11" s="3590"/>
      <c r="E11" s="131" t="s">
        <v>1277</v>
      </c>
      <c r="F11" s="1755"/>
      <c r="G11" s="1755"/>
      <c r="H11" s="1755"/>
      <c r="I11" s="1371"/>
    </row>
    <row r="12" spans="1:12" ht="13.2">
      <c r="A12" s="3567" t="s">
        <v>1278</v>
      </c>
      <c r="B12" s="3554">
        <v>15</v>
      </c>
      <c r="C12" s="3570"/>
      <c r="D12" s="3590"/>
      <c r="E12" s="131" t="s">
        <v>1279</v>
      </c>
      <c r="F12" s="1755"/>
      <c r="G12" s="1755"/>
      <c r="H12" s="1755"/>
      <c r="I12" s="1371"/>
    </row>
    <row r="13" spans="1:12" ht="13.2">
      <c r="A13" s="3567"/>
      <c r="B13" s="3554"/>
      <c r="C13" s="3572"/>
      <c r="D13" s="3590"/>
      <c r="E13" s="131" t="s">
        <v>1280</v>
      </c>
      <c r="F13" s="1755"/>
      <c r="G13" s="1755"/>
      <c r="H13" s="1755"/>
      <c r="I13" s="1371"/>
    </row>
    <row r="14" spans="1:12" ht="13.2">
      <c r="A14" s="3567" t="s">
        <v>1281</v>
      </c>
      <c r="B14" s="3554">
        <v>30</v>
      </c>
      <c r="C14" s="3570"/>
      <c r="D14" s="3590"/>
      <c r="E14" s="131" t="s">
        <v>1282</v>
      </c>
      <c r="F14" s="1755"/>
      <c r="G14" s="1755"/>
      <c r="H14" s="1755"/>
      <c r="I14" s="1371"/>
    </row>
    <row r="15" spans="1:12" ht="13.2">
      <c r="A15" s="3567"/>
      <c r="B15" s="3554"/>
      <c r="C15" s="3571"/>
      <c r="D15" s="3590"/>
      <c r="E15" s="131" t="s">
        <v>1283</v>
      </c>
      <c r="F15" s="1755"/>
      <c r="G15" s="1755"/>
      <c r="H15" s="1755"/>
      <c r="I15" s="1371"/>
    </row>
    <row r="16" spans="1:12" ht="13.2">
      <c r="A16" s="3567"/>
      <c r="B16" s="3554"/>
      <c r="C16" s="3572"/>
      <c r="D16" s="3590"/>
      <c r="E16" s="131" t="s">
        <v>1284</v>
      </c>
      <c r="F16" s="1755"/>
      <c r="G16" s="1755"/>
      <c r="H16" s="1755"/>
      <c r="I16" s="1371"/>
    </row>
    <row r="17" spans="1:36" ht="14.4">
      <c r="A17" s="1756" t="s">
        <v>1285</v>
      </c>
      <c r="B17" s="56"/>
      <c r="C17" s="132">
        <f>SUM(C5:C16)</f>
        <v>3</v>
      </c>
      <c r="D17" s="132">
        <f>SUM(D5:D16)</f>
        <v>7</v>
      </c>
      <c r="E17" s="129"/>
      <c r="F17" s="129"/>
      <c r="G17" s="129"/>
      <c r="H17" s="129"/>
      <c r="I17" s="129"/>
      <c r="K17" s="302"/>
      <c r="L17" s="302" t="s">
        <v>1286</v>
      </c>
      <c r="M17" s="302" t="s">
        <v>1287</v>
      </c>
    </row>
    <row r="18" spans="1:36" ht="31.95" customHeight="1" thickBot="1">
      <c r="A18" s="1757" t="s">
        <v>1288</v>
      </c>
      <c r="B18" s="1758"/>
      <c r="C18" s="133">
        <f>ROUND(C17/SUM(C17:D17),2)</f>
        <v>0.3</v>
      </c>
      <c r="D18" s="133">
        <f>1-C18</f>
        <v>0.7</v>
      </c>
      <c r="E18" s="3577" t="s">
        <v>2131</v>
      </c>
      <c r="F18" s="3578"/>
      <c r="G18" s="3578"/>
      <c r="H18" s="3578"/>
      <c r="I18" s="3578"/>
      <c r="K18" s="302" t="s">
        <v>1289</v>
      </c>
      <c r="L18" s="302">
        <f>IF(C1="",'数据-汇总表'!E3,SUMIF(项目类型,C1,'数据-汇总表'!E17:E26)+SUMIF(项目类型,C1,'数据-汇总表'!I17:I26))</f>
        <v>127.35</v>
      </c>
      <c r="M18" s="302">
        <f>IF(C1="",'数据-汇总表'!E3,SUMIF(项目类型,C1,'数据-汇总表'!E17:E26))</f>
        <v>127.35</v>
      </c>
    </row>
    <row r="19" spans="1:36" ht="14.4">
      <c r="A19" s="1759" t="s">
        <v>1290</v>
      </c>
      <c r="B19" s="1760" t="s">
        <v>1291</v>
      </c>
      <c r="C19" s="134">
        <f ca="1">SUMIF(INDIRECT("'"&amp;C4&amp;"'"&amp;"!A:A"),结果表!B19,INDIRECT("'"&amp;C4&amp;"'"&amp;"!B:B"))</f>
        <v>279.33960000000002</v>
      </c>
      <c r="D19" s="135">
        <f ca="1">SUMIF(INDIRECT("'"&amp;D4&amp;"'"&amp;"!A:A"),结果表!B19,INDIRECT("'"&amp;D4&amp;"'"&amp;"!B:B"))</f>
        <v>370.94819999999999</v>
      </c>
      <c r="E19" s="1759" t="s">
        <v>1292</v>
      </c>
      <c r="F19" s="1760" t="s">
        <v>1291</v>
      </c>
      <c r="G19" s="136">
        <f ca="1">ROUND(C19*$C$18+D19*$D$18,0)</f>
        <v>343</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2"/>
      <c r="B20" s="1024" t="s">
        <v>1295</v>
      </c>
      <c r="C20" s="137">
        <f ca="1">SUMIF(INDIRECT("'"&amp;C4&amp;"'"&amp;"!A:A"),结果表!B20,INDIRECT("'"&amp;C4&amp;"'"&amp;"!B:B"))</f>
        <v>21935</v>
      </c>
      <c r="D20" s="138">
        <f ca="1">SUMIF(INDIRECT("'"&amp;D4&amp;"'"&amp;"!A:A"),结果表!B20,INDIRECT("'"&amp;D4&amp;"'"&amp;"!B:B"))</f>
        <v>29128</v>
      </c>
      <c r="E20" s="1762"/>
      <c r="F20" s="1024" t="s">
        <v>1295</v>
      </c>
      <c r="G20" s="139">
        <f ca="1">ROUND(C20*$C$18+D20*$D$18,0)</f>
        <v>26970</v>
      </c>
      <c r="H20" s="806" t="s">
        <v>1296</v>
      </c>
      <c r="I20" s="129">
        <f ca="1">G20*0.8</f>
        <v>21576</v>
      </c>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0.32794705798962975</v>
      </c>
      <c r="E22" s="129"/>
      <c r="F22" s="129"/>
      <c r="G22" s="129">
        <f ca="1">G20*'数据-汇总表'!E19</f>
        <v>3434629.5</v>
      </c>
      <c r="H22" s="129"/>
      <c r="I22" s="129"/>
    </row>
    <row r="23" spans="1:36" ht="13.8" thickBot="1">
      <c r="A23" s="1745"/>
      <c r="B23" s="1745"/>
      <c r="C23" s="1745"/>
      <c r="D23" s="1745"/>
      <c r="E23" s="129"/>
      <c r="F23" s="129"/>
      <c r="G23" s="129"/>
      <c r="H23" s="129"/>
      <c r="I23" s="129"/>
    </row>
    <row r="24" spans="1:36" ht="14.4">
      <c r="A24" s="3561" t="s">
        <v>1299</v>
      </c>
      <c r="B24" s="1760" t="s">
        <v>1291</v>
      </c>
      <c r="C24" s="136">
        <f>IF(B30=0,0,D30)</f>
        <v>0</v>
      </c>
      <c r="D24" s="1767"/>
      <c r="E24" s="129"/>
      <c r="F24" s="129"/>
      <c r="G24" s="129"/>
      <c r="H24" s="129"/>
      <c r="I24" s="129"/>
    </row>
    <row r="25" spans="1:36" ht="14.4">
      <c r="A25" s="3562"/>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3.8">
      <c r="A27" s="1769"/>
      <c r="B27" s="142">
        <v>0</v>
      </c>
      <c r="C27" s="142">
        <v>0</v>
      </c>
      <c r="D27" s="143">
        <f>ROUND(C27*B27/10000,0)</f>
        <v>0</v>
      </c>
      <c r="E27" s="129"/>
      <c r="F27" s="129"/>
      <c r="G27" s="129"/>
      <c r="H27" s="129"/>
      <c r="I27" s="129"/>
    </row>
    <row r="28" spans="1:36" ht="13.8">
      <c r="A28" s="1769"/>
      <c r="B28" s="142"/>
      <c r="C28" s="142"/>
      <c r="D28" s="143"/>
      <c r="E28" s="129"/>
      <c r="F28" s="129"/>
      <c r="G28" s="129"/>
      <c r="H28" s="129"/>
      <c r="I28" s="129"/>
    </row>
    <row r="29" spans="1:36" ht="13.8">
      <c r="A29" s="1769"/>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1" t="s">
        <v>1305</v>
      </c>
      <c r="B32" s="1772"/>
      <c r="C32" s="144">
        <f ca="1">IF(D32="总价",G19-C24,G20-C25)</f>
        <v>26970</v>
      </c>
      <c r="D32" s="1773"/>
      <c r="E32" s="129"/>
      <c r="F32" s="129"/>
      <c r="G32" s="129"/>
      <c r="H32" s="129"/>
      <c r="I32" s="129"/>
    </row>
    <row r="33" spans="1:15" ht="14.4">
      <c r="A33" s="784" t="s">
        <v>1306</v>
      </c>
      <c r="B33" s="1774"/>
      <c r="C33" s="1775"/>
      <c r="D33" s="1776"/>
      <c r="E33" s="1777" t="s">
        <v>1307</v>
      </c>
      <c r="F33" s="1778" t="str">
        <f>IF(D32="楼面单价","取值（单价）","取值（总价）")</f>
        <v>取值（总价）</v>
      </c>
      <c r="G33" s="129"/>
      <c r="H33" s="129"/>
      <c r="I33" s="129"/>
    </row>
    <row r="34" spans="1:15" ht="14.4">
      <c r="A34" s="1779"/>
      <c r="B34" s="1780" t="s">
        <v>1308</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 thickBot="1">
      <c r="A36" s="3581" t="s">
        <v>1312</v>
      </c>
      <c r="B36" s="1785" t="s">
        <v>1313</v>
      </c>
      <c r="C36" s="145"/>
      <c r="D36" s="1786"/>
      <c r="E36" s="1787"/>
      <c r="F36" s="1788"/>
      <c r="G36" s="129"/>
      <c r="H36" s="129"/>
      <c r="I36" s="129"/>
    </row>
    <row r="37" spans="1:15" ht="15" thickBot="1">
      <c r="A37" s="3582"/>
      <c r="B37" s="1672" t="s">
        <v>1314</v>
      </c>
      <c r="C37" s="147"/>
      <c r="D37" s="1137"/>
      <c r="E37" s="1137"/>
      <c r="F37" s="1788"/>
      <c r="G37" s="129"/>
      <c r="H37" s="129"/>
      <c r="I37" s="129"/>
    </row>
    <row r="38" spans="1:15" ht="15" thickBot="1">
      <c r="A38" s="3583"/>
      <c r="B38" s="1789" t="s">
        <v>1315</v>
      </c>
      <c r="C38" s="672"/>
      <c r="D38" s="1790" t="s">
        <v>1316</v>
      </c>
      <c r="E38" s="1137"/>
      <c r="F38" s="1788"/>
      <c r="G38" s="129"/>
      <c r="H38" s="129"/>
      <c r="I38" s="129"/>
    </row>
    <row r="39" spans="1:15" ht="14.4">
      <c r="A39" s="1762" t="s">
        <v>1317</v>
      </c>
      <c r="B39" s="1791" t="s">
        <v>1318</v>
      </c>
      <c r="C39" s="1792" t="s">
        <v>1319</v>
      </c>
      <c r="D39" s="1792" t="s">
        <v>1320</v>
      </c>
      <c r="E39" s="1793" t="s">
        <v>1321</v>
      </c>
      <c r="F39" s="1788"/>
      <c r="G39" s="129"/>
      <c r="H39" s="129"/>
      <c r="I39" s="129"/>
    </row>
    <row r="40" spans="1:15" ht="13.8">
      <c r="A40" s="1794" t="s">
        <v>1322</v>
      </c>
      <c r="B40" s="149"/>
      <c r="C40" s="150"/>
      <c r="D40" s="150"/>
      <c r="E40" s="151"/>
      <c r="F40" s="1788"/>
      <c r="G40" s="129"/>
      <c r="H40" s="129"/>
      <c r="I40" s="129"/>
    </row>
    <row r="41" spans="1:15" ht="13.8">
      <c r="A41" s="1794" t="s">
        <v>1323</v>
      </c>
      <c r="B41" s="149"/>
      <c r="C41" s="150"/>
      <c r="D41" s="150"/>
      <c r="E41" s="151"/>
      <c r="F41" s="1788"/>
      <c r="G41" s="129"/>
      <c r="H41" s="129"/>
      <c r="I41" s="129"/>
    </row>
    <row r="42" spans="1:15" ht="14.4" thickBot="1">
      <c r="A42" s="1795"/>
      <c r="B42" s="152"/>
      <c r="C42" s="153"/>
      <c r="D42" s="153"/>
      <c r="E42" s="154"/>
      <c r="F42" s="1788"/>
      <c r="G42" s="129"/>
      <c r="H42" s="129"/>
      <c r="I42" s="129"/>
    </row>
    <row r="43" spans="1:15" ht="13.2">
      <c r="A43" s="1575"/>
      <c r="B43" s="1575"/>
      <c r="C43" s="1575"/>
      <c r="D43" s="1575"/>
      <c r="E43" s="1575"/>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8" t="s">
        <v>1326</v>
      </c>
      <c r="B45" s="3559"/>
      <c r="C45" s="3560"/>
      <c r="D45" s="155" t="e">
        <f ca="1">ROUND(H101*F45,0)</f>
        <v>#REF!</v>
      </c>
      <c r="E45" s="156" t="s">
        <v>1327</v>
      </c>
      <c r="F45" s="157">
        <v>1</v>
      </c>
      <c r="G45" s="158" t="s">
        <v>1328</v>
      </c>
      <c r="H45" s="129"/>
      <c r="I45" s="129"/>
      <c r="J45" s="3636" t="s">
        <v>1329</v>
      </c>
      <c r="K45" s="3636"/>
      <c r="L45" s="3636"/>
      <c r="M45" s="3636"/>
      <c r="N45" s="3636"/>
      <c r="O45" s="3636"/>
    </row>
    <row r="46" spans="1:15" ht="14.25" customHeight="1">
      <c r="A46" s="3555" t="s">
        <v>1330</v>
      </c>
      <c r="B46" s="3556"/>
      <c r="C46" s="3556"/>
      <c r="D46" s="3556"/>
      <c r="E46" s="3556"/>
      <c r="F46" s="3556"/>
      <c r="G46" s="3557"/>
      <c r="H46" s="1804"/>
      <c r="I46" s="159"/>
      <c r="J46" s="2521">
        <v>1</v>
      </c>
      <c r="K46" s="3617" t="s">
        <v>1331</v>
      </c>
      <c r="L46" s="3617"/>
      <c r="M46" s="3637"/>
      <c r="N46" s="3637"/>
      <c r="O46" s="3637"/>
    </row>
    <row r="47" spans="1:15" ht="12" customHeight="1">
      <c r="A47" s="160" t="s">
        <v>1332</v>
      </c>
      <c r="B47" s="161"/>
      <c r="C47" s="162"/>
      <c r="D47" s="1085" t="s">
        <v>1333</v>
      </c>
      <c r="E47" s="302" t="s">
        <v>1334</v>
      </c>
      <c r="F47" s="163" t="s">
        <v>1335</v>
      </c>
      <c r="G47" s="2544" t="s">
        <v>1336</v>
      </c>
      <c r="H47" s="2545"/>
      <c r="I47" s="159"/>
      <c r="J47" s="2521">
        <v>2</v>
      </c>
      <c r="K47" s="3617" t="s">
        <v>1337</v>
      </c>
      <c r="L47" s="3617"/>
      <c r="M47" s="3638">
        <f>'数据-取费表'!B2</f>
        <v>45491</v>
      </c>
      <c r="N47" s="3638"/>
      <c r="O47" s="3638"/>
    </row>
    <row r="48" spans="1:15" ht="26.4">
      <c r="A48" s="3586" t="s">
        <v>1338</v>
      </c>
      <c r="B48" s="3569"/>
      <c r="C48" s="3569"/>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17" t="s">
        <v>1340</v>
      </c>
      <c r="L48" s="3617"/>
      <c r="M48" s="3639" t="e">
        <f ca="1">H101</f>
        <v>#REF!</v>
      </c>
      <c r="N48" s="3639"/>
      <c r="O48" s="3639"/>
    </row>
    <row r="49" spans="1:35" ht="25.5" customHeight="1">
      <c r="A49" s="2331" t="s">
        <v>1341</v>
      </c>
      <c r="B49" s="3553" t="s">
        <v>1342</v>
      </c>
      <c r="C49" s="3553"/>
      <c r="D49" s="1588">
        <v>0</v>
      </c>
      <c r="E49" s="324" t="s">
        <v>1343</v>
      </c>
      <c r="F49" s="2422" t="s">
        <v>28</v>
      </c>
      <c r="G49" s="3623"/>
      <c r="H49" s="2308" t="s">
        <v>2134</v>
      </c>
      <c r="I49" s="2309"/>
      <c r="J49" s="2521">
        <v>4</v>
      </c>
      <c r="K49" s="3617" t="str">
        <f>IF(项目基本情况!E8="房地产抵押价值","房地产抵押价值","抵押担保权已注销时的房地产抵押价值")</f>
        <v>抵押担保权已注销时的房地产抵押价值</v>
      </c>
      <c r="L49" s="3617"/>
      <c r="M49" s="3639" t="str">
        <f>IF(项目基本情况!E8="房地产抵押价值",H107,H109)</f>
        <v>——</v>
      </c>
      <c r="N49" s="3639"/>
      <c r="O49" s="3639"/>
    </row>
    <row r="50" spans="1:35" ht="25.5" customHeight="1">
      <c r="A50" s="2549"/>
      <c r="B50" s="3553" t="s">
        <v>1344</v>
      </c>
      <c r="C50" s="3553"/>
      <c r="D50" s="2550"/>
      <c r="E50" s="332"/>
      <c r="F50" s="2422"/>
      <c r="G50" s="3624"/>
      <c r="H50" s="2310" t="s">
        <v>2135</v>
      </c>
      <c r="I50" s="2309"/>
      <c r="J50" s="3636" t="s">
        <v>1345</v>
      </c>
      <c r="K50" s="3636"/>
      <c r="L50" s="3636"/>
      <c r="M50" s="3636"/>
      <c r="N50" s="3636"/>
      <c r="O50" s="3636"/>
    </row>
    <row r="51" spans="1:35" ht="20.399999999999999" customHeight="1">
      <c r="A51" s="2551"/>
      <c r="B51" s="3553" t="s">
        <v>1346</v>
      </c>
      <c r="C51" s="3553"/>
      <c r="D51" s="1085"/>
      <c r="E51" s="327"/>
      <c r="F51" s="2422"/>
      <c r="G51" s="3625"/>
      <c r="H51" s="2310" t="s">
        <v>2136</v>
      </c>
      <c r="I51" s="2309"/>
      <c r="J51" s="2522" t="s">
        <v>1347</v>
      </c>
      <c r="K51" s="3617" t="s">
        <v>1348</v>
      </c>
      <c r="L51" s="3617"/>
      <c r="M51" s="2522" t="s">
        <v>1349</v>
      </c>
      <c r="N51" s="2522" t="s">
        <v>1350</v>
      </c>
      <c r="O51" s="2522" t="s">
        <v>1351</v>
      </c>
    </row>
    <row r="52" spans="1:35" ht="24" customHeight="1">
      <c r="A52" s="2333" t="s">
        <v>1352</v>
      </c>
      <c r="B52" s="3553" t="s">
        <v>1353</v>
      </c>
      <c r="C52" s="3553"/>
      <c r="D52" s="1085" t="e">
        <f ca="1">ROUND(D45*'数据-取费表'!B41/(1+'数据-取费表'!C42),0)</f>
        <v>#REF!</v>
      </c>
      <c r="E52" s="2332" t="s">
        <v>1354</v>
      </c>
      <c r="F52" s="2552">
        <f>'数据-取费表'!B41</f>
        <v>5.6000000000000001E-2</v>
      </c>
      <c r="G52" s="2553"/>
      <c r="H52" s="2542"/>
      <c r="I52" s="1805"/>
      <c r="J52" s="2521">
        <v>1</v>
      </c>
      <c r="K52" s="3618" t="s">
        <v>1355</v>
      </c>
      <c r="L52" s="3618"/>
      <c r="M52" s="2523" t="b">
        <f>D48</f>
        <v>0</v>
      </c>
      <c r="N52" s="2521" t="str">
        <f>E48</f>
        <v>销售额×税（费）率</v>
      </c>
      <c r="O52" s="2524">
        <f>F48</f>
        <v>5.6000000000000001E-2</v>
      </c>
    </row>
    <row r="53" spans="1:35" ht="12" customHeight="1">
      <c r="A53" s="2333" t="s">
        <v>1356</v>
      </c>
      <c r="B53" s="3579" t="s">
        <v>2291</v>
      </c>
      <c r="C53" s="3580"/>
      <c r="D53" s="1085" t="e">
        <f ca="1">ROUND(D45*'数据-取费表'!B41/(1+'数据-取费表'!C42),0)</f>
        <v>#REF!</v>
      </c>
      <c r="E53" s="2332" t="s">
        <v>1354</v>
      </c>
      <c r="F53" s="2552">
        <f>'数据-取费表'!B41</f>
        <v>5.6000000000000001E-2</v>
      </c>
      <c r="G53" s="2553"/>
      <c r="H53" s="2542"/>
      <c r="I53" s="1805"/>
      <c r="J53" s="2521">
        <v>2</v>
      </c>
      <c r="K53" s="3618" t="s">
        <v>1357</v>
      </c>
      <c r="L53" s="3618"/>
      <c r="M53" s="2523" t="e">
        <f t="shared" ref="M53:O54" ca="1" si="0">D55</f>
        <v>#REF!</v>
      </c>
      <c r="N53" s="2521" t="str">
        <f t="shared" si="0"/>
        <v>销售额×税（费）率</v>
      </c>
      <c r="O53" s="2524" t="str">
        <f t="shared" si="0"/>
        <v>免征</v>
      </c>
    </row>
    <row r="54" spans="1:35" ht="12" customHeight="1">
      <c r="A54" s="2333" t="s">
        <v>1358</v>
      </c>
      <c r="B54" s="3579" t="s">
        <v>2292</v>
      </c>
      <c r="C54" s="3580"/>
      <c r="D54" s="1085" t="e">
        <f ca="1">C68</f>
        <v>#REF!</v>
      </c>
      <c r="E54" s="327" t="s">
        <v>1359</v>
      </c>
      <c r="F54" s="2552">
        <f>'数据-取费表'!B41</f>
        <v>5.6000000000000001E-2</v>
      </c>
      <c r="G54" s="2553"/>
      <c r="H54" s="2554"/>
      <c r="I54" s="1805"/>
      <c r="J54" s="2521">
        <v>3</v>
      </c>
      <c r="K54" s="3618" t="s">
        <v>1360</v>
      </c>
      <c r="L54" s="3618"/>
      <c r="M54" s="2523" t="e">
        <f t="shared" ca="1" si="0"/>
        <v>#REF!</v>
      </c>
      <c r="N54" s="2521" t="str">
        <f t="shared" si="0"/>
        <v>增值额×税（费）率</v>
      </c>
      <c r="O54" s="2525" t="str">
        <f t="shared" si="0"/>
        <v>免征</v>
      </c>
    </row>
    <row r="55" spans="1:35" ht="24" customHeight="1">
      <c r="A55" s="3568" t="s">
        <v>1361</v>
      </c>
      <c r="B55" s="3569"/>
      <c r="C55" s="3569"/>
      <c r="D55" s="2322" t="e">
        <f ca="1">IF(H55="个人住宅",0,ROUND(D45*I55,0))</f>
        <v>#REF!</v>
      </c>
      <c r="E55" s="2332" t="s">
        <v>1362</v>
      </c>
      <c r="F55" s="2552" t="str">
        <f>IF(H55="正常",I55,"免征")</f>
        <v>免征</v>
      </c>
      <c r="G55" s="2553"/>
      <c r="H55" s="2548"/>
      <c r="I55" s="165">
        <f>'数据-取费表'!B49</f>
        <v>5.0000000000000001E-4</v>
      </c>
      <c r="J55" s="2521">
        <f>IF(H59="非个人房产","",4)</f>
        <v>4</v>
      </c>
      <c r="K55" s="3618" t="str">
        <f>IF(H59="非个人房产","——","个人所得税")</f>
        <v>个人所得税</v>
      </c>
      <c r="L55" s="3618"/>
      <c r="M55" s="2526" t="e">
        <f ca="1">D59</f>
        <v>#REF!</v>
      </c>
      <c r="N55" s="2038" t="str">
        <f>E59</f>
        <v>差额计税</v>
      </c>
      <c r="O55" s="2527">
        <f>F59</f>
        <v>0.01</v>
      </c>
    </row>
    <row r="56" spans="1:35" ht="25.2">
      <c r="A56" s="3568" t="s">
        <v>1363</v>
      </c>
      <c r="B56" s="3569"/>
      <c r="C56" s="3569"/>
      <c r="D56" s="2322" t="e">
        <f ca="1">IF(H56="个人住宅",D57,D58)</f>
        <v>#REF!</v>
      </c>
      <c r="E56" s="2332" t="s">
        <v>1364</v>
      </c>
      <c r="F56" s="2552" t="str">
        <f>IF(H56="正常",F58,"免征")</f>
        <v>免征</v>
      </c>
      <c r="G56" s="2555" t="s">
        <v>1365</v>
      </c>
      <c r="H56" s="2556"/>
      <c r="I56" s="1806"/>
      <c r="J56" s="2521" t="str">
        <f>IF(项目基本情况!K6="上海银行",IF(J55="",4,J55+1),"")</f>
        <v/>
      </c>
      <c r="K56" s="3641" t="str">
        <f>IF(项目基本情况!K6="上海银行","其他处置费用","")</f>
        <v/>
      </c>
      <c r="L56" s="3642"/>
      <c r="M56" s="2523" t="str">
        <f>IF(项目基本情况!K6="上海银行",M69,"")</f>
        <v/>
      </c>
      <c r="N56" s="3641" t="str">
        <f>IF(项目基本情况!K6="上海银行","包含处置中涉及的律师、诉讼、拍卖、评估等费用","")</f>
        <v/>
      </c>
      <c r="O56" s="3644"/>
    </row>
    <row r="57" spans="1:35" ht="13.2">
      <c r="A57" s="2333" t="s">
        <v>1341</v>
      </c>
      <c r="B57" s="3579" t="s">
        <v>1366</v>
      </c>
      <c r="C57" s="3580"/>
      <c r="D57" s="1588">
        <v>0</v>
      </c>
      <c r="E57" s="324" t="s">
        <v>1343</v>
      </c>
      <c r="F57" s="302"/>
      <c r="G57" s="2553"/>
      <c r="H57" s="2557"/>
      <c r="I57" s="1806"/>
      <c r="J57" s="3618">
        <f>IF(AND(J55="",J56=""),4,IF(项目基本情况!K6="上海银行",结果表!J56+1,结果表!J55+1))</f>
        <v>5</v>
      </c>
      <c r="K57" s="3618" t="s">
        <v>1367</v>
      </c>
      <c r="L57" s="2528" t="s">
        <v>1368</v>
      </c>
      <c r="M57" s="2529"/>
      <c r="N57" s="2530">
        <f ca="1">SUMIF(M52:M56,"&lt;9e307")</f>
        <v>0</v>
      </c>
      <c r="O57" s="2531"/>
      <c r="P57" s="2688" t="e">
        <f ca="1">N57/M49</f>
        <v>#VALUE!</v>
      </c>
    </row>
    <row r="58" spans="1:35" ht="25.2">
      <c r="A58" s="2333" t="s">
        <v>1352</v>
      </c>
      <c r="B58" s="3579" t="s">
        <v>1369</v>
      </c>
      <c r="C58" s="3553"/>
      <c r="D58" s="2322" t="e">
        <f ca="1">IF(H58="转让取得",C81,C97)</f>
        <v>#REF!</v>
      </c>
      <c r="E58" s="2332" t="s">
        <v>1364</v>
      </c>
      <c r="F58" s="302" t="s">
        <v>28</v>
      </c>
      <c r="G58" s="2553"/>
      <c r="H58" s="2556"/>
      <c r="I58" s="1806"/>
      <c r="J58" s="3618"/>
      <c r="K58" s="3618"/>
      <c r="L58" s="2528" t="s">
        <v>1370</v>
      </c>
      <c r="M58" s="2532"/>
      <c r="N58" s="2533" t="str">
        <f ca="1">NUMBERSTRING(INT(N57*10000),2)&amp;"元整"</f>
        <v>零元整</v>
      </c>
      <c r="O58" s="2534"/>
    </row>
    <row r="59" spans="1:35" ht="24.6" thickBot="1">
      <c r="A59" s="3621" t="s">
        <v>1371</v>
      </c>
      <c r="B59" s="3622"/>
      <c r="C59" s="3622"/>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19">
        <f>J57+1</f>
        <v>6</v>
      </c>
      <c r="K59" s="3618" t="s">
        <v>1372</v>
      </c>
      <c r="L59" s="2521" t="s">
        <v>1368</v>
      </c>
      <c r="M59" s="2535"/>
      <c r="N59" s="2536" t="e">
        <f ca="1">M49-N57</f>
        <v>#VALUE!</v>
      </c>
      <c r="O59" s="2537"/>
    </row>
    <row r="60" spans="1:35" ht="12" customHeight="1">
      <c r="A60" s="1807"/>
      <c r="B60" s="1745"/>
      <c r="C60" s="1745"/>
      <c r="D60" s="1745"/>
      <c r="E60" s="1576"/>
      <c r="F60" s="1806"/>
      <c r="G60" s="1806"/>
      <c r="H60" s="1808"/>
      <c r="I60" s="129"/>
      <c r="J60" s="3620"/>
      <c r="K60" s="3618"/>
      <c r="L60" s="2528" t="s">
        <v>1370</v>
      </c>
      <c r="M60" s="2532"/>
      <c r="N60" s="2533" t="e">
        <f ca="1">NUMBERSTRING(INT(N59*10000),2)&amp;"元整"</f>
        <v>#VALUE!</v>
      </c>
      <c r="O60" s="2534"/>
    </row>
    <row r="61" spans="1:35" ht="13.8" thickBot="1">
      <c r="A61" s="3566" t="s">
        <v>1373</v>
      </c>
      <c r="B61" s="3566"/>
      <c r="C61" s="3566"/>
      <c r="D61" s="3566"/>
      <c r="E61" s="3566"/>
      <c r="F61" s="1806"/>
      <c r="G61" s="1806"/>
      <c r="H61" s="1808"/>
      <c r="I61" s="129"/>
      <c r="J61" s="2521">
        <f>J59+1</f>
        <v>7</v>
      </c>
      <c r="K61" s="3618" t="s">
        <v>1374</v>
      </c>
      <c r="L61" s="3618"/>
      <c r="M61" s="2538"/>
      <c r="N61" s="2539" t="e">
        <f ca="1">ROUND(N59*10000/'数据-汇总表'!E3,0)</f>
        <v>#VALUE!</v>
      </c>
      <c r="O61" s="2540"/>
    </row>
    <row r="62" spans="1:35" ht="13.2">
      <c r="A62" s="3584" t="s">
        <v>1375</v>
      </c>
      <c r="B62" s="3585"/>
      <c r="C62" s="2019"/>
      <c r="D62" s="2019" t="s">
        <v>1376</v>
      </c>
      <c r="E62" s="166" t="s">
        <v>1377</v>
      </c>
      <c r="F62" s="1806"/>
      <c r="G62" s="1806"/>
      <c r="H62" s="1808"/>
      <c r="I62" s="129"/>
    </row>
    <row r="63" spans="1:35" ht="13.2">
      <c r="A63" s="173" t="s">
        <v>330</v>
      </c>
      <c r="B63" s="167" t="s">
        <v>1378</v>
      </c>
      <c r="C63" s="2562" t="e">
        <f ca="1">ROUND((C64+C65)/(1+'数据-取费表'!C42),0)</f>
        <v>#REF!</v>
      </c>
      <c r="D63" s="167"/>
      <c r="E63" s="168"/>
      <c r="F63" s="1806"/>
      <c r="G63" s="1806"/>
      <c r="H63" s="1808"/>
      <c r="I63" s="129"/>
      <c r="J63" s="3643"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t="e">
        <f ca="1">D45</f>
        <v>#REF!</v>
      </c>
      <c r="D64" s="170" t="s">
        <v>26</v>
      </c>
      <c r="E64" s="172"/>
      <c r="F64" s="1806"/>
      <c r="G64" s="1806"/>
      <c r="H64" s="1808"/>
      <c r="I64" s="129"/>
      <c r="J64" s="3643"/>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43"/>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43"/>
      <c r="K66" s="1330" t="s">
        <v>1387</v>
      </c>
      <c r="L66" s="1330" t="e">
        <f>M49*0.5%</f>
        <v>#VALUE!</v>
      </c>
      <c r="M66" s="302" t="e">
        <f>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643"/>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643"/>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43"/>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4.4" thickBot="1">
      <c r="A70" s="3605" t="s">
        <v>1394</v>
      </c>
      <c r="B70" s="3606"/>
      <c r="C70" s="3606"/>
      <c r="D70" s="3606"/>
      <c r="E70" s="3606"/>
      <c r="F70" s="3606"/>
      <c r="G70" s="3606"/>
      <c r="H70" s="360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584" t="s">
        <v>1375</v>
      </c>
      <c r="B71" s="3585"/>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9" t="s">
        <v>1402</v>
      </c>
      <c r="F76" s="3553"/>
      <c r="G76" s="3553"/>
      <c r="H76" s="360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63" t="s">
        <v>1406</v>
      </c>
      <c r="F78" s="3564"/>
      <c r="G78" s="3564"/>
      <c r="H78" s="357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05" t="s">
        <v>1410</v>
      </c>
      <c r="B83" s="3606"/>
      <c r="C83" s="3606"/>
      <c r="D83" s="3606"/>
      <c r="E83" s="3606"/>
      <c r="F83" s="3606"/>
      <c r="G83" s="3606"/>
      <c r="H83" s="360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584" t="s">
        <v>1375</v>
      </c>
      <c r="B84" s="3585"/>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9" t="s">
        <v>331</v>
      </c>
      <c r="B88" s="170" t="s">
        <v>1412</v>
      </c>
      <c r="C88" s="2580"/>
      <c r="D88" s="2575"/>
      <c r="E88" s="193" t="s">
        <v>1413</v>
      </c>
      <c r="F88" s="2325"/>
      <c r="G88" s="194" t="s">
        <v>1414</v>
      </c>
      <c r="H88" s="1822"/>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9" t="s">
        <v>326</v>
      </c>
      <c r="B90" s="170" t="s">
        <v>1416</v>
      </c>
      <c r="C90" s="2580"/>
      <c r="D90" s="2575"/>
      <c r="E90" s="193" t="str">
        <f>IF(H88="-","土地取得成本中已包含该笔费用"," ")</f>
        <v xml:space="preserve"> </v>
      </c>
      <c r="F90" s="2325"/>
      <c r="G90" s="3645" t="s">
        <v>2129</v>
      </c>
      <c r="H90" s="3646"/>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63" t="s">
        <v>1419</v>
      </c>
      <c r="F91" s="3564"/>
      <c r="G91" s="356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63" t="s">
        <v>1422</v>
      </c>
      <c r="F92" s="3564"/>
      <c r="G92" s="3564"/>
      <c r="H92" s="3573"/>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63" t="s">
        <v>1406</v>
      </c>
      <c r="F93" s="3564"/>
      <c r="G93" s="3564"/>
      <c r="H93" s="357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74" t="s">
        <v>1426</v>
      </c>
      <c r="F94" s="3575"/>
      <c r="G94" s="3575"/>
      <c r="H94" s="357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7" t="s">
        <v>1428</v>
      </c>
      <c r="B100" s="3548"/>
      <c r="C100" s="3548"/>
      <c r="D100" s="3565"/>
      <c r="E100" s="3548" t="s">
        <v>1429</v>
      </c>
      <c r="F100" s="3548"/>
      <c r="G100" s="3548"/>
      <c r="H100" s="3565"/>
      <c r="I100" s="129"/>
    </row>
    <row r="101" spans="1:35" ht="18.75" customHeight="1">
      <c r="A101" s="3626" t="s">
        <v>1430</v>
      </c>
      <c r="B101" s="3627"/>
      <c r="C101" s="2583" t="str">
        <f>C4</f>
        <v>成本法 (元)</v>
      </c>
      <c r="D101" s="2584" t="str">
        <f>D4</f>
        <v>收益法 (元)</v>
      </c>
      <c r="E101" s="3640" t="s">
        <v>1431</v>
      </c>
      <c r="F101" s="3597"/>
      <c r="G101" s="1825" t="s">
        <v>1432</v>
      </c>
      <c r="H101" s="2593" t="e">
        <f ca="1">H118</f>
        <v>#REF!</v>
      </c>
      <c r="I101" s="129"/>
    </row>
    <row r="102" spans="1:35" ht="18.75" customHeight="1">
      <c r="A102" s="3599" t="s">
        <v>1433</v>
      </c>
      <c r="B102" s="2582" t="s">
        <v>1432</v>
      </c>
      <c r="C102" s="2583">
        <f ca="1">IF(D32="楼面单价",ROUND(C19,0),C19)</f>
        <v>279.33960000000002</v>
      </c>
      <c r="D102" s="2584">
        <f ca="1">IF(D32="楼面单价",ROUND(D19,0),D19)</f>
        <v>370.94819999999999</v>
      </c>
      <c r="E102" s="3640"/>
      <c r="F102" s="3597"/>
      <c r="G102" s="1825" t="s">
        <v>1434</v>
      </c>
      <c r="H102" s="2553" t="e">
        <f ca="1">I118</f>
        <v>#REF!</v>
      </c>
      <c r="I102" s="129"/>
    </row>
    <row r="103" spans="1:35" ht="42.75" customHeight="1">
      <c r="A103" s="3599"/>
      <c r="B103" s="2582" t="s">
        <v>1434</v>
      </c>
      <c r="C103" s="2585">
        <f ca="1">C20</f>
        <v>21935</v>
      </c>
      <c r="D103" s="2586">
        <f ca="1">D20</f>
        <v>29128</v>
      </c>
      <c r="E103" s="3634" t="s">
        <v>1435</v>
      </c>
      <c r="F103" s="3635"/>
      <c r="G103" s="1826" t="s">
        <v>1436</v>
      </c>
      <c r="H103" s="2593">
        <f>IF(D36="正常操作",H104+H105+H106,H105+H106)</f>
        <v>0</v>
      </c>
      <c r="I103" s="129"/>
    </row>
    <row r="104" spans="1:35" ht="18.75" customHeight="1">
      <c r="A104" s="3599"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00"/>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6" t="str">
        <f>IF(项目基本情况!E8="已注销","——","3.房地产抵押价值")</f>
        <v>3.房地产抵押价值</v>
      </c>
      <c r="F107" s="3597"/>
      <c r="G107" s="1825" t="s">
        <v>1432</v>
      </c>
      <c r="H107" s="2593" t="e">
        <f ca="1">IF(E107="——","——",H101-H103)</f>
        <v>#REF!</v>
      </c>
      <c r="I107" s="129"/>
    </row>
    <row r="108" spans="1:35" ht="18.75" customHeight="1">
      <c r="A108" s="129"/>
      <c r="B108" s="129"/>
      <c r="C108" s="129"/>
      <c r="D108" s="129"/>
      <c r="E108" s="3596"/>
      <c r="F108" s="3597"/>
      <c r="G108" s="1825" t="s">
        <v>1434</v>
      </c>
      <c r="H108" s="2553">
        <f ca="1">IF(H107=H101,H102,ROUND(H107*10000/'数据-汇总表'!E3,0))</f>
        <v>0</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5" t="s">
        <v>1432</v>
      </c>
      <c r="H109" s="2596" t="str">
        <f>IF(E109="——","——",H101-H105-H106)</f>
        <v>——</v>
      </c>
      <c r="I109" s="129"/>
    </row>
    <row r="110" spans="1:35" ht="18.75" customHeight="1">
      <c r="A110" s="129"/>
      <c r="B110" s="129"/>
      <c r="C110" s="129"/>
      <c r="D110" s="129"/>
      <c r="E110" s="3596"/>
      <c r="F110" s="3597"/>
      <c r="G110" s="1825" t="s">
        <v>1434</v>
      </c>
      <c r="H110" s="2553" t="str">
        <f>IF(H109="——","——",ROUND(H109*10000/'数据-汇总表'!E3,0))</f>
        <v>——</v>
      </c>
      <c r="I110" s="129"/>
    </row>
    <row r="111" spans="1:35" ht="18.75" customHeight="1">
      <c r="A111" s="129"/>
      <c r="B111" s="129"/>
      <c r="C111" s="129"/>
      <c r="D111" s="129"/>
      <c r="E111" s="3628" t="str">
        <f>IF(项目基本情况!E9="抵押净值",IF(OR(项目基本情况!E8="已注销",项目基本情况!E8="房地产抵押价值"),"4.抵押净值","5.抵押净值"),"——")</f>
        <v>——</v>
      </c>
      <c r="F111" s="3598"/>
      <c r="G111" s="1825" t="s">
        <v>1432</v>
      </c>
      <c r="H111" s="2593" t="str">
        <f>IF(E111="——","——",N59)</f>
        <v>——</v>
      </c>
      <c r="I111" s="129"/>
    </row>
    <row r="112" spans="1:35" ht="18.75" customHeight="1" thickBot="1">
      <c r="A112" s="129"/>
      <c r="B112" s="129"/>
      <c r="C112" s="129"/>
      <c r="D112" s="129"/>
      <c r="E112" s="3629"/>
      <c r="F112" s="3630"/>
      <c r="G112" s="1828" t="s">
        <v>1434</v>
      </c>
      <c r="H112" s="2597" t="str">
        <f>IF(E111="——","——",N61)</f>
        <v>——</v>
      </c>
      <c r="I112" s="129"/>
    </row>
    <row r="113" spans="1:27" ht="18.75" customHeight="1">
      <c r="A113" s="129"/>
      <c r="B113" s="129"/>
      <c r="C113" s="129"/>
      <c r="D113" s="129"/>
      <c r="E113" s="3601" t="s">
        <v>1440</v>
      </c>
      <c r="F113" s="3601"/>
      <c r="G113" s="3601"/>
      <c r="H113" s="3601"/>
      <c r="I113" s="129"/>
    </row>
    <row r="114" spans="1:27" ht="3.75" customHeight="1">
      <c r="A114" s="1745"/>
      <c r="B114" s="1745"/>
      <c r="C114" s="1745"/>
      <c r="D114" s="1745"/>
      <c r="E114" s="1807"/>
      <c r="F114" s="1807"/>
      <c r="G114" s="1807"/>
      <c r="H114" s="1807"/>
      <c r="I114" s="1745"/>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127.35</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7" t="s">
        <v>1452</v>
      </c>
      <c r="B119" s="3567"/>
      <c r="C119" s="3567"/>
      <c r="D119" s="3607" t="e">
        <f ca="1">NUMBERSTRING(INT(D118*10000),2)&amp;"元整"</f>
        <v>#REF!</v>
      </c>
      <c r="E119" s="3609"/>
      <c r="F119" s="3607" t="e">
        <f ca="1">NUMBERSTRING(INT(F118*10000),2)&amp;"元整"</f>
        <v>#REF!</v>
      </c>
      <c r="G119" s="3609"/>
      <c r="H119" s="3607" t="e">
        <f ca="1">NUMBERSTRING(INT(H118*10000),2)&amp;"元整"</f>
        <v>#REF!</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7" t="s">
        <v>1452</v>
      </c>
      <c r="B121" s="3608"/>
      <c r="C121" s="3609"/>
      <c r="D121" s="3607" t="str">
        <f>IF(D120=0,"零元整",NUMBERSTRING(INT(D120*10000),2)&amp;"元整")</f>
        <v>零元整</v>
      </c>
      <c r="E121" s="3608"/>
      <c r="F121" s="3608"/>
      <c r="G121" s="3608"/>
      <c r="H121" s="3608"/>
      <c r="I121" s="3609"/>
      <c r="AA121" s="723"/>
    </row>
    <row r="122" spans="1:27" ht="18.75" customHeight="1">
      <c r="A122" s="3598" t="str">
        <f>IF(项目基本情况!B9="房地产市场价值","",MID(E107,3,LEN(E107)-2))</f>
        <v>房地产抵押价值</v>
      </c>
      <c r="B122" s="3598"/>
      <c r="C122" s="3598"/>
      <c r="D122" s="3631" t="e">
        <f ca="1">H107</f>
        <v>#REF!</v>
      </c>
      <c r="E122" s="3632"/>
      <c r="F122" s="3632"/>
      <c r="G122" s="3632"/>
      <c r="H122" s="3632"/>
      <c r="I122" s="3633"/>
      <c r="AA122" s="723"/>
    </row>
    <row r="123" spans="1:27" ht="18.75" customHeight="1">
      <c r="A123" s="3567" t="s">
        <v>1452</v>
      </c>
      <c r="B123" s="3567"/>
      <c r="C123" s="3567"/>
      <c r="D123" s="3607" t="e">
        <f ca="1">NUMBERSTRING(INT(D122*10000),2)&amp;"元整"</f>
        <v>#REF!</v>
      </c>
      <c r="E123" s="3608"/>
      <c r="F123" s="3608"/>
      <c r="G123" s="3608"/>
      <c r="H123" s="3608"/>
      <c r="I123" s="3609"/>
      <c r="AA123" s="723"/>
    </row>
    <row r="124" spans="1:27" ht="18.75" customHeight="1">
      <c r="A124" s="3598" t="str">
        <f>IF(项目基本情况!B9="房地产市场价值","",MID(E109,3,LEN(E109)-2))</f>
        <v/>
      </c>
      <c r="B124" s="3598"/>
      <c r="C124" s="3598"/>
      <c r="D124" s="3631" t="str">
        <f>H109</f>
        <v>——</v>
      </c>
      <c r="E124" s="3632"/>
      <c r="F124" s="3632"/>
      <c r="G124" s="3632"/>
      <c r="H124" s="3632"/>
      <c r="I124" s="3633"/>
      <c r="AA124" s="723"/>
    </row>
    <row r="125" spans="1:27" ht="18.75" customHeight="1">
      <c r="A125" s="3567" t="s">
        <v>1452</v>
      </c>
      <c r="B125" s="3567"/>
      <c r="C125" s="3567"/>
      <c r="D125" s="3607" t="e">
        <f>NUMBERSTRING(INT(D124*10000),2)&amp;"元整"</f>
        <v>#VALUE!</v>
      </c>
      <c r="E125" s="3608"/>
      <c r="F125" s="3608"/>
      <c r="G125" s="3608"/>
      <c r="H125" s="3608"/>
      <c r="I125" s="3609"/>
      <c r="AA125" s="723"/>
    </row>
    <row r="126" spans="1:27" ht="18.75" customHeight="1">
      <c r="A126" s="3598" t="str">
        <f>IF(项目基本情况!B9="房地产市场价值","",MID(E111,3,LEN(E111)-2))</f>
        <v/>
      </c>
      <c r="B126" s="3598"/>
      <c r="C126" s="3598"/>
      <c r="D126" s="3631" t="str">
        <f>H111</f>
        <v>——</v>
      </c>
      <c r="E126" s="3632"/>
      <c r="F126" s="3632"/>
      <c r="G126" s="3632"/>
      <c r="H126" s="3632"/>
      <c r="I126" s="3633"/>
      <c r="AA126" s="723"/>
    </row>
    <row r="127" spans="1:27" ht="18.75" customHeight="1">
      <c r="A127" s="3567" t="s">
        <v>1452</v>
      </c>
      <c r="B127" s="3567"/>
      <c r="C127" s="3567"/>
      <c r="D127" s="3607" t="e">
        <f>NUMBERSTRING(INT(D126*10000),2)&amp;"元整"</f>
        <v>#VALUE!</v>
      </c>
      <c r="E127" s="3608"/>
      <c r="F127" s="3608"/>
      <c r="G127" s="3608"/>
      <c r="H127" s="3608"/>
      <c r="I127" s="3609"/>
      <c r="AA127" s="723"/>
    </row>
    <row r="128" spans="1:27" ht="21.75" customHeight="1">
      <c r="A128" s="3614" t="s">
        <v>1453</v>
      </c>
      <c r="B128" s="3614"/>
      <c r="C128" s="3614"/>
      <c r="D128" s="3614"/>
      <c r="E128" s="3614"/>
      <c r="F128" s="3614"/>
      <c r="G128" s="3614"/>
      <c r="H128" s="3614"/>
      <c r="I128" s="361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9" sqref="G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8" t="s">
        <v>673</v>
      </c>
      <c r="C1" s="198"/>
      <c r="D1" s="198"/>
      <c r="E1" s="198"/>
      <c r="F1" s="198"/>
      <c r="G1" s="1124">
        <f>MATCH(B1,'数据-取费表'!A6:A16,0)+5</f>
        <v>6</v>
      </c>
    </row>
    <row r="2" spans="1:9" s="200" customFormat="1" ht="18" customHeight="1">
      <c r="A2" s="201" t="s">
        <v>1462</v>
      </c>
      <c r="B2" s="202">
        <f ca="1">IF(D2="——",C52,C52-E2)</f>
        <v>280</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21987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160</v>
      </c>
      <c r="D5" s="211" t="s">
        <v>1469</v>
      </c>
      <c r="E5" s="212" t="s">
        <v>1470</v>
      </c>
      <c r="F5" s="212" t="s">
        <v>1471</v>
      </c>
      <c r="G5" s="213"/>
    </row>
    <row r="6" spans="1:9" s="214" customFormat="1" ht="13.5" customHeight="1">
      <c r="A6" s="776" t="s">
        <v>1472</v>
      </c>
      <c r="B6" s="215" t="s">
        <v>1473</v>
      </c>
      <c r="C6" s="216">
        <f>基准地价修正!E33</f>
        <v>152</v>
      </c>
      <c r="D6" s="217"/>
      <c r="E6" s="218"/>
      <c r="F6" s="218"/>
      <c r="G6" s="219"/>
    </row>
    <row r="7" spans="1:9" s="214" customFormat="1" ht="13.5" customHeight="1">
      <c r="A7" s="776" t="s">
        <v>1474</v>
      </c>
      <c r="B7" s="215" t="s">
        <v>1475</v>
      </c>
      <c r="C7" s="220">
        <f>ROUND(C6*F7,0)</f>
        <v>5</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v>
      </c>
      <c r="D8" s="222"/>
      <c r="E8" s="220"/>
      <c r="F8" s="221"/>
      <c r="G8" s="1854" t="s">
        <v>3405</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t="s">
        <v>3407</v>
      </c>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127.35</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127.35</v>
      </c>
      <c r="E19" s="211">
        <f>'数据-取费表'!B31</f>
        <v>200</v>
      </c>
      <c r="F19" s="231"/>
      <c r="G19" s="1854" t="s">
        <v>3406</v>
      </c>
    </row>
    <row r="20" spans="1:7" s="214" customFormat="1" ht="13.5" customHeight="1">
      <c r="A20" s="255" t="s">
        <v>1493</v>
      </c>
      <c r="B20" s="210" t="s">
        <v>1494</v>
      </c>
      <c r="C20" s="232">
        <f ca="1">ROUND((C5+C19)*F20,0)</f>
        <v>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11</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41</v>
      </c>
      <c r="D27" s="235">
        <f ca="1">C29</f>
        <v>5.0000000000000001E-3</v>
      </c>
      <c r="E27" s="236" t="s">
        <v>1514</v>
      </c>
      <c r="F27" s="246">
        <f ca="1">IF(B1="",'数据-取费表'!Q16,INDIRECT("'数据-取费表'!q"&amp;$G$1))</f>
        <v>0.25</v>
      </c>
      <c r="G27" s="247" t="s">
        <v>1515</v>
      </c>
    </row>
    <row r="28" spans="1:7" s="214" customFormat="1" ht="13.5" customHeight="1">
      <c r="A28" s="778" t="s">
        <v>346</v>
      </c>
      <c r="B28" s="248" t="s">
        <v>1516</v>
      </c>
      <c r="C28" s="249">
        <f ca="1">ROUND((C5+C19+C20)*F27*'数据-取费表'!B21/'数据-取费表'!B20,0)</f>
        <v>41</v>
      </c>
      <c r="D28" s="235"/>
      <c r="E28" s="236"/>
      <c r="F28" s="246"/>
      <c r="G28" s="247"/>
    </row>
    <row r="29" spans="1:7" s="214" customFormat="1" ht="13.5" customHeight="1">
      <c r="A29" s="778"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233</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38</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127.35</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47" t="s">
        <v>1544</v>
      </c>
    </row>
    <row r="43" spans="1:7" ht="13.5" customHeight="1">
      <c r="A43" s="778" t="s">
        <v>347</v>
      </c>
      <c r="B43" s="215" t="s">
        <v>1545</v>
      </c>
      <c r="C43" s="238">
        <f ca="1">ROUND(IF('数据-取费表'!B22&lt;=1,C39*F22*'数据-取费表'!B21/2,C39*(POWER((1+F22),'数据-取费表'!B21/2)-1)),0)</f>
        <v>0</v>
      </c>
      <c r="D43" s="238"/>
      <c r="E43" s="238"/>
      <c r="F43" s="239"/>
      <c r="G43" s="3648"/>
    </row>
    <row r="44" spans="1:7" ht="13.5" customHeight="1">
      <c r="A44" s="778" t="s">
        <v>348</v>
      </c>
      <c r="B44" s="215" t="s">
        <v>1546</v>
      </c>
      <c r="C44" s="238">
        <f ca="1">ROUND(IF('数据-取费表'!B22&lt;=1,C40*F22*'数据-取费表'!B21/2,C40*(POWER((1+F22),'数据-取费表'!B21/2)-1)),4)</f>
        <v>6.9999999999999999E-4</v>
      </c>
      <c r="D44" s="238"/>
      <c r="E44" s="238"/>
      <c r="F44" s="239"/>
      <c r="G44" s="3649"/>
    </row>
    <row r="45" spans="1:7" s="214" customFormat="1" ht="13.5" customHeight="1">
      <c r="A45" s="255" t="s">
        <v>1547</v>
      </c>
      <c r="B45" s="244" t="s">
        <v>1513</v>
      </c>
      <c r="C45" s="245">
        <f ca="1">C46</f>
        <v>11</v>
      </c>
      <c r="D45" s="235">
        <f ca="1">C47</f>
        <v>5.0000000000000001E-3</v>
      </c>
      <c r="E45" s="236" t="s">
        <v>1539</v>
      </c>
      <c r="F45" s="246">
        <f ca="1">F27</f>
        <v>0.25</v>
      </c>
      <c r="G45" s="247" t="s">
        <v>1548</v>
      </c>
    </row>
    <row r="46" spans="1:7" s="214" customFormat="1" ht="13.5" customHeight="1">
      <c r="A46" s="778" t="s">
        <v>346</v>
      </c>
      <c r="B46" s="248" t="s">
        <v>1549</v>
      </c>
      <c r="C46" s="249">
        <f ca="1">ROUND((C33+C39)*F27,0)</f>
        <v>11</v>
      </c>
      <c r="D46" s="263"/>
      <c r="E46" s="236"/>
      <c r="F46" s="246"/>
      <c r="G46" s="247"/>
    </row>
    <row r="47" spans="1:7" s="214" customFormat="1" ht="13.5" customHeight="1">
      <c r="A47" s="778" t="s">
        <v>347</v>
      </c>
      <c r="B47" s="248" t="s">
        <v>1550</v>
      </c>
      <c r="C47" s="238">
        <f ca="1">ROUND(C40*F27,4)</f>
        <v>5.0000000000000001E-3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61</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47</v>
      </c>
      <c r="D51" s="232"/>
      <c r="E51" s="232"/>
      <c r="F51" s="264"/>
      <c r="G51" s="234" t="s">
        <v>1560</v>
      </c>
    </row>
    <row r="52" spans="1:7" s="208" customFormat="1" ht="16.8" thickBot="1">
      <c r="A52" s="265" t="s">
        <v>1561</v>
      </c>
      <c r="B52" s="266"/>
      <c r="C52" s="267">
        <f ca="1">C31+C51</f>
        <v>280</v>
      </c>
      <c r="D52" s="266"/>
      <c r="E52" s="266"/>
      <c r="F52" s="266"/>
      <c r="G52" s="268"/>
    </row>
    <row r="55" spans="1:7" ht="15">
      <c r="B55" s="270" t="s">
        <v>1562</v>
      </c>
      <c r="C55" s="271"/>
    </row>
    <row r="56" spans="1:7">
      <c r="B56" s="273" t="s">
        <v>802</v>
      </c>
      <c r="C56" s="275">
        <f ca="1">1-C57</f>
        <v>0.83199999999999996</v>
      </c>
    </row>
    <row r="57" spans="1:7">
      <c r="B57" s="273" t="s">
        <v>803</v>
      </c>
      <c r="C57" s="274">
        <f ca="1">ROUND(C51/C52,3)</f>
        <v>0.16800000000000001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2:O57"/>
  <sheetViews>
    <sheetView topLeftCell="A25" workbookViewId="0">
      <selection activeCell="O24" sqref="O24"/>
    </sheetView>
  </sheetViews>
  <sheetFormatPr defaultRowHeight="14.4"/>
  <sheetData>
    <row r="12" spans="15:15">
      <c r="O12" s="3451"/>
    </row>
    <row r="35" spans="15:15">
      <c r="O35" s="3460"/>
    </row>
    <row r="41" spans="15:15">
      <c r="O41" s="3451"/>
    </row>
    <row r="57" spans="15:15">
      <c r="O57" s="3451"/>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S87" sqref="S87"/>
    </sheetView>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303"/>
  <sheetViews>
    <sheetView tabSelected="1" workbookViewId="0">
      <selection activeCell="Q26" sqref="Q26"/>
    </sheetView>
  </sheetViews>
  <sheetFormatPr defaultRowHeight="14.4"/>
  <cols>
    <col min="6" max="6" width="10.5546875" bestFit="1" customWidth="1"/>
    <col min="15" max="15" width="9.44140625" bestFit="1" customWidth="1"/>
    <col min="16" max="16" width="12.44140625" customWidth="1"/>
    <col min="17" max="17" width="13" customWidth="1"/>
  </cols>
  <sheetData>
    <row r="3" spans="15:18">
      <c r="O3" s="3447" t="s">
        <v>3408</v>
      </c>
      <c r="P3" s="3447"/>
      <c r="Q3" s="3447"/>
    </row>
    <row r="4" spans="15:18">
      <c r="O4" s="3447" t="s">
        <v>3409</v>
      </c>
      <c r="P4">
        <v>127.35</v>
      </c>
    </row>
    <row r="6" spans="15:18">
      <c r="O6" s="3448" t="s">
        <v>3410</v>
      </c>
      <c r="P6" s="3447" t="s">
        <v>3411</v>
      </c>
      <c r="Q6" s="3447" t="s">
        <v>3412</v>
      </c>
    </row>
    <row r="7" spans="15:18">
      <c r="O7" s="3447" t="s">
        <v>3413</v>
      </c>
      <c r="P7">
        <v>7350666</v>
      </c>
      <c r="Q7">
        <f>P7/$P$4</f>
        <v>57720.188457008247</v>
      </c>
    </row>
    <row r="8" spans="15:18">
      <c r="O8" s="3447" t="s">
        <v>3414</v>
      </c>
      <c r="P8">
        <v>7350666</v>
      </c>
      <c r="Q8">
        <f>P8/$P$4</f>
        <v>57720.188457008247</v>
      </c>
    </row>
    <row r="9" spans="15:18">
      <c r="O9" s="3447" t="s">
        <v>3415</v>
      </c>
      <c r="P9" s="3449">
        <v>44865</v>
      </c>
    </row>
    <row r="10" spans="15:18">
      <c r="O10" s="3448" t="s">
        <v>3416</v>
      </c>
      <c r="P10" s="3447" t="s">
        <v>3411</v>
      </c>
      <c r="Q10" s="3447" t="s">
        <v>3412</v>
      </c>
    </row>
    <row r="11" spans="15:18">
      <c r="O11" s="3447" t="s">
        <v>3413</v>
      </c>
      <c r="P11">
        <v>5880532.7999999998</v>
      </c>
      <c r="Q11">
        <f>P11/$P$4</f>
        <v>46176.150765606595</v>
      </c>
      <c r="R11">
        <f>Q11/Q7</f>
        <v>0.79999999999999993</v>
      </c>
    </row>
    <row r="12" spans="15:18">
      <c r="O12" s="3447" t="s">
        <v>3414</v>
      </c>
      <c r="P12">
        <v>7350666</v>
      </c>
      <c r="Q12">
        <f>P12/$P$4</f>
        <v>57720.188457008247</v>
      </c>
    </row>
    <row r="13" spans="15:18">
      <c r="O13" s="3447" t="s">
        <v>3415</v>
      </c>
      <c r="P13" s="3449">
        <v>44964</v>
      </c>
    </row>
    <row r="14" spans="15:18">
      <c r="O14" s="3448" t="s">
        <v>3417</v>
      </c>
      <c r="P14" s="3447" t="s">
        <v>3411</v>
      </c>
      <c r="Q14" s="3447" t="s">
        <v>3412</v>
      </c>
    </row>
    <row r="15" spans="15:18">
      <c r="O15" s="3447" t="s">
        <v>3418</v>
      </c>
      <c r="P15">
        <v>5880532.7999999998</v>
      </c>
      <c r="Q15">
        <f>P15/$P$4</f>
        <v>46176.150765606595</v>
      </c>
    </row>
    <row r="16" spans="15:18">
      <c r="O16" s="3447" t="s">
        <v>3414</v>
      </c>
      <c r="P16">
        <v>7350666</v>
      </c>
      <c r="Q16">
        <f>P16/$P$4</f>
        <v>57720.188457008247</v>
      </c>
    </row>
    <row r="17" spans="15:16">
      <c r="O17" s="3447" t="s">
        <v>3415</v>
      </c>
      <c r="P17" s="3449">
        <v>44964</v>
      </c>
    </row>
    <row r="70" spans="4:5">
      <c r="D70" s="3447" t="s">
        <v>3419</v>
      </c>
      <c r="E70">
        <v>100</v>
      </c>
    </row>
    <row r="71" spans="4:5">
      <c r="D71" s="3447" t="s">
        <v>3420</v>
      </c>
      <c r="E71">
        <v>70</v>
      </c>
    </row>
    <row r="72" spans="4:5">
      <c r="D72" s="3447" t="s">
        <v>3421</v>
      </c>
      <c r="E72">
        <v>60</v>
      </c>
    </row>
    <row r="81" spans="2:17">
      <c r="B81" s="3450" t="s">
        <v>3422</v>
      </c>
    </row>
    <row r="84" spans="2:17">
      <c r="O84" s="3447" t="s">
        <v>3423</v>
      </c>
    </row>
    <row r="85" spans="2:17">
      <c r="O85" s="3447" t="s">
        <v>3409</v>
      </c>
      <c r="P85">
        <v>692</v>
      </c>
    </row>
    <row r="86" spans="2:17">
      <c r="O86" s="3448" t="s">
        <v>3416</v>
      </c>
      <c r="P86" s="3447" t="s">
        <v>3411</v>
      </c>
      <c r="Q86" s="3447" t="s">
        <v>3412</v>
      </c>
    </row>
    <row r="87" spans="2:17">
      <c r="O87" s="3447" t="s">
        <v>3413</v>
      </c>
      <c r="P87">
        <v>10818526</v>
      </c>
      <c r="Q87">
        <f>P87/$P$85</f>
        <v>15633.708092485549</v>
      </c>
    </row>
    <row r="88" spans="2:17">
      <c r="O88" s="3447" t="s">
        <v>3424</v>
      </c>
      <c r="P88">
        <v>19318765</v>
      </c>
      <c r="Q88">
        <f t="shared" ref="Q88:Q89" si="0">P88/$P$85</f>
        <v>27917.290462427747</v>
      </c>
    </row>
    <row r="89" spans="2:17">
      <c r="O89" s="3447" t="s">
        <v>3425</v>
      </c>
      <c r="P89">
        <v>14608526</v>
      </c>
      <c r="Q89">
        <f t="shared" si="0"/>
        <v>21110.586705202313</v>
      </c>
    </row>
    <row r="90" spans="2:17">
      <c r="O90" s="3447" t="s">
        <v>3426</v>
      </c>
      <c r="P90" s="3449">
        <v>45230</v>
      </c>
    </row>
    <row r="111" spans="2:2">
      <c r="B111" s="3450"/>
    </row>
    <row r="113" spans="2:11">
      <c r="E113">
        <v>3126210</v>
      </c>
      <c r="F113">
        <v>122.75</v>
      </c>
      <c r="G113" s="3451">
        <f>E113/F113</f>
        <v>25468.105906313645</v>
      </c>
      <c r="H113" s="3447" t="s">
        <v>3434</v>
      </c>
      <c r="I113">
        <f>4597367/F113</f>
        <v>37453.091649694499</v>
      </c>
      <c r="K113">
        <f>G113/I113</f>
        <v>0.68000009570695574</v>
      </c>
    </row>
    <row r="115" spans="2:11">
      <c r="B115" s="3450" t="s">
        <v>3432</v>
      </c>
    </row>
    <row r="152" spans="2:13">
      <c r="F152">
        <v>116125000</v>
      </c>
      <c r="G152">
        <v>3846.73</v>
      </c>
      <c r="H152" s="3451">
        <f>F152/G152</f>
        <v>30187.97784091943</v>
      </c>
      <c r="I152" s="3447" t="s">
        <v>3433</v>
      </c>
      <c r="J152" s="3447" t="s">
        <v>3414</v>
      </c>
      <c r="K152" s="3447">
        <f>145155533/G152</f>
        <v>37734.785909070823</v>
      </c>
      <c r="M152">
        <f>H152/K152</f>
        <v>0.80000395162339411</v>
      </c>
    </row>
    <row r="153" spans="2:13">
      <c r="B153" s="3450" t="s">
        <v>3431</v>
      </c>
    </row>
    <row r="203" spans="2:11">
      <c r="B203" s="3450" t="s">
        <v>3436</v>
      </c>
    </row>
    <row r="204" spans="2:11">
      <c r="H204" s="3447" t="s">
        <v>3439</v>
      </c>
      <c r="J204" s="3447" t="s">
        <v>3414</v>
      </c>
    </row>
    <row r="205" spans="2:11">
      <c r="F205">
        <v>1805000</v>
      </c>
      <c r="G205">
        <v>112.87</v>
      </c>
      <c r="H205" s="3451">
        <f>F205/G205</f>
        <v>15991.849029857358</v>
      </c>
      <c r="I205" s="3447" t="s">
        <v>3437</v>
      </c>
      <c r="J205">
        <f>5030900/112.87</f>
        <v>44572.517055019045</v>
      </c>
      <c r="K205">
        <f>H205/J205</f>
        <v>0.35878272277326129</v>
      </c>
    </row>
    <row r="260" spans="2:11">
      <c r="B260" s="3450" t="s">
        <v>3438</v>
      </c>
    </row>
    <row r="262" spans="2:11">
      <c r="H262" s="3447" t="s">
        <v>3439</v>
      </c>
      <c r="J262" s="3447" t="s">
        <v>3414</v>
      </c>
    </row>
    <row r="263" spans="2:11">
      <c r="F263">
        <v>5850000</v>
      </c>
      <c r="G263">
        <v>279.54000000000002</v>
      </c>
      <c r="H263" s="3451">
        <f>F263/G263</f>
        <v>20927.237604636186</v>
      </c>
      <c r="I263" s="3447" t="s">
        <v>3437</v>
      </c>
      <c r="J263">
        <f>8347448.66/G263</f>
        <v>29861.37461543965</v>
      </c>
      <c r="K263">
        <f>H263/J263</f>
        <v>0.70081293557785107</v>
      </c>
    </row>
    <row r="301" spans="1:11">
      <c r="A301" s="3450" t="s">
        <v>3440</v>
      </c>
    </row>
    <row r="302" spans="1:11">
      <c r="H302" s="3447" t="s">
        <v>3439</v>
      </c>
      <c r="J302" s="3447" t="s">
        <v>3414</v>
      </c>
    </row>
    <row r="303" spans="1:11">
      <c r="F303">
        <v>7886000</v>
      </c>
      <c r="G303">
        <v>457.16</v>
      </c>
      <c r="H303" s="3451">
        <f>F303/G303</f>
        <v>17249.978125820282</v>
      </c>
      <c r="I303" s="3447" t="s">
        <v>3441</v>
      </c>
      <c r="J303">
        <f>13594400/G303</f>
        <v>29736.63487619214</v>
      </c>
      <c r="K303">
        <f>H303/J303</f>
        <v>0.58009180250691472</v>
      </c>
    </row>
  </sheetData>
  <phoneticPr fontId="134" type="noConversion"/>
  <hyperlinks>
    <hyperlink ref="B81" r:id="rId1"/>
    <hyperlink ref="B153" r:id="rId2"/>
    <hyperlink ref="B115" r:id="rId3"/>
    <hyperlink ref="B203" r:id="rId4"/>
    <hyperlink ref="B260" r:id="rId5"/>
    <hyperlink ref="A301" r:id="rId6"/>
  </hyperlinks>
  <pageMargins left="0.7" right="0.7" top="0.75" bottom="0.75" header="0.3" footer="0.3"/>
  <drawing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51" sqref="C5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8" t="s">
        <v>673</v>
      </c>
      <c r="C1" s="1857" t="s">
        <v>1563</v>
      </c>
      <c r="D1" s="198"/>
      <c r="E1" s="198"/>
      <c r="F1" s="198"/>
      <c r="G1" s="1124">
        <f>MATCH(B1,'数据-取费表'!A6:A16,0)+5</f>
        <v>6</v>
      </c>
      <c r="H1" s="1059" t="str">
        <f>IF(ISERROR(FIND("住宅",B1)),"非住宅","住宅")</f>
        <v>非住宅</v>
      </c>
    </row>
    <row r="2" spans="1:8" s="200" customFormat="1" ht="18" customHeight="1">
      <c r="A2" s="201" t="s">
        <v>1462</v>
      </c>
      <c r="B2" s="3422">
        <f ca="1">ROUND(IF(D2="——",C52/10000,C52/10000-E2),4)</f>
        <v>279.33960000000002</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21935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1593193</v>
      </c>
      <c r="D5" s="211" t="s">
        <v>1469</v>
      </c>
      <c r="E5" s="212" t="s">
        <v>1470</v>
      </c>
      <c r="F5" s="212" t="s">
        <v>1471</v>
      </c>
      <c r="G5" s="213"/>
    </row>
    <row r="6" spans="1:8" s="214" customFormat="1" ht="13.5" customHeight="1">
      <c r="A6" s="776" t="s">
        <v>1472</v>
      </c>
      <c r="B6" s="215" t="s">
        <v>1473</v>
      </c>
      <c r="C6" s="216">
        <f>ROUND(基准地价修正!C33*基准地价修正!D33,0)</f>
        <v>1521323</v>
      </c>
      <c r="D6" s="217"/>
      <c r="E6" s="218"/>
      <c r="F6" s="218"/>
      <c r="G6" s="219"/>
    </row>
    <row r="7" spans="1:8" s="214" customFormat="1" ht="13.5" customHeight="1">
      <c r="A7" s="776" t="s">
        <v>1474</v>
      </c>
      <c r="B7" s="215" t="s">
        <v>1475</v>
      </c>
      <c r="C7" s="220">
        <f>ROUND(C6*F7,0)</f>
        <v>46400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25470</v>
      </c>
      <c r="D8" s="222"/>
      <c r="E8" s="220"/>
      <c r="F8" s="221"/>
      <c r="G8" s="1854" t="s">
        <v>3405</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25470</v>
      </c>
      <c r="D10" s="843">
        <f ca="1">IF(B1="",'数据-汇总表'!E6,IF(INDIRECT("'数据-取费表'!c"&amp;$G$1)="住宅",INDIRECT("'数据-取费表'!s"&amp;$G$1),INDIRECT("'数据-取费表'!k"&amp;$G$1)+INDIRECT("'数据-取费表'!s"&amp;$G$1)))</f>
        <v>127.35</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127.35</v>
      </c>
      <c r="E19" s="211">
        <f>'数据-取费表'!B31</f>
        <v>200</v>
      </c>
      <c r="F19" s="231"/>
      <c r="G19" s="1854" t="s">
        <v>3406</v>
      </c>
    </row>
    <row r="20" spans="1:7" s="214" customFormat="1" ht="13.5" customHeight="1">
      <c r="A20" s="255" t="s">
        <v>1574</v>
      </c>
      <c r="B20" s="210" t="s">
        <v>1575</v>
      </c>
      <c r="C20" s="232">
        <f ca="1">ROUND((C5+C19)*F20,0)</f>
        <v>31864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112926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111827</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1099</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406264</v>
      </c>
      <c r="D27" s="235">
        <f ca="1">C29</f>
        <v>5.0000000000000001E-3</v>
      </c>
      <c r="E27" s="236" t="s">
        <v>1514</v>
      </c>
      <c r="F27" s="246">
        <f ca="1">IF(B1="",'数据-取费表'!Q16,INDIRECT("'数据-取费表'!q"&amp;$G$1))</f>
        <v>0.25</v>
      </c>
      <c r="G27" s="247" t="s">
        <v>1515</v>
      </c>
    </row>
    <row r="28" spans="1:7" s="214" customFormat="1" ht="13.5" customHeight="1">
      <c r="A28" s="778" t="s">
        <v>346</v>
      </c>
      <c r="B28" s="248" t="s">
        <v>1516</v>
      </c>
      <c r="C28" s="249">
        <f ca="1">ROUND((C5+C19+C20)*F27,0)</f>
        <v>406264</v>
      </c>
      <c r="D28" s="235"/>
      <c r="E28" s="236"/>
      <c r="F28" s="246"/>
      <c r="G28" s="247"/>
    </row>
    <row r="29" spans="1:7" s="214" customFormat="1" ht="13.5" customHeight="1">
      <c r="A29" s="778"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2328173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424713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382050</v>
      </c>
      <c r="D34" s="217"/>
      <c r="E34" s="220"/>
      <c r="F34" s="257"/>
      <c r="G34" s="219"/>
    </row>
    <row r="35" spans="1:7" ht="13.5" customHeight="1">
      <c r="A35" s="778" t="s">
        <v>351</v>
      </c>
      <c r="B35" s="215" t="s">
        <v>1527</v>
      </c>
      <c r="C35" s="220">
        <f ca="1">ROUND(C34*F35,0)</f>
        <v>11462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25470</v>
      </c>
      <c r="D37" s="217">
        <f ca="1">D19</f>
        <v>127.35</v>
      </c>
      <c r="E37" s="249">
        <f>'数据-取费表'!B35</f>
        <v>200</v>
      </c>
      <c r="F37" s="259"/>
      <c r="G37" s="261"/>
    </row>
    <row r="38" spans="1:7" ht="13.5" customHeight="1">
      <c r="A38" s="778" t="s">
        <v>354</v>
      </c>
      <c r="B38" s="215" t="s">
        <v>1533</v>
      </c>
      <c r="C38" s="220">
        <f ca="1">ROUND(C34*F38,0)</f>
        <v>5731</v>
      </c>
      <c r="D38" s="220"/>
      <c r="E38" s="220"/>
      <c r="F38" s="259">
        <f>'数据-取费表'!B36</f>
        <v>1.4999999999999999E-2</v>
      </c>
      <c r="G38" s="219" t="s">
        <v>1528</v>
      </c>
    </row>
    <row r="39" spans="1:7" s="214" customFormat="1" ht="13.5" customHeight="1">
      <c r="A39" s="255" t="s">
        <v>1534</v>
      </c>
      <c r="B39" s="210" t="s">
        <v>1535</v>
      </c>
      <c r="C39" s="232">
        <f ca="1">ROUND(C33*F20,0)</f>
        <v>8494</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14946</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14653</v>
      </c>
      <c r="D42" s="238"/>
      <c r="E42" s="238"/>
      <c r="F42" s="239"/>
      <c r="G42" s="3647" t="s">
        <v>1591</v>
      </c>
    </row>
    <row r="43" spans="1:7" ht="13.5" customHeight="1">
      <c r="A43" s="778" t="s">
        <v>347</v>
      </c>
      <c r="B43" s="215" t="s">
        <v>1545</v>
      </c>
      <c r="C43" s="238">
        <f ca="1">ROUND(IF('数据-取费表'!B22&lt;=1,C39*F22*'数据-取费表'!B20/2,C39*(POWER((1+F22),'数据-取费表'!B20/2)-1)),0)</f>
        <v>293</v>
      </c>
      <c r="D43" s="238"/>
      <c r="E43" s="238"/>
      <c r="F43" s="239"/>
      <c r="G43" s="3648"/>
    </row>
    <row r="44" spans="1:7" ht="13.5" customHeight="1">
      <c r="A44" s="778" t="s">
        <v>348</v>
      </c>
      <c r="B44" s="215" t="s">
        <v>1546</v>
      </c>
      <c r="C44" s="238">
        <f ca="1">ROUND(IF('数据-取费表'!B22&lt;=1,C40*F22*'数据-取费表'!B20/2,C40*(POWER((1+F22),'数据-取费表'!B20/2)-1)),4)</f>
        <v>6.9999999999999999E-4</v>
      </c>
      <c r="D44" s="238"/>
      <c r="E44" s="238"/>
      <c r="F44" s="239"/>
      <c r="G44" s="3649"/>
    </row>
    <row r="45" spans="1:7" s="214" customFormat="1" ht="13.5" customHeight="1">
      <c r="A45" s="255" t="s">
        <v>1547</v>
      </c>
      <c r="B45" s="244" t="s">
        <v>1513</v>
      </c>
      <c r="C45" s="245">
        <f ca="1">C46</f>
        <v>108302</v>
      </c>
      <c r="D45" s="235">
        <f ca="1">C47</f>
        <v>5.0000000000000001E-3</v>
      </c>
      <c r="E45" s="236" t="s">
        <v>1539</v>
      </c>
      <c r="F45" s="246">
        <f ca="1">F27</f>
        <v>0.25</v>
      </c>
      <c r="G45" s="247" t="s">
        <v>1548</v>
      </c>
    </row>
    <row r="46" spans="1:7" s="214" customFormat="1" ht="13.5" customHeight="1">
      <c r="A46" s="778" t="s">
        <v>346</v>
      </c>
      <c r="B46" s="248" t="s">
        <v>1549</v>
      </c>
      <c r="C46" s="249">
        <f ca="1">ROUND((C33+C39)*F27,0)</f>
        <v>108302</v>
      </c>
      <c r="D46" s="263"/>
      <c r="E46" s="236"/>
      <c r="F46" s="246"/>
      <c r="G46" s="247"/>
    </row>
    <row r="47" spans="1:7" s="214" customFormat="1" ht="13.5" customHeight="1">
      <c r="A47" s="778"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604186</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465223</v>
      </c>
      <c r="D51" s="232"/>
      <c r="E51" s="232"/>
      <c r="F51" s="264"/>
      <c r="G51" s="234" t="s">
        <v>1560</v>
      </c>
    </row>
    <row r="52" spans="1:7" s="208" customFormat="1" ht="16.8" thickBot="1">
      <c r="A52" s="265" t="s">
        <v>1561</v>
      </c>
      <c r="B52" s="266"/>
      <c r="C52" s="267">
        <f ca="1">C31+C51</f>
        <v>2793396</v>
      </c>
      <c r="D52" s="266"/>
      <c r="E52" s="266"/>
      <c r="F52" s="266"/>
      <c r="G52" s="268"/>
    </row>
    <row r="55" spans="1:7" ht="15">
      <c r="B55" s="270" t="s">
        <v>1562</v>
      </c>
      <c r="C55" s="271"/>
    </row>
    <row r="56" spans="1:7">
      <c r="B56" s="273" t="s">
        <v>802</v>
      </c>
      <c r="C56" s="275">
        <f ca="1">1-C57</f>
        <v>0.83299999999999996</v>
      </c>
    </row>
    <row r="57" spans="1:7">
      <c r="B57" s="273" t="s">
        <v>803</v>
      </c>
      <c r="C57" s="274">
        <f ca="1">ROUND(C51/C52,3)</f>
        <v>0.16700000000000001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6" t="s">
        <v>1594</v>
      </c>
      <c r="B1" s="1189"/>
      <c r="C1" s="1190"/>
      <c r="D1" s="1188"/>
      <c r="E1" s="2804"/>
      <c r="F1" s="2804"/>
      <c r="G1" s="2669"/>
      <c r="H1" s="2804"/>
      <c r="I1" s="2804"/>
      <c r="J1" s="2804"/>
      <c r="K1" s="2805">
        <f>MATCH(C1,'数据-取费表'!A6:A16,0)+5</f>
        <v>7</v>
      </c>
    </row>
    <row r="2" spans="1:33" ht="18" customHeight="1">
      <c r="A2" s="201" t="s">
        <v>1462</v>
      </c>
      <c r="B2" s="204">
        <f ca="1">C32</f>
        <v>-4</v>
      </c>
      <c r="C2" s="276" t="s">
        <v>1595</v>
      </c>
      <c r="D2" s="276"/>
      <c r="E2" s="2804"/>
      <c r="F2" s="2804"/>
      <c r="G2" s="2804"/>
      <c r="H2" s="2804"/>
      <c r="I2" s="2804"/>
      <c r="J2" s="2804"/>
      <c r="K2" s="2804"/>
    </row>
    <row r="3" spans="1:33" ht="18" customHeight="1" thickBot="1">
      <c r="A3" s="203" t="s">
        <v>1464</v>
      </c>
      <c r="B3" s="204">
        <f ca="1">ROUND(B2*10000/IF(C1="",'数据-汇总表'!E3,INDIRECT("'数据-取费表'!K"&amp;$K$1)),0)</f>
        <v>-314</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127.35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127.35</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127.35</v>
      </c>
      <c r="E20" s="21">
        <f>'数据-取费表'!B28</f>
        <v>200</v>
      </c>
      <c r="F20" s="802"/>
      <c r="G20" s="12"/>
      <c r="H20" s="807"/>
      <c r="I20" s="807"/>
      <c r="J20" s="807"/>
      <c r="K20" s="808"/>
    </row>
    <row r="21" spans="1:33" s="801" customFormat="1" ht="13.5" customHeight="1">
      <c r="A21" s="788" t="s">
        <v>357</v>
      </c>
      <c r="B21" s="811" t="s">
        <v>1628</v>
      </c>
      <c r="C21" s="812">
        <f ca="1">C16+C17+C18</f>
        <v>3</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v>
      </c>
      <c r="D28" s="280">
        <f ca="1">C29</f>
        <v>0</v>
      </c>
      <c r="E28" s="282" t="s">
        <v>12</v>
      </c>
      <c r="F28" s="288">
        <f ca="1">IF(C1="",'数据-取费表'!Q16,INDIRECT("'数据-取费表'!q"&amp;$K$1))</f>
        <v>0.25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C37" sqref="C37"/>
    </sheetView>
  </sheetViews>
  <sheetFormatPr defaultColWidth="9" defaultRowHeight="13.2"/>
  <cols>
    <col min="1" max="1" width="9" style="258" customWidth="1"/>
    <col min="2" max="2" width="20.6640625" style="653" customWidth="1"/>
    <col min="3" max="3" width="11.88671875" style="653"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52" t="s">
        <v>694</v>
      </c>
      <c r="C6" s="1072">
        <f ca="1">ROUND(F6*F8*F7*(1-F9)/10000,0)</f>
        <v>0</v>
      </c>
      <c r="D6" s="155" t="s">
        <v>2109</v>
      </c>
      <c r="E6" s="302" t="s">
        <v>696</v>
      </c>
      <c r="F6" s="303">
        <f ca="1">INDIRECT("'数据-取费表'!u"&amp;$G$1)</f>
        <v>0</v>
      </c>
      <c r="G6" s="1382"/>
      <c r="H6" s="1067" t="s">
        <v>398</v>
      </c>
      <c r="I6" s="3652" t="s">
        <v>694</v>
      </c>
      <c r="J6" s="301">
        <f ca="1">ROUND(M6*M8*M7*(1-M9)/10000,0)</f>
        <v>0</v>
      </c>
      <c r="K6" s="155" t="s">
        <v>2108</v>
      </c>
      <c r="L6" s="302" t="s">
        <v>696</v>
      </c>
      <c r="M6" s="303">
        <f ca="1">INDIRECT("'数据-取费表'!z"&amp;$G$1)</f>
        <v>0</v>
      </c>
    </row>
    <row r="7" spans="1:37" ht="18" customHeight="1">
      <c r="A7" s="1071"/>
      <c r="B7" s="3653"/>
      <c r="C7" s="1073"/>
      <c r="D7" s="307"/>
      <c r="E7" s="1074" t="s">
        <v>697</v>
      </c>
      <c r="F7" s="303">
        <f ca="1">IF(INDIRECT("'数据-取费表'!ah"&amp;$G$1)="",INDIRECT("'数据-取费表'!k"&amp;$G$1),INDIRECT("'数据-取费表'!ah"&amp;$G$1))</f>
        <v>0</v>
      </c>
      <c r="G7" s="1382"/>
      <c r="H7" s="304"/>
      <c r="I7" s="3653"/>
      <c r="J7" s="306"/>
      <c r="K7" s="307"/>
      <c r="L7" s="302" t="s">
        <v>697</v>
      </c>
      <c r="M7" s="303">
        <f ca="1">F7</f>
        <v>0</v>
      </c>
    </row>
    <row r="8" spans="1:37" ht="18" customHeight="1">
      <c r="A8" s="304"/>
      <c r="B8" s="3653"/>
      <c r="C8" s="306"/>
      <c r="D8" s="307"/>
      <c r="E8" s="302" t="s">
        <v>698</v>
      </c>
      <c r="F8" s="303">
        <f ca="1">INDIRECT("'数据-取费表'!ai"&amp;$G$1)</f>
        <v>0</v>
      </c>
      <c r="G8" s="1382"/>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2"/>
      <c r="H9" s="304"/>
      <c r="I9" s="365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2117</v>
      </c>
      <c r="E10" s="313" t="s">
        <v>701</v>
      </c>
      <c r="F10" s="1114"/>
      <c r="G10" s="1382"/>
      <c r="H10" s="1067" t="s">
        <v>402</v>
      </c>
      <c r="I10" s="1363" t="s">
        <v>700</v>
      </c>
      <c r="J10" s="301">
        <f ca="1">ROUND(IF(M10="押一",J6/12*M11,IF(M10="押二",J6/12*2*M11,IF(M10="押三",J6/12*3*M11,J11*M11))),0)</f>
        <v>0</v>
      </c>
      <c r="K10" s="1364" t="s">
        <v>2116</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6" t="s">
        <v>2308</v>
      </c>
      <c r="I31" s="1396"/>
      <c r="J31" s="1397"/>
      <c r="K31" s="2473"/>
      <c r="L31" s="2696"/>
      <c r="M31" s="2697"/>
    </row>
    <row r="32" spans="1:37" ht="18" customHeight="1">
      <c r="A32" s="980" t="s">
        <v>397</v>
      </c>
      <c r="B32" s="302" t="s">
        <v>723</v>
      </c>
      <c r="C32" s="21" t="str">
        <f>IF(项目基本情况!B11="自然人","——",ROUND(C6*F32/(1+'数据-取费表'!C42),2))</f>
        <v>——</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str">
        <f>IF(项目基本情况!B11="自然人","——",ROUND(F34*F35/10000,2))</f>
        <v>——</v>
      </c>
      <c r="D34" s="324" t="s">
        <v>731</v>
      </c>
      <c r="E34" s="302" t="s">
        <v>732</v>
      </c>
      <c r="F34" s="325">
        <f>'数据-取费表'!B52</f>
        <v>3</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8"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8"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40.200000000000003"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8" thickBot="1">
      <c r="A49" s="973" t="s">
        <v>439</v>
      </c>
      <c r="B49" s="1369" t="s">
        <v>779</v>
      </c>
      <c r="C49" s="1112">
        <f ca="1">ROUND(F49*F51*F50*(1-F52)/10000,0)</f>
        <v>0</v>
      </c>
      <c r="D49" s="1053" t="s">
        <v>2110</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8"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8"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6.6" thickBot="1">
      <c r="A53" s="1150" t="s">
        <v>440</v>
      </c>
      <c r="B53" s="1371"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0</v>
      </c>
      <c r="K53" s="3650" t="s">
        <v>837</v>
      </c>
      <c r="L53" s="3651"/>
      <c r="O53" s="1416" t="s">
        <v>409</v>
      </c>
      <c r="P53" s="1417" t="s">
        <v>838</v>
      </c>
      <c r="Q53" s="1418" t="e">
        <f ca="1">Q47+Q48</f>
        <v>#DIV/0!</v>
      </c>
      <c r="R53" s="1418" t="s">
        <v>410</v>
      </c>
    </row>
    <row r="54" spans="1:18" s="1382" customFormat="1" ht="24.6"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7.200000000000003"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6"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6"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t="str">
        <f>IF(项目基本情况!B11="自然人","——",ROUND(C48*F60/(1+'数据-取费表'!C42),2))</f>
        <v>——</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8" thickBot="1">
      <c r="A61" s="980" t="s">
        <v>781</v>
      </c>
      <c r="B61" s="948" t="s">
        <v>782</v>
      </c>
      <c r="C61" s="21" t="str">
        <f ca="1">IF(项目基本情况!B11="自然人","——",IF(D61="按租金收入计税",ROUND(C49*F61/(1+'数据-取费表'!C42),2),IF(D61="按房产原值计税",ROUND(C57*F61*0.7,2),INDIRECT("'数据-取费表'!Aj"&amp;$G$1))))</f>
        <v>——</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0" t="s">
        <v>784</v>
      </c>
      <c r="B62" s="947" t="s">
        <v>785</v>
      </c>
      <c r="C62" s="22" t="str">
        <f>IF(项目基本情况!B11="自然人","——",ROUND(F62*F63/10000,2))</f>
        <v>——</v>
      </c>
      <c r="D62" s="963" t="s">
        <v>786</v>
      </c>
      <c r="E62" s="948" t="s">
        <v>787</v>
      </c>
      <c r="F62" s="325">
        <f t="shared" si="0"/>
        <v>3</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24.6"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2"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8" thickBot="1">
      <c r="A69" s="949"/>
      <c r="B69" s="950"/>
      <c r="C69" s="306"/>
      <c r="D69" s="968" t="s">
        <v>762</v>
      </c>
      <c r="E69" s="948" t="s">
        <v>763</v>
      </c>
      <c r="F69" s="333">
        <f ca="1">F41</f>
        <v>0</v>
      </c>
      <c r="O69" s="1426" t="s">
        <v>411</v>
      </c>
      <c r="P69" s="1465" t="s">
        <v>872</v>
      </c>
      <c r="Q69" s="1418">
        <f ca="1">C39</f>
        <v>0</v>
      </c>
      <c r="R69" s="1418" t="s">
        <v>818</v>
      </c>
    </row>
    <row r="70" spans="1:18" s="1382" customFormat="1" ht="13.8" thickBot="1">
      <c r="A70" s="952"/>
      <c r="B70" s="953"/>
      <c r="C70" s="310"/>
      <c r="D70" s="964"/>
      <c r="E70" s="948" t="s">
        <v>766</v>
      </c>
      <c r="F70" s="1052"/>
      <c r="O70" s="1426" t="s">
        <v>412</v>
      </c>
      <c r="P70" s="1465" t="s">
        <v>873</v>
      </c>
      <c r="Q70" s="1418">
        <f ca="1">C13</f>
        <v>0</v>
      </c>
      <c r="R70" s="1418" t="s">
        <v>818</v>
      </c>
    </row>
    <row r="71" spans="1:18" s="1382" customFormat="1" ht="13.8"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8" thickBot="1">
      <c r="B72" s="724"/>
      <c r="C72" s="724"/>
      <c r="O72" s="1426" t="s">
        <v>407</v>
      </c>
      <c r="P72" s="1417" t="s">
        <v>852</v>
      </c>
      <c r="Q72" s="1429">
        <f>L52</f>
        <v>0</v>
      </c>
      <c r="R72" s="1418"/>
    </row>
    <row r="73" spans="1:18" ht="16.2" thickBot="1">
      <c r="A73" s="1382"/>
      <c r="B73" s="724"/>
      <c r="C73" s="724"/>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C1" zoomScale="80" zoomScaleNormal="80" zoomScaleSheetLayoutView="80" workbookViewId="0">
      <selection activeCell="K37" sqref="K37"/>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19" customWidth="1"/>
    <col min="33" max="36" width="9.33203125" style="2051" customWidth="1"/>
    <col min="37" max="38" width="9.33203125" style="1996" customWidth="1"/>
    <col min="39" max="16384" width="12" style="1996"/>
  </cols>
  <sheetData>
    <row r="1" spans="1:36" ht="31.2">
      <c r="A1" s="196" t="s">
        <v>1926</v>
      </c>
      <c r="B1" s="197"/>
      <c r="C1" s="201" t="s">
        <v>1927</v>
      </c>
      <c r="D1" s="342">
        <f>SUM(D33:D34,D37:D42)</f>
        <v>127.35</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6">
      <c r="A2" s="201" t="s">
        <v>1934</v>
      </c>
      <c r="B2" s="204">
        <f>C30</f>
        <v>0</v>
      </c>
      <c r="C2" s="1997" t="s">
        <v>1935</v>
      </c>
      <c r="D2" s="1998" t="s">
        <v>1936</v>
      </c>
      <c r="E2" s="3420" t="s">
        <v>673</v>
      </c>
      <c r="F2" s="1998" t="s">
        <v>1937</v>
      </c>
      <c r="G2" s="1999" t="str">
        <f>IF(E2="商业",项目基本情况!B37,IF(E2="办公",项目基本情况!C37,IF(E2="住宅",项目基本情况!D37,IF(E2="工业",项目基本情况!E37,项目基本情况!F37))))</f>
        <v>五级</v>
      </c>
      <c r="H2" s="1998" t="s">
        <v>1938</v>
      </c>
      <c r="I2" s="1999" t="str">
        <f>IF(E2="商业",项目基本情况!B38,IF(E2="办公",项目基本情况!C38,IF(E2="住宅",项目基本情况!D38,IF(E2="工业",项目基本情况!E38,项目基本情况!F38))))</f>
        <v>Ⅴ-18</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1.5019</v>
      </c>
      <c r="T2" s="3359">
        <f t="shared" ref="T2:T16" si="0">ROUND($C$5*$C$22*$C$23*$C$24*S2*$C$28,0)</f>
        <v>17932</v>
      </c>
      <c r="U2" s="1211"/>
      <c r="V2" s="3359">
        <f>ROUND(T2*U2/10000,0)</f>
        <v>0</v>
      </c>
      <c r="W2" s="1214"/>
      <c r="X2" s="1214"/>
      <c r="Y2" s="1214"/>
      <c r="Z2" s="1214"/>
      <c r="AA2" s="1214"/>
      <c r="AB2" s="1214"/>
      <c r="AC2" s="1215"/>
      <c r="AD2" s="1216"/>
      <c r="AE2" s="1216"/>
      <c r="AF2" s="1216"/>
      <c r="AG2" s="1216"/>
      <c r="AH2" s="1216"/>
      <c r="AI2" s="1216"/>
      <c r="AJ2" s="1217"/>
    </row>
    <row r="3" spans="1:36" ht="15.6">
      <c r="A3" s="203" t="s">
        <v>1940</v>
      </c>
      <c r="B3" s="204">
        <f>ROUND(B2*10000/D1,0)</f>
        <v>0</v>
      </c>
      <c r="C3" s="1997" t="s">
        <v>1941</v>
      </c>
      <c r="D3" s="1998" t="s">
        <v>1942</v>
      </c>
      <c r="E3" s="3418" t="s">
        <v>2441</v>
      </c>
      <c r="F3" s="2002" t="s">
        <v>3391</v>
      </c>
      <c r="G3" s="750">
        <f>IF(F3="宗地容积率",'数据-汇总表'!I4,IF(F3="估价对象容积率",'数据-汇总表'!I6,'数据-汇总表'!I7))</f>
        <v>1.1000000000000001</v>
      </c>
      <c r="H3" s="170" t="s">
        <v>1943</v>
      </c>
      <c r="I3" s="773">
        <v>3</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1.1838</v>
      </c>
      <c r="T3" s="3359">
        <f t="shared" si="0"/>
        <v>14134</v>
      </c>
      <c r="U3" s="1211"/>
      <c r="V3" s="3359">
        <f t="shared" ref="V3:V16" si="1">ROUND(T3*U3/10000,0)</f>
        <v>0</v>
      </c>
      <c r="W3" s="1214"/>
      <c r="X3" s="1214"/>
      <c r="Y3" s="1214"/>
      <c r="Z3" s="1214"/>
      <c r="AA3" s="1214"/>
      <c r="AB3" s="1214"/>
      <c r="AC3" s="1215"/>
      <c r="AD3" s="1216"/>
      <c r="AE3" s="1216"/>
      <c r="AF3" s="1216"/>
      <c r="AG3" s="1216"/>
      <c r="AH3" s="1216"/>
      <c r="AI3" s="1216"/>
      <c r="AJ3" s="1217"/>
    </row>
    <row r="4" spans="1:36" ht="15.6">
      <c r="A4" s="3662"/>
      <c r="B4" s="3663"/>
      <c r="C4" s="3663"/>
      <c r="D4" s="3664"/>
      <c r="E4" s="3664"/>
      <c r="F4" s="3664"/>
      <c r="G4" s="3664"/>
      <c r="H4" s="3664"/>
      <c r="I4" s="3664"/>
      <c r="J4" s="366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1.0004999999999999</v>
      </c>
      <c r="T4" s="3359">
        <f t="shared" si="0"/>
        <v>11946</v>
      </c>
      <c r="U4" s="1211"/>
      <c r="V4" s="3359">
        <f t="shared" si="1"/>
        <v>0</v>
      </c>
      <c r="W4" s="1214"/>
      <c r="X4" s="1214"/>
      <c r="Y4" s="1214"/>
      <c r="Z4" s="1214"/>
      <c r="AA4" s="1214"/>
      <c r="AB4" s="1214"/>
      <c r="AC4" s="1215"/>
      <c r="AD4" s="1216"/>
      <c r="AE4" s="1216"/>
      <c r="AF4" s="1216"/>
      <c r="AG4" s="1216"/>
      <c r="AH4" s="1216"/>
      <c r="AI4" s="1216"/>
      <c r="AJ4" s="1217"/>
    </row>
    <row r="5" spans="1:36" s="2012" customFormat="1" ht="15.6" thickBot="1">
      <c r="A5" s="2003" t="s">
        <v>362</v>
      </c>
      <c r="B5" s="2004" t="s">
        <v>1947</v>
      </c>
      <c r="C5" s="751">
        <f>ROUND(IF(E2="商业",C6*C7*C17+C20,(IF(E2="住宅",C6*C13*C17+C20,IF(E2="办公",C6*C12*C17+C20,C6+C20)))),0)</f>
        <v>13594</v>
      </c>
      <c r="D5" s="1337">
        <f>ROUND(C6*C17+C20,0)</f>
        <v>13594</v>
      </c>
      <c r="E5" s="1337"/>
      <c r="F5" s="2005"/>
      <c r="G5" s="2006"/>
      <c r="H5" s="2006"/>
      <c r="I5" s="2006"/>
      <c r="J5" s="2007"/>
      <c r="K5" s="2008"/>
      <c r="L5" s="2001" t="s">
        <v>1948</v>
      </c>
      <c r="M5" s="862">
        <f>SUMPRODUCT((区片价!B87:B126=I2)*(区片价!C3:G3=E2)*(区片价!C87:G126))</f>
        <v>13610</v>
      </c>
      <c r="N5" s="864">
        <f>SUMPRODUCT((因素修正幅度!B87:B126=I2)*(因素修正幅度!C3:G3=E2)*(因素修正幅度!C87:G126))</f>
        <v>0.1</v>
      </c>
      <c r="O5" s="1117"/>
      <c r="P5" s="1117"/>
      <c r="Q5" s="1117"/>
      <c r="R5" s="1210">
        <v>4</v>
      </c>
      <c r="S5" s="3359">
        <f>ROUND(SUMPRODUCT((B106:B110=R5)*(C105:N105=G2)*(C106:N110)),4)</f>
        <v>0.88239999999999996</v>
      </c>
      <c r="T5" s="3359">
        <f t="shared" si="0"/>
        <v>10536</v>
      </c>
      <c r="U5" s="1211"/>
      <c r="V5" s="3359">
        <f t="shared" si="1"/>
        <v>0</v>
      </c>
      <c r="W5" s="1214"/>
      <c r="X5" s="1214"/>
      <c r="Y5" s="1214"/>
      <c r="Z5" s="1214"/>
      <c r="AA5" s="1214"/>
      <c r="AB5" s="1214"/>
      <c r="AC5" s="2009"/>
      <c r="AD5" s="2010"/>
      <c r="AE5" s="2010"/>
      <c r="AF5" s="2010"/>
      <c r="AG5" s="2010"/>
      <c r="AH5" s="2010"/>
      <c r="AI5" s="2010"/>
      <c r="AJ5" s="2011"/>
    </row>
    <row r="6" spans="1:36" ht="15.6" thickBot="1">
      <c r="A6" s="2013" t="s">
        <v>1949</v>
      </c>
      <c r="B6" s="2014" t="s">
        <v>1950</v>
      </c>
      <c r="C6" s="752">
        <f>SUMIF(L1:L12,G2,M1:M12)</f>
        <v>13610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0.84799999999999998</v>
      </c>
      <c r="T6" s="3359">
        <f t="shared" si="0"/>
        <v>10125</v>
      </c>
      <c r="U6" s="1211"/>
      <c r="V6" s="3359">
        <f t="shared" si="1"/>
        <v>0</v>
      </c>
      <c r="W6" s="1214"/>
      <c r="X6" s="1214"/>
      <c r="Y6" s="1214"/>
      <c r="Z6" s="1214"/>
      <c r="AA6" s="1214"/>
      <c r="AB6" s="1214"/>
      <c r="AC6" s="2009"/>
      <c r="AD6" s="2010"/>
      <c r="AE6" s="2010"/>
      <c r="AF6" s="2010"/>
      <c r="AG6" s="2010"/>
      <c r="AH6" s="2010"/>
      <c r="AI6" s="2010"/>
      <c r="AJ6" s="2011"/>
    </row>
    <row r="7" spans="1:36" ht="24.6" thickBot="1">
      <c r="A7" s="3302" t="s">
        <v>3239</v>
      </c>
      <c r="B7" s="2019" t="s">
        <v>1952</v>
      </c>
      <c r="C7" s="753">
        <f>IF(C8="不临65条商业街",1,ROUND(1+(1.6*E8+1.2*E9+0.8*E10+0.4*E11)*C9,4))</f>
        <v>1</v>
      </c>
      <c r="D7" s="2020" t="s">
        <v>1953</v>
      </c>
      <c r="E7" s="774">
        <v>6</v>
      </c>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五级</v>
      </c>
      <c r="Y7" s="1212" t="s">
        <v>1956</v>
      </c>
      <c r="Z7" s="1213">
        <f>G3</f>
        <v>1.1000000000000001</v>
      </c>
      <c r="AA7" s="1214"/>
      <c r="AB7" s="1214"/>
      <c r="AC7" s="1215"/>
      <c r="AD7" s="1216"/>
      <c r="AE7" s="1216"/>
      <c r="AF7" s="1216"/>
      <c r="AG7" s="1216"/>
      <c r="AH7" s="1216"/>
      <c r="AI7" s="1216"/>
      <c r="AJ7" s="1217"/>
    </row>
    <row r="8" spans="1:36" ht="15">
      <c r="A8" s="3297"/>
      <c r="B8" s="170" t="s">
        <v>1957</v>
      </c>
      <c r="C8" s="2024"/>
      <c r="D8" s="754" t="s">
        <v>112</v>
      </c>
      <c r="E8" s="755">
        <f>ROUND(C11/E7,4)</f>
        <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659" t="s">
        <v>1960</v>
      </c>
      <c r="X8" s="366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f>ROUND(C11/E7,4)</f>
        <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661"/>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f>ROUND(C11/E7,4)</f>
        <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66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8" t="s">
        <v>1979</v>
      </c>
      <c r="C11" s="757">
        <f>C10/4</f>
        <v>0</v>
      </c>
      <c r="D11" s="757" t="s">
        <v>115</v>
      </c>
      <c r="E11" s="757">
        <f>ROUND(C11/E7,4)</f>
        <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8" thickBot="1">
      <c r="A12" s="3302" t="s">
        <v>3240</v>
      </c>
      <c r="B12" s="3303" t="s">
        <v>3241</v>
      </c>
      <c r="C12" s="3304">
        <v>1</v>
      </c>
      <c r="D12" s="3305" t="s">
        <v>3242</v>
      </c>
      <c r="E12" s="3306" t="s">
        <v>3243</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24.6" thickBot="1">
      <c r="A13" s="3302" t="s">
        <v>3244</v>
      </c>
      <c r="B13" s="2032" t="s">
        <v>1982</v>
      </c>
      <c r="C13" s="753">
        <f>ROUND(C16*D16*E16*F16*G16*H16*I16*J16,4)</f>
        <v>1</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24">
      <c r="A14" s="3296"/>
      <c r="B14" s="2038" t="s">
        <v>1985</v>
      </c>
      <c r="C14" s="2039" t="s">
        <v>1986</v>
      </c>
      <c r="D14" s="1348" t="s">
        <v>1987</v>
      </c>
      <c r="E14" s="27" t="s">
        <v>1988</v>
      </c>
      <c r="F14" s="3310" t="s">
        <v>3245</v>
      </c>
      <c r="G14" s="3310" t="s">
        <v>3245</v>
      </c>
      <c r="H14" s="3310" t="s">
        <v>3245</v>
      </c>
      <c r="I14" s="3310" t="s">
        <v>3245</v>
      </c>
      <c r="J14" s="3310" t="s">
        <v>3245</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t="s">
        <v>3392</v>
      </c>
      <c r="D15" s="2042"/>
      <c r="E15" s="2043"/>
      <c r="F15" s="3311" t="s">
        <v>3246</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6" thickBot="1">
      <c r="A16" s="3296"/>
      <c r="B16" s="3318" t="s">
        <v>1989</v>
      </c>
      <c r="C16" s="3316">
        <v>1</v>
      </c>
      <c r="D16" s="3316">
        <v>1</v>
      </c>
      <c r="E16" s="3316">
        <v>1</v>
      </c>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ht="24">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3.8">
      <c r="A18" s="3331"/>
      <c r="B18" s="3008"/>
      <c r="C18" s="3326"/>
      <c r="D18" s="3321" t="s">
        <v>3250</v>
      </c>
      <c r="E18" s="3327"/>
      <c r="F18" s="3322" t="s">
        <v>3253</v>
      </c>
      <c r="G18" s="3326">
        <f>ROUND(1-(1/(POWER(1+G24,E18))),4)</f>
        <v>0</v>
      </c>
      <c r="H18" s="3322" t="s">
        <v>3255</v>
      </c>
      <c r="I18" s="3326">
        <f>ROUND(1-(1/(POWER(1+G24,J24))),4)</f>
        <v>0.88249999999999995</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4.4" thickBot="1">
      <c r="A19" s="3333"/>
      <c r="B19" s="3334"/>
      <c r="C19" s="3335"/>
      <c r="D19" s="3335" t="s">
        <v>3251</v>
      </c>
      <c r="E19" s="3336"/>
      <c r="F19" s="3337" t="s">
        <v>3254</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3.8">
      <c r="A20" s="3666" t="s">
        <v>3256</v>
      </c>
      <c r="B20" s="167" t="s">
        <v>1994</v>
      </c>
      <c r="C20" s="3323">
        <f>ROUND(IF(F21="与级别开发程度一致",0,(G21-E21)/C21),0)</f>
        <v>-16</v>
      </c>
      <c r="D20" s="3339" t="s">
        <v>1998</v>
      </c>
      <c r="E20" s="3340"/>
      <c r="F20" s="3672" t="s">
        <v>1995</v>
      </c>
      <c r="G20" s="3673"/>
      <c r="H20" s="3324" t="s">
        <v>3393</v>
      </c>
      <c r="I20" s="3324" t="s">
        <v>3394</v>
      </c>
      <c r="J20" s="3325" t="s">
        <v>3395</v>
      </c>
      <c r="K20" s="2045" t="s">
        <v>3396</v>
      </c>
      <c r="L20" s="2045" t="s">
        <v>3397</v>
      </c>
      <c r="M20" s="2045" t="s">
        <v>3398</v>
      </c>
      <c r="N20" s="2045"/>
      <c r="O20" s="2046" t="s">
        <v>3399</v>
      </c>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7" thickBot="1">
      <c r="A21" s="3667"/>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3400</v>
      </c>
      <c r="G21" s="2155">
        <f>SUM(H21:O21)</f>
        <v>275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50</v>
      </c>
      <c r="N21" s="2163">
        <f>SUMPRODUCT((七通一平=N20)*(修正!B1:M1=G2)*(修正!B8:M16))</f>
        <v>0</v>
      </c>
      <c r="O21" s="2165">
        <f>SUMPRODUCT((七通一平=O20)*(修正!B1:M1=G2)*(修正!B8:M16))</f>
        <v>15</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7"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2" t="s">
        <v>2002</v>
      </c>
      <c r="E23" s="759">
        <v>44197</v>
      </c>
      <c r="F23" s="2052" t="s">
        <v>2003</v>
      </c>
      <c r="G23" s="760">
        <f>'数据-取费表'!B2</f>
        <v>45491</v>
      </c>
      <c r="H23" s="3341" t="s">
        <v>3258</v>
      </c>
      <c r="I23" s="3342" t="str">
        <f>IF(H23="季度增幅（自定义）",SUMIF(N25:N28,E2,O25:O28),"")</f>
        <v/>
      </c>
      <c r="J23" s="3444" t="s">
        <v>3257</v>
      </c>
      <c r="K23" s="1123"/>
      <c r="L23" s="2053" t="s">
        <v>2004</v>
      </c>
      <c r="M23" s="1326">
        <f>ROUND(SUMIF(地价!B2:G2,E2,地价!B16:G16),0)</f>
        <v>350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6" thickBot="1">
      <c r="A24" s="2056" t="s">
        <v>365</v>
      </c>
      <c r="B24" s="2057" t="s">
        <v>2006</v>
      </c>
      <c r="C24" s="762">
        <f>ROUND(POWER(1+G24,J24-I24)*(POWER(1+G24,I24)-1)/(POWER(1+G24,J24)-1),4)</f>
        <v>0.80330000000000001</v>
      </c>
      <c r="D24" s="2058" t="s">
        <v>2007</v>
      </c>
      <c r="E24" s="1333">
        <f>存贷款利率!E26/100</f>
        <v>4.3499999999999997E-2</v>
      </c>
      <c r="F24" s="2058" t="s">
        <v>1999</v>
      </c>
      <c r="G24" s="766">
        <f>SUMIF(M30:Q30,E2,M33:Q33)</f>
        <v>5.5E-2</v>
      </c>
      <c r="H24" s="2058" t="s">
        <v>2008</v>
      </c>
      <c r="I24" s="767">
        <f>SUMIF('数据-取费表'!C6:C15,E2,'数据-取费表'!F6:F15)/COUNTIF('数据-取费表'!C6:C15,E2)</f>
        <v>23.05</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4.4">
      <c r="A25" s="2063" t="s">
        <v>366</v>
      </c>
      <c r="B25" s="2064" t="s">
        <v>3401</v>
      </c>
      <c r="C25" s="769">
        <f>IF(B25="容积率修正",IF(G3&lt;10,D26,J26),C27)</f>
        <v>1.0004999999999999</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4">
      <c r="A26" s="1953" t="s">
        <v>2014</v>
      </c>
      <c r="B26" s="2068" t="s">
        <v>2015</v>
      </c>
      <c r="C26" s="3343" t="s">
        <v>3259</v>
      </c>
      <c r="D26" s="1350">
        <f>IF(E26=G26,F26,IF(G3&lt;10,ROUND(F26+(H26-F26)*(G3-E26)/(G26-E26),4),"——"))</f>
        <v>1.1984999999999999</v>
      </c>
      <c r="E26" s="750">
        <f>ROUNDDOWN(G3,1)</f>
        <v>1.1000000000000001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1.1984999999999999</v>
      </c>
      <c r="G26" s="750">
        <f>ROUNDUP(G3,1)</f>
        <v>1.1000000000000001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1.1984999999999999</v>
      </c>
      <c r="I26" s="3343" t="s">
        <v>3260</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 thickBot="1">
      <c r="A27" s="1953" t="s">
        <v>2017</v>
      </c>
      <c r="B27" s="2069" t="s">
        <v>2018</v>
      </c>
      <c r="C27" s="839">
        <f>ROUND(IF(I3&lt;6,SUMPRODUCT((B106:B110=I3)*(C105:N105=G2)*(C106:N110)),SUMIF(C105:N105,G2,C112:N112)),4)</f>
        <v>1.0004999999999999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 thickBot="1">
      <c r="A28" s="2056" t="s">
        <v>367</v>
      </c>
      <c r="B28" s="2049" t="s">
        <v>2020</v>
      </c>
      <c r="C28" s="758">
        <f>SUMIF(A47:A101,E2,B47:B101)</f>
        <v>1.0415000000000001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4.4">
      <c r="A30" s="2080"/>
      <c r="B30" s="2068" t="s">
        <v>2024</v>
      </c>
      <c r="C30" s="2319">
        <f>IF(B25="容积率修正",E33+SUM(E37:E42),SUM(V2:V16)+SUM(E37:E42))</f>
        <v>0</v>
      </c>
      <c r="D30" s="2081"/>
      <c r="E30" s="2044"/>
      <c r="F30" s="2082"/>
      <c r="G30" s="2044"/>
      <c r="H30" s="2044"/>
      <c r="I30" s="2044"/>
      <c r="J30" s="2083"/>
      <c r="K30" s="1117"/>
      <c r="L30" s="3349" t="s">
        <v>1936</v>
      </c>
      <c r="M30" s="3350" t="s">
        <v>1990</v>
      </c>
      <c r="N30" s="3350" t="s">
        <v>1991</v>
      </c>
      <c r="O30" s="3350" t="s">
        <v>1992</v>
      </c>
      <c r="P30" s="3350" t="s">
        <v>1993</v>
      </c>
      <c r="Q30" s="3353" t="s">
        <v>3264</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3.8">
      <c r="A33" s="2094"/>
      <c r="B33" s="2095" t="s">
        <v>2030</v>
      </c>
      <c r="C33" s="175">
        <f>ROUND(C5*C22*C23*C24*C25*C28,0)</f>
        <v>11946</v>
      </c>
      <c r="D33" s="2096">
        <f>'数据-汇总表'!E19</f>
        <v>127.35</v>
      </c>
      <c r="E33" s="771">
        <f>ROUND(C33*D33/10000,0)</f>
        <v>152</v>
      </c>
      <c r="F33" s="3344" t="s">
        <v>3262</v>
      </c>
      <c r="G33" s="2097"/>
      <c r="H33" s="2097"/>
      <c r="I33" s="2097"/>
      <c r="J33" s="2098"/>
      <c r="K33" s="1117"/>
      <c r="L33" s="3347" t="s">
        <v>3265</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8" thickBot="1">
      <c r="A34" s="2099"/>
      <c r="B34" s="2100" t="s">
        <v>2031</v>
      </c>
      <c r="C34" s="187" t="e">
        <f>ROUND(IF(E2="工业",C33*M42,IF(B25="楼层修正",SUM(V2:V16)*M41*10000/D34,C33*M41)),0)</f>
        <v>#DIV/0!</v>
      </c>
      <c r="D34" s="2101"/>
      <c r="E34" s="771">
        <f>ROUND(IF(B25="楼层修正",SUM(V2:V16)*M40,C34*D34/10000),0)</f>
        <v>0</v>
      </c>
      <c r="F34" s="2102" t="s">
        <v>2032</v>
      </c>
      <c r="G34" s="2103"/>
      <c r="H34" s="2103"/>
      <c r="I34" s="2103"/>
      <c r="J34" s="2104"/>
      <c r="K34" s="1117"/>
      <c r="L34" s="3347" t="s">
        <v>3266</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3263</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36.6" thickBot="1">
      <c r="A36" s="2094"/>
      <c r="B36" s="2109"/>
      <c r="C36" s="450" t="s">
        <v>2027</v>
      </c>
      <c r="D36" s="447" t="s">
        <v>2028</v>
      </c>
      <c r="E36" s="447" t="s">
        <v>2029</v>
      </c>
      <c r="F36" s="342" t="s">
        <v>2035</v>
      </c>
      <c r="G36" s="2110" t="s">
        <v>2027</v>
      </c>
      <c r="H36" s="2110" t="s">
        <v>2028</v>
      </c>
      <c r="I36" s="2110" t="s">
        <v>2029</v>
      </c>
      <c r="J36" s="243"/>
      <c r="K36" s="3355" t="s">
        <v>3267</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6" thickBot="1">
      <c r="A37" s="3670"/>
      <c r="B37" s="2111" t="s">
        <v>2036</v>
      </c>
      <c r="C37" s="175">
        <f>ROUND(D5*C22*C23*C24*C28*F37,0)</f>
        <v>7164</v>
      </c>
      <c r="D37" s="2096"/>
      <c r="E37" s="171">
        <f>ROUND(C37*D37/10000,0)</f>
        <v>0</v>
      </c>
      <c r="F37" s="171">
        <f>SUMIF(修正!A57:A68,G2,修正!B57:B68)</f>
        <v>0.6</v>
      </c>
      <c r="G37" s="171">
        <f>ROUND(IF(E2="工业",C37*$M$42,C37*$M$41),0)</f>
        <v>1791</v>
      </c>
      <c r="H37" s="171">
        <f>D37</f>
        <v>0</v>
      </c>
      <c r="I37" s="171">
        <f>ROUND(G37*H37/10000,0)</f>
        <v>0</v>
      </c>
      <c r="J37" s="3010"/>
      <c r="K37" s="3357" t="s">
        <v>3268</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71"/>
      <c r="B38" s="2039" t="s">
        <v>2037</v>
      </c>
      <c r="C38" s="175">
        <f>ROUND(D5*C22*C23*C24*C28*F38,0)</f>
        <v>3582</v>
      </c>
      <c r="D38" s="2096"/>
      <c r="E38" s="171">
        <f t="shared" ref="E38:E42" si="4">ROUND(C38*D38/10000,0)</f>
        <v>0</v>
      </c>
      <c r="F38" s="171">
        <f>SUMIF(修正!A57:A68,G2,修正!C57:C68)</f>
        <v>0.3</v>
      </c>
      <c r="G38" s="171">
        <f>ROUND(IF(E2="工业",C38*$M$42,C38*$M$41),0)</f>
        <v>896</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8" thickBot="1">
      <c r="A39" s="3671"/>
      <c r="B39" s="2039" t="s">
        <v>3261</v>
      </c>
      <c r="C39" s="175">
        <f>ROUND(D5*C22*C23*C24*C28*F39,0)</f>
        <v>2985</v>
      </c>
      <c r="D39" s="2096"/>
      <c r="E39" s="171">
        <f t="shared" si="4"/>
        <v>0</v>
      </c>
      <c r="F39" s="171">
        <f>SUMIF(修正!A57:A68,G2,修正!D57:D68)</f>
        <v>0.25</v>
      </c>
      <c r="G39" s="171">
        <f>ROUND(IF(E2="工业",C39*$M$42,C39*$M$41),0)</f>
        <v>746</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2985</v>
      </c>
      <c r="D40" s="2096"/>
      <c r="E40" s="171">
        <f t="shared" si="4"/>
        <v>0</v>
      </c>
      <c r="F40" s="175">
        <f>SUMIF(修正!A57:A68,G2,修正!E57:E68)</f>
        <v>0.25</v>
      </c>
      <c r="G40" s="171">
        <f>ROUND(IF(E2="工业",C40*$M$42,C40*$M$41),0)</f>
        <v>746</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3269</v>
      </c>
      <c r="M41" s="2116">
        <v>0.25</v>
      </c>
      <c r="Z41" s="1118"/>
      <c r="AA41" s="1118"/>
      <c r="AB41" s="1118"/>
      <c r="AC41" s="1118"/>
      <c r="AD41" s="1118"/>
      <c r="AE41" s="1118"/>
      <c r="AF41" s="1118"/>
      <c r="AG41" s="1118"/>
      <c r="AH41" s="1118"/>
      <c r="AI41" s="1118"/>
      <c r="AJ41" s="1118"/>
    </row>
    <row r="42" spans="1:37" s="1117" customFormat="1" ht="13.8" thickBot="1">
      <c r="A42" s="2099"/>
      <c r="B42" s="2117" t="s">
        <v>2041</v>
      </c>
      <c r="C42" s="187">
        <f>ROUND(D5*C22*C23*C44*C28*F42,0)</f>
        <v>0</v>
      </c>
      <c r="D42" s="2101"/>
      <c r="E42" s="187">
        <f t="shared" si="4"/>
        <v>0</v>
      </c>
      <c r="F42" s="765">
        <f>SUMIF(修正!A57:A68,G2,修正!G57:G68)</f>
        <v>0.15</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ht="24">
      <c r="A44" s="1118"/>
      <c r="B44" s="2152" t="s">
        <v>2122</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4.4">
      <c r="A48" s="2124" t="s">
        <v>2043</v>
      </c>
      <c r="B48" s="2125">
        <f>1+E50</f>
        <v>1.0415000000000001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5.2">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9.6">
      <c r="A50" s="2128" t="s">
        <v>2052</v>
      </c>
      <c r="B50" s="2131" t="str">
        <f>估价对象房地状况!C4</f>
        <v>估价对象位于XX商圈，周边商业氛围成熟，人流量大，商业繁华度好</v>
      </c>
      <c r="C50" s="2042" t="s">
        <v>3402</v>
      </c>
      <c r="D50" s="1063">
        <f t="shared" ref="D50:D58" si="7">SUMIF($J$49:$N$49,C50,J50:N50)</f>
        <v>0</v>
      </c>
      <c r="E50" s="742">
        <f>ROUND(SUM(D50:D58),4)</f>
        <v>4.1500000000000002E-2</v>
      </c>
      <c r="F50" s="1812">
        <f>IF(E2="商业",SUMIF(L1:L12,G2,N1:N12),"——")</f>
        <v>0.1</v>
      </c>
      <c r="G50" s="1061">
        <f>H50</f>
        <v>1.4999999999999999E-2</v>
      </c>
      <c r="H50" s="1064">
        <f t="shared" ref="H50:H58" si="8">IFERROR(ROUNDDOWN($F$50*I50/2,4),"——")</f>
        <v>1.4999999999999999E-2</v>
      </c>
      <c r="I50" s="3365">
        <v>0.3</v>
      </c>
      <c r="J50" s="1062">
        <f t="shared" ref="J50:J58" si="9">K50+$G50</f>
        <v>0.03</v>
      </c>
      <c r="K50" s="1062">
        <f t="shared" ref="K50:K58" si="10">$L50+$G50</f>
        <v>1.4999999999999999E-2</v>
      </c>
      <c r="L50" s="1062">
        <v>0</v>
      </c>
      <c r="M50" s="1062">
        <f t="shared" ref="M50:N58" si="11">L50-$G50</f>
        <v>-1.4999999999999999E-2</v>
      </c>
      <c r="N50" s="1062">
        <f t="shared" si="11"/>
        <v>-0.03</v>
      </c>
      <c r="AA50" s="1118"/>
      <c r="AB50" s="1118"/>
      <c r="AC50" s="1118"/>
      <c r="AD50" s="1118"/>
      <c r="AE50" s="1118"/>
      <c r="AF50" s="1118"/>
      <c r="AG50" s="1118"/>
      <c r="AH50" s="1118"/>
      <c r="AI50" s="1118"/>
      <c r="AJ50" s="1118"/>
      <c r="AK50" s="1118"/>
    </row>
    <row r="51" spans="1:37" s="1117" customFormat="1" ht="52.8">
      <c r="A51" s="2128" t="s">
        <v>2053</v>
      </c>
      <c r="B51" s="2132" t="str">
        <f>估价对象房地状况!C18</f>
        <v>估价对象周边道路状况、公共交通通达情况、停车便捷程度，综合评价交通便捷度较好</v>
      </c>
      <c r="C51" s="2042" t="s">
        <v>3403</v>
      </c>
      <c r="D51" s="1063">
        <f t="shared" si="7"/>
        <v>1.0999999999999999E-2</v>
      </c>
      <c r="E51" s="743"/>
      <c r="F51" s="1812"/>
      <c r="G51" s="1061">
        <f t="shared" ref="G51:G58" si="12">H51</f>
        <v>1.0999999999999999E-2</v>
      </c>
      <c r="H51" s="1064">
        <f t="shared" si="8"/>
        <v>1.0999999999999999E-2</v>
      </c>
      <c r="I51" s="3365">
        <v>0.22</v>
      </c>
      <c r="J51" s="1062">
        <f t="shared" si="9"/>
        <v>2.1999999999999999E-2</v>
      </c>
      <c r="K51" s="1062">
        <f t="shared" si="10"/>
        <v>1.0999999999999999E-2</v>
      </c>
      <c r="L51" s="1062">
        <v>0</v>
      </c>
      <c r="M51" s="1062">
        <f t="shared" si="11"/>
        <v>-1.0999999999999999E-2</v>
      </c>
      <c r="N51" s="1062">
        <f t="shared" si="11"/>
        <v>-2.1999999999999999E-2</v>
      </c>
      <c r="AA51" s="1118"/>
      <c r="AB51" s="1118"/>
      <c r="AC51" s="1118"/>
      <c r="AD51" s="1118"/>
      <c r="AE51" s="1118"/>
      <c r="AF51" s="1118"/>
      <c r="AG51" s="1118"/>
      <c r="AH51" s="1118"/>
      <c r="AI51" s="1118"/>
      <c r="AJ51" s="1118"/>
      <c r="AK51" s="1118"/>
    </row>
    <row r="52" spans="1:37" s="1117" customFormat="1" ht="48">
      <c r="A52" s="3367" t="s">
        <v>3271</v>
      </c>
      <c r="B52" s="2132">
        <f>估价对象房地状况!C19</f>
        <v>0</v>
      </c>
      <c r="C52" s="2042" t="s">
        <v>3403</v>
      </c>
      <c r="D52" s="1063">
        <f t="shared" si="7"/>
        <v>6.0000000000000001E-3</v>
      </c>
      <c r="E52" s="743"/>
      <c r="F52" s="1812"/>
      <c r="G52" s="1061">
        <f t="shared" si="12"/>
        <v>6.0000000000000001E-3</v>
      </c>
      <c r="H52" s="1064">
        <f t="shared" si="8"/>
        <v>6.0000000000000001E-3</v>
      </c>
      <c r="I52" s="3365">
        <v>0.12</v>
      </c>
      <c r="J52" s="1062">
        <f t="shared" si="9"/>
        <v>1.2E-2</v>
      </c>
      <c r="K52" s="1062">
        <f t="shared" si="10"/>
        <v>6.0000000000000001E-3</v>
      </c>
      <c r="L52" s="1062">
        <v>0</v>
      </c>
      <c r="M52" s="1062">
        <f t="shared" si="11"/>
        <v>-6.0000000000000001E-3</v>
      </c>
      <c r="N52" s="1062">
        <f t="shared" si="11"/>
        <v>-1.2E-2</v>
      </c>
      <c r="AA52" s="1118"/>
      <c r="AB52" s="1118"/>
      <c r="AC52" s="1118"/>
      <c r="AD52" s="1118"/>
      <c r="AE52" s="1118"/>
      <c r="AF52" s="1118"/>
      <c r="AG52" s="1118"/>
      <c r="AH52" s="1118"/>
      <c r="AI52" s="1118"/>
      <c r="AJ52" s="1118"/>
      <c r="AK52" s="1118"/>
    </row>
    <row r="53" spans="1:37" s="1117" customFormat="1" ht="37.200000000000003">
      <c r="A53" s="2128" t="s">
        <v>2054</v>
      </c>
      <c r="B53" s="2133" t="s">
        <v>2055</v>
      </c>
      <c r="C53" s="2042" t="s">
        <v>3403</v>
      </c>
      <c r="D53" s="1063">
        <f t="shared" si="7"/>
        <v>2.5000000000000001E-3</v>
      </c>
      <c r="E53" s="743"/>
      <c r="F53" s="1812"/>
      <c r="G53" s="1061">
        <f t="shared" si="12"/>
        <v>2.5000000000000001E-3</v>
      </c>
      <c r="H53" s="1064">
        <f t="shared" si="8"/>
        <v>2.5000000000000001E-3</v>
      </c>
      <c r="I53" s="3365">
        <v>0.05</v>
      </c>
      <c r="J53" s="1062">
        <f t="shared" si="9"/>
        <v>5.0000000000000001E-3</v>
      </c>
      <c r="K53" s="1062">
        <f t="shared" si="10"/>
        <v>2.5000000000000001E-3</v>
      </c>
      <c r="L53" s="1062">
        <v>0</v>
      </c>
      <c r="M53" s="1062">
        <f t="shared" si="11"/>
        <v>-2.5000000000000001E-3</v>
      </c>
      <c r="N53" s="1062">
        <f t="shared" si="11"/>
        <v>-5.0000000000000001E-3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3403</v>
      </c>
      <c r="D54" s="1063">
        <f t="shared" si="7"/>
        <v>4.0000000000000001E-3</v>
      </c>
      <c r="E54" s="743"/>
      <c r="F54" s="1812"/>
      <c r="G54" s="1061">
        <f t="shared" si="12"/>
        <v>4.0000000000000001E-3</v>
      </c>
      <c r="H54" s="1064">
        <f t="shared" si="8"/>
        <v>4.0000000000000001E-3</v>
      </c>
      <c r="I54" s="3365">
        <v>0.08</v>
      </c>
      <c r="J54" s="1062">
        <f t="shared" si="9"/>
        <v>8.0000000000000002E-3</v>
      </c>
      <c r="K54" s="1062">
        <f t="shared" si="10"/>
        <v>4.0000000000000001E-3</v>
      </c>
      <c r="L54" s="1062">
        <v>0</v>
      </c>
      <c r="M54" s="1062">
        <f t="shared" si="11"/>
        <v>-4.0000000000000001E-3</v>
      </c>
      <c r="N54" s="1062">
        <f t="shared" si="11"/>
        <v>-8.0000000000000002E-3</v>
      </c>
      <c r="AA54" s="1118"/>
      <c r="AB54" s="1118"/>
      <c r="AC54" s="1118"/>
      <c r="AD54" s="1118"/>
      <c r="AE54" s="1118"/>
      <c r="AF54" s="1118"/>
      <c r="AG54" s="1118"/>
      <c r="AH54" s="1118"/>
      <c r="AI54" s="1118"/>
      <c r="AJ54" s="1118"/>
      <c r="AK54" s="1118"/>
    </row>
    <row r="55" spans="1:37" s="1117" customFormat="1" ht="36">
      <c r="A55" s="2128" t="s">
        <v>2057</v>
      </c>
      <c r="B55" s="2134" t="s">
        <v>2058</v>
      </c>
      <c r="C55" s="2042" t="s">
        <v>3403</v>
      </c>
      <c r="D55" s="1063">
        <f t="shared" si="7"/>
        <v>2.5000000000000001E-3</v>
      </c>
      <c r="E55" s="743"/>
      <c r="F55" s="1812"/>
      <c r="G55" s="1061">
        <f t="shared" si="12"/>
        <v>2.5000000000000001E-3</v>
      </c>
      <c r="H55" s="1064">
        <f t="shared" si="8"/>
        <v>2.5000000000000001E-3</v>
      </c>
      <c r="I55" s="3365">
        <v>0.05</v>
      </c>
      <c r="J55" s="1062">
        <f t="shared" si="9"/>
        <v>5.0000000000000001E-3</v>
      </c>
      <c r="K55" s="1062">
        <f t="shared" si="10"/>
        <v>2.5000000000000001E-3</v>
      </c>
      <c r="L55" s="1062">
        <v>0</v>
      </c>
      <c r="M55" s="1062">
        <f t="shared" si="11"/>
        <v>-2.5000000000000001E-3</v>
      </c>
      <c r="N55" s="1062">
        <f t="shared" si="11"/>
        <v>-5.0000000000000001E-3</v>
      </c>
      <c r="AA55" s="1118"/>
      <c r="AB55" s="1118"/>
      <c r="AC55" s="1118"/>
      <c r="AD55" s="1118"/>
      <c r="AE55" s="1118"/>
      <c r="AF55" s="1118"/>
      <c r="AG55" s="1118"/>
      <c r="AH55" s="1118"/>
      <c r="AI55" s="1118"/>
      <c r="AJ55" s="1118"/>
      <c r="AK55" s="1118"/>
    </row>
    <row r="56" spans="1:37" s="1117" customFormat="1" ht="26.4">
      <c r="A56" s="2135" t="s">
        <v>2059</v>
      </c>
      <c r="B56" s="1324" t="str">
        <f>估价对象房地状况!C21</f>
        <v>估价对象所在区域公共配套设施齐备情况</v>
      </c>
      <c r="C56" s="2042" t="s">
        <v>3403</v>
      </c>
      <c r="D56" s="1063">
        <f t="shared" si="7"/>
        <v>2.5000000000000001E-3</v>
      </c>
      <c r="E56" s="743"/>
      <c r="F56" s="1812"/>
      <c r="G56" s="1061">
        <f t="shared" si="12"/>
        <v>2.5000000000000001E-3</v>
      </c>
      <c r="H56" s="1064">
        <f t="shared" si="8"/>
        <v>2.5000000000000001E-3</v>
      </c>
      <c r="I56" s="3365">
        <v>0.05</v>
      </c>
      <c r="J56" s="1062">
        <f t="shared" si="9"/>
        <v>5.0000000000000001E-3</v>
      </c>
      <c r="K56" s="1062">
        <f t="shared" si="10"/>
        <v>2.5000000000000001E-3</v>
      </c>
      <c r="L56" s="1062">
        <v>0</v>
      </c>
      <c r="M56" s="1062">
        <f t="shared" si="11"/>
        <v>-2.5000000000000001E-3</v>
      </c>
      <c r="N56" s="1062">
        <f t="shared" si="11"/>
        <v>-5.0000000000000001E-3</v>
      </c>
      <c r="AA56" s="1118"/>
      <c r="AB56" s="1118"/>
      <c r="AC56" s="1118"/>
      <c r="AD56" s="1118"/>
      <c r="AE56" s="1118"/>
      <c r="AF56" s="1118"/>
      <c r="AG56" s="1118"/>
      <c r="AH56" s="1118"/>
      <c r="AI56" s="1118"/>
      <c r="AJ56" s="1118"/>
      <c r="AK56" s="1118"/>
    </row>
    <row r="57" spans="1:37" s="1117" customFormat="1" ht="26.4">
      <c r="A57" s="2135" t="s">
        <v>2060</v>
      </c>
      <c r="B57" s="2132" t="str">
        <f>估价对象房地状况!C22</f>
        <v>估价对象所在区域基础设施水平</v>
      </c>
      <c r="C57" s="2042" t="s">
        <v>3404</v>
      </c>
      <c r="D57" s="1063">
        <f t="shared" si="7"/>
        <v>8.0000000000000002E-3</v>
      </c>
      <c r="E57" s="743"/>
      <c r="F57" s="1812"/>
      <c r="G57" s="1061">
        <f t="shared" si="12"/>
        <v>4.0000000000000001E-3</v>
      </c>
      <c r="H57" s="1064">
        <f t="shared" si="8"/>
        <v>4.0000000000000001E-3</v>
      </c>
      <c r="I57" s="3365">
        <v>0.08</v>
      </c>
      <c r="J57" s="1062">
        <f t="shared" si="9"/>
        <v>8.0000000000000002E-3</v>
      </c>
      <c r="K57" s="1062">
        <f t="shared" si="10"/>
        <v>4.0000000000000001E-3</v>
      </c>
      <c r="L57" s="1062">
        <v>0</v>
      </c>
      <c r="M57" s="1062">
        <f t="shared" si="11"/>
        <v>-4.0000000000000001E-3</v>
      </c>
      <c r="N57" s="1062">
        <f t="shared" si="11"/>
        <v>-8.0000000000000002E-3</v>
      </c>
      <c r="AA57" s="1118"/>
      <c r="AB57" s="1118"/>
      <c r="AC57" s="1118"/>
      <c r="AD57" s="1118"/>
      <c r="AE57" s="1118"/>
      <c r="AF57" s="1118"/>
      <c r="AG57" s="1118"/>
      <c r="AH57" s="1118"/>
      <c r="AI57" s="1118"/>
      <c r="AJ57" s="1118"/>
      <c r="AK57" s="1118"/>
    </row>
    <row r="58" spans="1:37" s="1117" customFormat="1" ht="40.200000000000003" thickBot="1">
      <c r="A58" s="2136" t="s">
        <v>2061</v>
      </c>
      <c r="B58" s="2137" t="str">
        <f>估价对象房地状况!C20</f>
        <v>区域自然环境：；人文环境；综合评价环境状况一般</v>
      </c>
      <c r="C58" s="2042" t="s">
        <v>3404</v>
      </c>
      <c r="D58" s="1063">
        <f t="shared" si="7"/>
        <v>5.0000000000000001E-3</v>
      </c>
      <c r="E58" s="744"/>
      <c r="F58" s="1812"/>
      <c r="G58" s="1061">
        <f t="shared" si="12"/>
        <v>2.5000000000000001E-3</v>
      </c>
      <c r="H58" s="1064">
        <f t="shared" si="8"/>
        <v>2.5000000000000001E-3</v>
      </c>
      <c r="I58" s="3366">
        <v>0.05</v>
      </c>
      <c r="J58" s="1062">
        <f t="shared" si="9"/>
        <v>5.0000000000000001E-3</v>
      </c>
      <c r="K58" s="1062">
        <f t="shared" si="10"/>
        <v>2.5000000000000001E-3</v>
      </c>
      <c r="L58" s="1062">
        <v>0</v>
      </c>
      <c r="M58" s="1062">
        <f t="shared" si="11"/>
        <v>-2.5000000000000001E-3</v>
      </c>
      <c r="N58" s="1062">
        <f t="shared" si="11"/>
        <v>-5.0000000000000001E-3</v>
      </c>
      <c r="AA58" s="1118"/>
      <c r="AB58" s="1118"/>
      <c r="AC58" s="1118"/>
      <c r="AD58" s="1118"/>
      <c r="AE58" s="1118"/>
      <c r="AF58" s="1118"/>
      <c r="AG58" s="1118"/>
      <c r="AH58" s="1118"/>
      <c r="AI58" s="1118"/>
      <c r="AJ58" s="1118"/>
      <c r="AK58" s="1118"/>
    </row>
    <row r="59" spans="1:37" s="1117" customFormat="1" ht="14.4">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5.2">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9.6">
      <c r="A61" s="2128" t="s">
        <v>2064</v>
      </c>
      <c r="B61" s="2131" t="str">
        <f>估价对象房地状况!C17</f>
        <v>估价对象位于XX商圈，周边办公楼项目较多，入驻率高，办公集聚程度较好</v>
      </c>
      <c r="C61" s="2042"/>
      <c r="D61" s="1063">
        <f t="shared" ref="D61:D69" si="13">SUMIF($J$60:$N$60,C61,J61:N61)</f>
        <v>0</v>
      </c>
      <c r="E61" s="742">
        <f>ROUND(SUM(D61:D69),4)</f>
        <v>0</v>
      </c>
      <c r="F61" s="1812" t="str">
        <f>IF(E2="办公",SUMIF(L1:L12,G2,N1:N12),"——")</f>
        <v>——</v>
      </c>
      <c r="G61" s="1061"/>
      <c r="H61" s="1064" t="str">
        <f t="shared" ref="H61:H69" si="14">IFERROR(ROUNDDOWN($F$61*I61/2,4),"——")</f>
        <v>——</v>
      </c>
      <c r="I61" s="3365">
        <v>0.25</v>
      </c>
      <c r="J61" s="1062">
        <f t="shared" ref="J61:J69" si="15">K61+$G61</f>
        <v>0</v>
      </c>
      <c r="K61" s="1062">
        <f t="shared" ref="K61:K69" si="16">$L61+$G61</f>
        <v>0</v>
      </c>
      <c r="L61" s="1062">
        <v>0</v>
      </c>
      <c r="M61" s="1062">
        <f t="shared" ref="M61:N69" si="17">L61-$G61</f>
        <v>0</v>
      </c>
      <c r="N61" s="1062">
        <f t="shared" si="17"/>
        <v>0</v>
      </c>
      <c r="AA61" s="1118"/>
      <c r="AB61" s="1118"/>
      <c r="AC61" s="1118"/>
      <c r="AD61" s="1118"/>
      <c r="AE61" s="1118"/>
      <c r="AF61" s="1118"/>
      <c r="AG61" s="1118"/>
      <c r="AH61" s="1118"/>
      <c r="AI61" s="1118"/>
      <c r="AJ61" s="1118"/>
      <c r="AK61" s="1118"/>
    </row>
    <row r="62" spans="1:37" s="1117" customFormat="1" ht="52.8">
      <c r="A62" s="2128" t="s">
        <v>2053</v>
      </c>
      <c r="B62" s="2132" t="str">
        <f>估价对象房地状况!C18</f>
        <v>估价对象周边道路状况、公共交通通达情况、停车便捷程度，综合评价交通便捷度较好</v>
      </c>
      <c r="C62" s="2042"/>
      <c r="D62" s="1063">
        <f t="shared" si="13"/>
        <v>0</v>
      </c>
      <c r="E62" s="743"/>
      <c r="F62" s="1812"/>
      <c r="G62" s="1061"/>
      <c r="H62" s="1064" t="str">
        <f t="shared" si="14"/>
        <v>——</v>
      </c>
      <c r="I62" s="3365">
        <v>0.26</v>
      </c>
      <c r="J62" s="1062">
        <f t="shared" si="15"/>
        <v>0</v>
      </c>
      <c r="K62" s="1062">
        <f t="shared" si="16"/>
        <v>0</v>
      </c>
      <c r="L62" s="1062">
        <v>0</v>
      </c>
      <c r="M62" s="1062">
        <f t="shared" si="17"/>
        <v>0</v>
      </c>
      <c r="N62" s="1062">
        <f t="shared" si="17"/>
        <v>0</v>
      </c>
      <c r="AA62" s="1118"/>
      <c r="AB62" s="1118"/>
      <c r="AC62" s="1118"/>
      <c r="AD62" s="1118"/>
      <c r="AE62" s="1118"/>
      <c r="AF62" s="1118"/>
      <c r="AG62" s="1118"/>
      <c r="AH62" s="1118"/>
      <c r="AI62" s="1118"/>
      <c r="AJ62" s="1118"/>
      <c r="AK62" s="1118"/>
    </row>
    <row r="63" spans="1:37" s="1117" customFormat="1" ht="48">
      <c r="A63" s="3367" t="s">
        <v>3271</v>
      </c>
      <c r="B63" s="2132">
        <f>估价对象房地状况!C19</f>
        <v>0</v>
      </c>
      <c r="C63" s="2042"/>
      <c r="D63" s="1063">
        <f t="shared" si="13"/>
        <v>0</v>
      </c>
      <c r="E63" s="743"/>
      <c r="F63" s="1812"/>
      <c r="G63" s="1061"/>
      <c r="H63" s="1064" t="str">
        <f t="shared" si="14"/>
        <v>——</v>
      </c>
      <c r="I63" s="3365">
        <v>0.11</v>
      </c>
      <c r="J63" s="1062">
        <f t="shared" si="15"/>
        <v>0</v>
      </c>
      <c r="K63" s="1062">
        <f t="shared" si="16"/>
        <v>0</v>
      </c>
      <c r="L63" s="1062">
        <v>0</v>
      </c>
      <c r="M63" s="1062">
        <f t="shared" si="17"/>
        <v>0</v>
      </c>
      <c r="N63" s="1062">
        <f t="shared" si="17"/>
        <v>0</v>
      </c>
      <c r="AA63" s="1118"/>
      <c r="AB63" s="1118"/>
      <c r="AC63" s="1118"/>
      <c r="AD63" s="1118"/>
      <c r="AE63" s="1118"/>
      <c r="AF63" s="1118"/>
      <c r="AG63" s="1118"/>
      <c r="AH63" s="1118"/>
      <c r="AI63" s="1118"/>
      <c r="AJ63" s="1118"/>
      <c r="AK63" s="1118"/>
    </row>
    <row r="64" spans="1:37" s="1117" customFormat="1" ht="37.200000000000003">
      <c r="A64" s="2128" t="s">
        <v>2054</v>
      </c>
      <c r="B64" s="2133" t="s">
        <v>2055</v>
      </c>
      <c r="C64" s="2042"/>
      <c r="D64" s="1063">
        <f t="shared" si="13"/>
        <v>0</v>
      </c>
      <c r="E64" s="743"/>
      <c r="F64" s="1812"/>
      <c r="G64" s="1061"/>
      <c r="H64" s="1064" t="str">
        <f t="shared" si="14"/>
        <v>——</v>
      </c>
      <c r="I64" s="3365">
        <v>0.05</v>
      </c>
      <c r="J64" s="1062">
        <f t="shared" si="15"/>
        <v>0</v>
      </c>
      <c r="K64" s="1062">
        <f t="shared" si="16"/>
        <v>0</v>
      </c>
      <c r="L64" s="1062">
        <v>0</v>
      </c>
      <c r="M64" s="1062">
        <f t="shared" si="17"/>
        <v>0</v>
      </c>
      <c r="N64" s="1062">
        <f t="shared" si="17"/>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3"/>
        <v>0</v>
      </c>
      <c r="E65" s="743"/>
      <c r="F65" s="1812"/>
      <c r="G65" s="1061"/>
      <c r="H65" s="1064" t="str">
        <f t="shared" si="14"/>
        <v>——</v>
      </c>
      <c r="I65" s="3365">
        <v>0.05</v>
      </c>
      <c r="J65" s="1062">
        <f t="shared" si="15"/>
        <v>0</v>
      </c>
      <c r="K65" s="1062">
        <f t="shared" si="16"/>
        <v>0</v>
      </c>
      <c r="L65" s="1062">
        <v>0</v>
      </c>
      <c r="M65" s="1062">
        <f t="shared" si="17"/>
        <v>0</v>
      </c>
      <c r="N65" s="1062">
        <f t="shared" si="17"/>
        <v>0</v>
      </c>
      <c r="AA65" s="1118"/>
      <c r="AB65" s="1118"/>
      <c r="AC65" s="1118"/>
      <c r="AD65" s="1118"/>
      <c r="AE65" s="1118"/>
      <c r="AF65" s="1118"/>
      <c r="AG65" s="1118"/>
      <c r="AH65" s="1118"/>
      <c r="AI65" s="1118"/>
      <c r="AJ65" s="1118"/>
      <c r="AK65" s="1118"/>
    </row>
    <row r="66" spans="1:37" s="1117" customFormat="1" ht="36">
      <c r="A66" s="2128" t="s">
        <v>2057</v>
      </c>
      <c r="B66" s="2134" t="s">
        <v>2058</v>
      </c>
      <c r="C66" s="2042"/>
      <c r="D66" s="1063">
        <f t="shared" si="13"/>
        <v>0</v>
      </c>
      <c r="E66" s="743"/>
      <c r="F66" s="1812"/>
      <c r="G66" s="1061"/>
      <c r="H66" s="1064" t="str">
        <f t="shared" si="14"/>
        <v>——</v>
      </c>
      <c r="I66" s="3365">
        <v>0.06</v>
      </c>
      <c r="J66" s="1062">
        <f t="shared" si="15"/>
        <v>0</v>
      </c>
      <c r="K66" s="1062">
        <f t="shared" si="16"/>
        <v>0</v>
      </c>
      <c r="L66" s="1062">
        <v>0</v>
      </c>
      <c r="M66" s="1062">
        <f t="shared" si="17"/>
        <v>0</v>
      </c>
      <c r="N66" s="1062">
        <f t="shared" si="17"/>
        <v>0</v>
      </c>
      <c r="AA66" s="1118"/>
      <c r="AB66" s="1118"/>
      <c r="AC66" s="1118"/>
      <c r="AD66" s="1118"/>
      <c r="AE66" s="1118"/>
      <c r="AF66" s="1118"/>
      <c r="AG66" s="1118"/>
      <c r="AH66" s="1118"/>
      <c r="AI66" s="1118"/>
      <c r="AJ66" s="1118"/>
      <c r="AK66" s="1118"/>
    </row>
    <row r="67" spans="1:37" s="1117" customFormat="1" ht="26.4">
      <c r="A67" s="2128" t="s">
        <v>2059</v>
      </c>
      <c r="B67" s="1324" t="str">
        <f>估价对象房地状况!C21</f>
        <v>估价对象所在区域公共配套设施齐备情况</v>
      </c>
      <c r="C67" s="2042"/>
      <c r="D67" s="1063">
        <f t="shared" si="13"/>
        <v>0</v>
      </c>
      <c r="E67" s="743"/>
      <c r="F67" s="1812"/>
      <c r="G67" s="1061"/>
      <c r="H67" s="1064" t="str">
        <f t="shared" si="14"/>
        <v>——</v>
      </c>
      <c r="I67" s="3365">
        <v>0.06</v>
      </c>
      <c r="J67" s="1062">
        <f t="shared" si="15"/>
        <v>0</v>
      </c>
      <c r="K67" s="1062">
        <f t="shared" si="16"/>
        <v>0</v>
      </c>
      <c r="L67" s="1062">
        <v>0</v>
      </c>
      <c r="M67" s="1062">
        <f t="shared" si="17"/>
        <v>0</v>
      </c>
      <c r="N67" s="1062">
        <f t="shared" si="17"/>
        <v>0</v>
      </c>
      <c r="AA67" s="1118"/>
      <c r="AB67" s="1118"/>
      <c r="AC67" s="1118"/>
      <c r="AD67" s="1118"/>
      <c r="AE67" s="1118"/>
      <c r="AF67" s="1118"/>
      <c r="AG67" s="1118"/>
      <c r="AH67" s="1118"/>
      <c r="AI67" s="1118"/>
      <c r="AJ67" s="1118"/>
      <c r="AK67" s="1118"/>
    </row>
    <row r="68" spans="1:37" s="1117" customFormat="1" ht="26.4">
      <c r="A68" s="2128" t="s">
        <v>2060</v>
      </c>
      <c r="B68" s="1324" t="str">
        <f>估价对象房地状况!C22</f>
        <v>估价对象所在区域基础设施水平</v>
      </c>
      <c r="C68" s="2042"/>
      <c r="D68" s="1063">
        <f t="shared" si="13"/>
        <v>0</v>
      </c>
      <c r="E68" s="743"/>
      <c r="F68" s="1812"/>
      <c r="G68" s="1061"/>
      <c r="H68" s="1064" t="str">
        <f t="shared" si="14"/>
        <v>——</v>
      </c>
      <c r="I68" s="3365">
        <v>0.09</v>
      </c>
      <c r="J68" s="1062">
        <f t="shared" si="15"/>
        <v>0</v>
      </c>
      <c r="K68" s="1062">
        <f t="shared" si="16"/>
        <v>0</v>
      </c>
      <c r="L68" s="1062">
        <v>0</v>
      </c>
      <c r="M68" s="1062">
        <f t="shared" si="17"/>
        <v>0</v>
      </c>
      <c r="N68" s="1062">
        <f t="shared" si="17"/>
        <v>0</v>
      </c>
      <c r="AA68" s="1118"/>
      <c r="AB68" s="1118"/>
      <c r="AC68" s="1118"/>
      <c r="AD68" s="1118"/>
      <c r="AE68" s="1118"/>
      <c r="AF68" s="1118"/>
      <c r="AG68" s="1118"/>
      <c r="AH68" s="1118"/>
      <c r="AI68" s="1118"/>
      <c r="AJ68" s="1118"/>
      <c r="AK68" s="1118"/>
    </row>
    <row r="69" spans="1:37" s="1117" customFormat="1" ht="40.200000000000003" thickBot="1">
      <c r="A69" s="2136" t="s">
        <v>2061</v>
      </c>
      <c r="B69" s="2138" t="str">
        <f>估价对象房地状况!C20</f>
        <v>区域自然环境：；人文环境；综合评价环境状况一般</v>
      </c>
      <c r="C69" s="2042"/>
      <c r="D69" s="1063">
        <f t="shared" si="13"/>
        <v>0</v>
      </c>
      <c r="E69" s="744"/>
      <c r="F69" s="1812"/>
      <c r="G69" s="1061"/>
      <c r="H69" s="1064" t="str">
        <f t="shared" si="14"/>
        <v>——</v>
      </c>
      <c r="I69" s="3366">
        <v>7.0000000000000007E-2</v>
      </c>
      <c r="J69" s="1062">
        <f t="shared" si="15"/>
        <v>0</v>
      </c>
      <c r="K69" s="1062">
        <f t="shared" si="16"/>
        <v>0</v>
      </c>
      <c r="L69" s="1062">
        <v>0</v>
      </c>
      <c r="M69" s="1062">
        <f t="shared" si="17"/>
        <v>0</v>
      </c>
      <c r="N69" s="1062">
        <f t="shared" si="17"/>
        <v>0</v>
      </c>
      <c r="AA69" s="1118"/>
      <c r="AB69" s="1118"/>
      <c r="AC69" s="1118"/>
      <c r="AD69" s="1118"/>
      <c r="AE69" s="1118"/>
      <c r="AF69" s="1118"/>
      <c r="AG69" s="1118"/>
      <c r="AH69" s="1118"/>
      <c r="AI69" s="1118"/>
      <c r="AJ69" s="1118"/>
      <c r="AK69" s="1118"/>
    </row>
    <row r="70" spans="1:37" s="1117" customFormat="1" ht="14.4">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5.2">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2.8">
      <c r="A72" s="2128" t="s">
        <v>2066</v>
      </c>
      <c r="B72" s="2131" t="str">
        <f>估价对象房地状况!C15</f>
        <v>估价对象周边居住用地比例、居住小区规模和社区发展完善程度，综合评价居住社区成熟度一般</v>
      </c>
      <c r="C72" s="2042"/>
      <c r="D72" s="1063">
        <f t="shared" ref="D72:D80" si="18">SUMIF($J$71:$N$71,C72,J72:N72)</f>
        <v>0</v>
      </c>
      <c r="E72" s="742">
        <f>ROUND(SUM(D72:D80),4)</f>
        <v>0</v>
      </c>
      <c r="F72" s="1812" t="str">
        <f>IF(E2="住宅",SUMIF(L1:L12,G2,N1:N12),"——")</f>
        <v>——</v>
      </c>
      <c r="G72" s="1061"/>
      <c r="H72" s="1064" t="str">
        <f t="shared" ref="H72:H80" si="19">IFERROR(ROUNDDOWN($F$72*I72/2,4),"——")</f>
        <v>——</v>
      </c>
      <c r="I72" s="3365">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52.8">
      <c r="A73" s="2128" t="s">
        <v>2053</v>
      </c>
      <c r="B73" s="2132" t="str">
        <f>估价对象房地状况!C18</f>
        <v>估价对象周边道路状况、公共交通通达情况、停车便捷程度，综合评价交通便捷度较好</v>
      </c>
      <c r="C73" s="2042"/>
      <c r="D73" s="1063">
        <f t="shared" si="18"/>
        <v>0</v>
      </c>
      <c r="E73" s="745"/>
      <c r="F73" s="1812"/>
      <c r="G73" s="1061"/>
      <c r="H73" s="1064" t="str">
        <f t="shared" si="19"/>
        <v>——</v>
      </c>
      <c r="I73" s="3365">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48">
      <c r="A74" s="3367" t="s">
        <v>3271</v>
      </c>
      <c r="B74" s="2132">
        <f>估价对象房地状况!C19</f>
        <v>0</v>
      </c>
      <c r="C74" s="2042"/>
      <c r="D74" s="1063">
        <f t="shared" si="18"/>
        <v>0</v>
      </c>
      <c r="E74" s="745"/>
      <c r="F74" s="1812"/>
      <c r="G74" s="1061"/>
      <c r="H74" s="1064" t="str">
        <f t="shared" si="19"/>
        <v>——</v>
      </c>
      <c r="I74" s="3365">
        <v>0.1</v>
      </c>
      <c r="J74" s="1062">
        <f t="shared" si="20"/>
        <v>0</v>
      </c>
      <c r="K74" s="1062">
        <f t="shared" si="21"/>
        <v>0</v>
      </c>
      <c r="L74" s="1062">
        <v>0</v>
      </c>
      <c r="M74" s="1062">
        <f t="shared" si="22"/>
        <v>0</v>
      </c>
      <c r="N74" s="1062">
        <f t="shared" si="22"/>
        <v>0</v>
      </c>
      <c r="O74" s="1117"/>
      <c r="P74" s="1117"/>
      <c r="Q74" s="1117"/>
      <c r="AA74" s="2139"/>
      <c r="AB74" s="1118"/>
      <c r="AC74" s="1118"/>
      <c r="AD74" s="1118"/>
      <c r="AE74" s="1118"/>
      <c r="AF74" s="1118"/>
      <c r="AG74" s="1118"/>
      <c r="AH74" s="2139"/>
      <c r="AI74" s="2139"/>
      <c r="AJ74" s="2139"/>
      <c r="AK74" s="2139"/>
    </row>
    <row r="75" spans="1:37" ht="13.8">
      <c r="A75" s="2128" t="s">
        <v>2067</v>
      </c>
      <c r="B75" s="2132">
        <f>估价对象房地状况!C24</f>
        <v>0</v>
      </c>
      <c r="C75" s="2042"/>
      <c r="D75" s="1063">
        <f t="shared" si="18"/>
        <v>0</v>
      </c>
      <c r="E75" s="745"/>
      <c r="F75" s="1812"/>
      <c r="G75" s="1061"/>
      <c r="H75" s="1064" t="str">
        <f t="shared" si="19"/>
        <v>——</v>
      </c>
      <c r="I75" s="3365">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6.4">
      <c r="A76" s="2128" t="s">
        <v>2059</v>
      </c>
      <c r="B76" s="1324" t="str">
        <f>估价对象房地状况!C21</f>
        <v>估价对象所在区域公共配套设施齐备情况</v>
      </c>
      <c r="C76" s="2042"/>
      <c r="D76" s="1063">
        <f t="shared" si="18"/>
        <v>0</v>
      </c>
      <c r="E76" s="745"/>
      <c r="F76" s="1812"/>
      <c r="G76" s="1061"/>
      <c r="H76" s="1064" t="str">
        <f t="shared" si="19"/>
        <v>——</v>
      </c>
      <c r="I76" s="3365">
        <v>0.08</v>
      </c>
      <c r="J76" s="1062">
        <f t="shared" si="20"/>
        <v>0</v>
      </c>
      <c r="K76" s="1062">
        <f t="shared" si="21"/>
        <v>0</v>
      </c>
      <c r="L76" s="1062">
        <v>0</v>
      </c>
      <c r="M76" s="1062">
        <f t="shared" si="22"/>
        <v>0</v>
      </c>
      <c r="N76" s="1062">
        <f t="shared" si="22"/>
        <v>0</v>
      </c>
      <c r="O76" s="1117"/>
      <c r="P76" s="1117"/>
      <c r="Z76" s="1996"/>
      <c r="AA76" s="2051"/>
      <c r="AG76" s="1119"/>
      <c r="AK76" s="2051"/>
    </row>
    <row r="77" spans="1:37" ht="26.4">
      <c r="A77" s="2128" t="s">
        <v>2060</v>
      </c>
      <c r="B77" s="1324" t="str">
        <f>估价对象房地状况!C22</f>
        <v>估价对象所在区域基础设施水平</v>
      </c>
      <c r="C77" s="2042"/>
      <c r="D77" s="1063">
        <f t="shared" si="18"/>
        <v>0</v>
      </c>
      <c r="E77" s="745"/>
      <c r="F77" s="1812"/>
      <c r="G77" s="1061"/>
      <c r="H77" s="1064" t="str">
        <f t="shared" si="19"/>
        <v>——</v>
      </c>
      <c r="I77" s="3365">
        <v>0.09</v>
      </c>
      <c r="J77" s="1062">
        <f t="shared" si="20"/>
        <v>0</v>
      </c>
      <c r="K77" s="1062">
        <f t="shared" si="21"/>
        <v>0</v>
      </c>
      <c r="L77" s="1062">
        <v>0</v>
      </c>
      <c r="M77" s="1062">
        <f t="shared" si="22"/>
        <v>0</v>
      </c>
      <c r="N77" s="1062">
        <f t="shared" si="22"/>
        <v>0</v>
      </c>
      <c r="O77" s="1117"/>
      <c r="P77" s="1117"/>
      <c r="Z77" s="1996"/>
      <c r="AA77" s="2051"/>
      <c r="AG77" s="1119"/>
      <c r="AK77" s="2051"/>
    </row>
    <row r="78" spans="1:37" ht="36">
      <c r="A78" s="2128" t="s">
        <v>2057</v>
      </c>
      <c r="B78" s="2134" t="s">
        <v>2058</v>
      </c>
      <c r="C78" s="2042"/>
      <c r="D78" s="1063">
        <f t="shared" si="18"/>
        <v>0</v>
      </c>
      <c r="E78" s="745"/>
      <c r="F78" s="1812"/>
      <c r="G78" s="1061"/>
      <c r="H78" s="1064" t="str">
        <f t="shared" si="19"/>
        <v>——</v>
      </c>
      <c r="I78" s="3365">
        <v>0.05</v>
      </c>
      <c r="J78" s="1062">
        <f t="shared" si="20"/>
        <v>0</v>
      </c>
      <c r="K78" s="1062">
        <f t="shared" si="21"/>
        <v>0</v>
      </c>
      <c r="L78" s="1062">
        <v>0</v>
      </c>
      <c r="M78" s="1062">
        <f t="shared" si="22"/>
        <v>0</v>
      </c>
      <c r="N78" s="1062">
        <f t="shared" si="22"/>
        <v>0</v>
      </c>
      <c r="O78" s="1995"/>
      <c r="P78" s="1995"/>
      <c r="Z78" s="1996"/>
      <c r="AA78" s="2051"/>
      <c r="AG78" s="1119"/>
      <c r="AK78" s="2051"/>
    </row>
    <row r="79" spans="1:37" ht="39.6">
      <c r="A79" s="2128" t="s">
        <v>2061</v>
      </c>
      <c r="B79" s="2131" t="str">
        <f>估价对象房地状况!C20</f>
        <v>区域自然环境：；人文环境；综合评价环境状况一般</v>
      </c>
      <c r="C79" s="2042"/>
      <c r="D79" s="1063">
        <f t="shared" si="18"/>
        <v>0</v>
      </c>
      <c r="E79" s="745"/>
      <c r="F79" s="1812"/>
      <c r="G79" s="1061"/>
      <c r="H79" s="1064" t="str">
        <f t="shared" si="19"/>
        <v>——</v>
      </c>
      <c r="I79" s="3365">
        <v>0.12</v>
      </c>
      <c r="J79" s="1062">
        <f t="shared" si="20"/>
        <v>0</v>
      </c>
      <c r="K79" s="1062">
        <f t="shared" si="21"/>
        <v>0</v>
      </c>
      <c r="L79" s="1062">
        <v>0</v>
      </c>
      <c r="M79" s="1062">
        <f t="shared" si="22"/>
        <v>0</v>
      </c>
      <c r="N79" s="1062">
        <f t="shared" si="22"/>
        <v>0</v>
      </c>
      <c r="Z79" s="1996"/>
      <c r="AA79" s="2051"/>
      <c r="AG79" s="1119"/>
      <c r="AK79" s="2051"/>
    </row>
    <row r="80" spans="1:37" ht="36.6" thickBot="1">
      <c r="A80" s="2136" t="s">
        <v>2068</v>
      </c>
      <c r="B80" s="2140"/>
      <c r="C80" s="2042"/>
      <c r="D80" s="1063">
        <f t="shared" si="18"/>
        <v>0</v>
      </c>
      <c r="E80" s="746"/>
      <c r="F80" s="1812"/>
      <c r="G80" s="1061"/>
      <c r="H80" s="1064" t="str">
        <f t="shared" si="19"/>
        <v>——</v>
      </c>
      <c r="I80" s="3366">
        <v>0.05</v>
      </c>
      <c r="J80" s="1062">
        <f t="shared" si="20"/>
        <v>0</v>
      </c>
      <c r="K80" s="1062">
        <f t="shared" si="21"/>
        <v>0</v>
      </c>
      <c r="L80" s="1062">
        <v>0</v>
      </c>
      <c r="M80" s="1062">
        <f t="shared" si="22"/>
        <v>0</v>
      </c>
      <c r="N80" s="1062">
        <f t="shared" si="22"/>
        <v>0</v>
      </c>
      <c r="Z80" s="1996"/>
      <c r="AA80" s="2051"/>
      <c r="AG80" s="1119"/>
      <c r="AK80" s="2051"/>
    </row>
    <row r="81" spans="1:37" ht="14.4">
      <c r="A81" s="2124" t="s">
        <v>2069</v>
      </c>
      <c r="B81" s="2125">
        <f>1+E83</f>
        <v>1</v>
      </c>
      <c r="C81" s="739"/>
      <c r="D81" s="739"/>
      <c r="E81" s="740"/>
      <c r="F81" s="2127"/>
      <c r="G81" s="3"/>
      <c r="H81" s="3"/>
      <c r="I81" s="3"/>
      <c r="J81" s="4"/>
      <c r="K81" s="4"/>
      <c r="L81" s="4"/>
      <c r="M81" s="4"/>
      <c r="N81" s="4"/>
      <c r="Z81" s="1996"/>
      <c r="AA81" s="2051"/>
      <c r="AG81" s="1119"/>
      <c r="AK81" s="2051"/>
    </row>
    <row r="82" spans="1:37" ht="25.2">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9.6">
      <c r="A83" s="2128" t="s">
        <v>2070</v>
      </c>
      <c r="B83" s="2132" t="str">
        <f>估价对象房地状况!G15</f>
        <v>估价对象位于XX开发区，园区建设成熟度XX，产业集聚程度XX</v>
      </c>
      <c r="C83" s="2042"/>
      <c r="D83" s="1063">
        <f t="shared" ref="D83:D90" si="23">SUMIF($J$82:$N$82,C83,J83:N83)</f>
        <v>0</v>
      </c>
      <c r="E83" s="742">
        <f>ROUND(SUM(D83:D90),4)</f>
        <v>0</v>
      </c>
      <c r="F83" s="1812" t="str">
        <f>IF(E2="工业",SUMIF(L1:L12,G2,N1:N12),"——")</f>
        <v>——</v>
      </c>
      <c r="G83" s="1061"/>
      <c r="H83" s="1064" t="str">
        <f t="shared" ref="H83:H90" si="24">IFERROR(ROUNDDOWN($F$83*I83/2,4),"——")</f>
        <v>——</v>
      </c>
      <c r="I83" s="3365">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52.8">
      <c r="A84" s="2128" t="s">
        <v>2053</v>
      </c>
      <c r="B84" s="2132" t="str">
        <f>估价对象房地状况!G16</f>
        <v>估价对象周边道路状况、公共交通通达情况、停车便捷程度，综合评价交通便捷度较好</v>
      </c>
      <c r="C84" s="2042"/>
      <c r="D84" s="1063">
        <f t="shared" si="23"/>
        <v>0</v>
      </c>
      <c r="E84" s="745"/>
      <c r="F84" s="1812"/>
      <c r="G84" s="1061"/>
      <c r="H84" s="1064" t="str">
        <f t="shared" si="24"/>
        <v>——</v>
      </c>
      <c r="I84" s="3365">
        <v>0.3</v>
      </c>
      <c r="J84" s="1062">
        <f t="shared" si="25"/>
        <v>0</v>
      </c>
      <c r="K84" s="1062">
        <f t="shared" si="26"/>
        <v>0</v>
      </c>
      <c r="L84" s="1062">
        <v>0</v>
      </c>
      <c r="M84" s="1062">
        <f t="shared" si="27"/>
        <v>0</v>
      </c>
      <c r="N84" s="1062">
        <f t="shared" si="27"/>
        <v>0</v>
      </c>
      <c r="Z84" s="1996"/>
      <c r="AA84" s="2051"/>
      <c r="AG84" s="1119"/>
      <c r="AK84" s="2051"/>
    </row>
    <row r="85" spans="1:37" ht="48">
      <c r="A85" s="3367" t="s">
        <v>3272</v>
      </c>
      <c r="B85" s="2132">
        <f>估价对象房地状况!G17</f>
        <v>0</v>
      </c>
      <c r="C85" s="2042"/>
      <c r="D85" s="1063">
        <f t="shared" si="23"/>
        <v>0</v>
      </c>
      <c r="E85" s="745"/>
      <c r="F85" s="1812"/>
      <c r="G85" s="1061"/>
      <c r="H85" s="1064" t="str">
        <f t="shared" si="24"/>
        <v>——</v>
      </c>
      <c r="I85" s="3365">
        <v>0.1</v>
      </c>
      <c r="J85" s="1062">
        <f t="shared" si="25"/>
        <v>0</v>
      </c>
      <c r="K85" s="1062">
        <f t="shared" si="26"/>
        <v>0</v>
      </c>
      <c r="L85" s="1062">
        <v>0</v>
      </c>
      <c r="M85" s="1062">
        <f t="shared" si="27"/>
        <v>0</v>
      </c>
      <c r="N85" s="1062">
        <f t="shared" si="27"/>
        <v>0</v>
      </c>
      <c r="Z85" s="1996"/>
      <c r="AA85" s="2051"/>
      <c r="AG85" s="1119"/>
      <c r="AK85" s="2051"/>
    </row>
    <row r="86" spans="1:37" ht="13.8">
      <c r="A86" s="2128" t="s">
        <v>2067</v>
      </c>
      <c r="B86" s="2132">
        <f>估价对象房地状况!G22</f>
        <v>0</v>
      </c>
      <c r="C86" s="2042"/>
      <c r="D86" s="1063">
        <f t="shared" si="23"/>
        <v>0</v>
      </c>
      <c r="E86" s="745"/>
      <c r="F86" s="1812"/>
      <c r="G86" s="1061"/>
      <c r="H86" s="1064" t="str">
        <f t="shared" si="24"/>
        <v>——</v>
      </c>
      <c r="I86" s="3365">
        <v>0.05</v>
      </c>
      <c r="J86" s="1062">
        <f t="shared" si="25"/>
        <v>0</v>
      </c>
      <c r="K86" s="1062">
        <f t="shared" si="26"/>
        <v>0</v>
      </c>
      <c r="L86" s="1062">
        <v>0</v>
      </c>
      <c r="M86" s="1062">
        <f t="shared" si="27"/>
        <v>0</v>
      </c>
      <c r="N86" s="1062">
        <f t="shared" si="27"/>
        <v>0</v>
      </c>
      <c r="Z86" s="1996"/>
      <c r="AA86" s="2051"/>
      <c r="AG86" s="1119"/>
      <c r="AK86" s="2051"/>
    </row>
    <row r="87" spans="1:37" ht="26.4">
      <c r="A87" s="2128" t="s">
        <v>2059</v>
      </c>
      <c r="B87" s="1324" t="str">
        <f>估价对象房地状况!G19</f>
        <v>估价对象所在区域公共配套设施齐备情况</v>
      </c>
      <c r="C87" s="2042"/>
      <c r="D87" s="1063">
        <f t="shared" si="23"/>
        <v>0</v>
      </c>
      <c r="E87" s="745"/>
      <c r="F87" s="1812"/>
      <c r="G87" s="1061"/>
      <c r="H87" s="1064" t="str">
        <f t="shared" si="24"/>
        <v>——</v>
      </c>
      <c r="I87" s="3365">
        <v>0.06</v>
      </c>
      <c r="J87" s="1062">
        <f t="shared" si="25"/>
        <v>0</v>
      </c>
      <c r="K87" s="1062">
        <f t="shared" si="26"/>
        <v>0</v>
      </c>
      <c r="L87" s="1062">
        <v>0</v>
      </c>
      <c r="M87" s="1062">
        <f t="shared" si="27"/>
        <v>0</v>
      </c>
      <c r="N87" s="1062">
        <f t="shared" si="27"/>
        <v>0</v>
      </c>
    </row>
    <row r="88" spans="1:37" ht="26.4">
      <c r="A88" s="2128" t="s">
        <v>2060</v>
      </c>
      <c r="B88" s="1324" t="str">
        <f>估价对象房地状况!G20</f>
        <v>估价对象所在区域基础设施水平</v>
      </c>
      <c r="C88" s="2042"/>
      <c r="D88" s="1063">
        <f t="shared" si="23"/>
        <v>0</v>
      </c>
      <c r="E88" s="745"/>
      <c r="F88" s="1812"/>
      <c r="G88" s="1061"/>
      <c r="H88" s="1064" t="str">
        <f t="shared" si="24"/>
        <v>——</v>
      </c>
      <c r="I88" s="3365">
        <v>0.12</v>
      </c>
      <c r="J88" s="1062">
        <f t="shared" si="25"/>
        <v>0</v>
      </c>
      <c r="K88" s="1062">
        <f t="shared" si="26"/>
        <v>0</v>
      </c>
      <c r="L88" s="1062">
        <v>0</v>
      </c>
      <c r="M88" s="1062">
        <f t="shared" si="27"/>
        <v>0</v>
      </c>
      <c r="N88" s="1062">
        <f t="shared" si="27"/>
        <v>0</v>
      </c>
    </row>
    <row r="89" spans="1:37" ht="36">
      <c r="A89" s="2128" t="s">
        <v>2057</v>
      </c>
      <c r="B89" s="2134" t="s">
        <v>2071</v>
      </c>
      <c r="C89" s="2042"/>
      <c r="D89" s="1063">
        <f t="shared" si="23"/>
        <v>0</v>
      </c>
      <c r="E89" s="745"/>
      <c r="F89" s="1812"/>
      <c r="G89" s="1061"/>
      <c r="H89" s="1064" t="str">
        <f t="shared" si="24"/>
        <v>——</v>
      </c>
      <c r="I89" s="3365">
        <v>0.06</v>
      </c>
      <c r="J89" s="1062">
        <f t="shared" si="25"/>
        <v>0</v>
      </c>
      <c r="K89" s="1062">
        <f t="shared" si="26"/>
        <v>0</v>
      </c>
      <c r="L89" s="1062">
        <v>0</v>
      </c>
      <c r="M89" s="1062">
        <f t="shared" si="27"/>
        <v>0</v>
      </c>
      <c r="N89" s="1062">
        <f t="shared" si="27"/>
        <v>0</v>
      </c>
    </row>
    <row r="90" spans="1:37" ht="40.200000000000003" thickBot="1">
      <c r="A90" s="2136" t="s">
        <v>2072</v>
      </c>
      <c r="B90" s="2141" t="str">
        <f>估价对象房地状况!G18</f>
        <v>该园区内是否有污染型企业，绿化情况，卫生条件，整体环境状况判断</v>
      </c>
      <c r="C90" s="2042"/>
      <c r="D90" s="1063">
        <f t="shared" si="23"/>
        <v>0</v>
      </c>
      <c r="E90" s="746"/>
      <c r="F90" s="1812"/>
      <c r="G90" s="1061"/>
      <c r="H90" s="1064" t="str">
        <f t="shared" si="24"/>
        <v>——</v>
      </c>
      <c r="I90" s="3366">
        <v>0.05</v>
      </c>
      <c r="J90" s="1062">
        <f t="shared" si="25"/>
        <v>0</v>
      </c>
      <c r="K90" s="1062">
        <f t="shared" si="26"/>
        <v>0</v>
      </c>
      <c r="L90" s="1062">
        <v>0</v>
      </c>
      <c r="M90" s="1062">
        <f t="shared" si="27"/>
        <v>0</v>
      </c>
      <c r="N90" s="1062">
        <f t="shared" si="27"/>
        <v>0</v>
      </c>
    </row>
    <row r="91" spans="1:37" ht="13.8">
      <c r="A91" s="3375" t="s">
        <v>2614</v>
      </c>
      <c r="B91" s="3376">
        <f>1+E93</f>
        <v>1</v>
      </c>
      <c r="C91" s="3369"/>
      <c r="D91" s="3370"/>
      <c r="E91" s="1812"/>
      <c r="F91" s="1812"/>
      <c r="G91" s="3371"/>
      <c r="H91" s="3372"/>
      <c r="I91" s="3373"/>
      <c r="J91" s="3374"/>
      <c r="K91" s="3374"/>
      <c r="L91" s="3374"/>
      <c r="M91" s="3374"/>
      <c r="N91" s="3374"/>
    </row>
    <row r="92" spans="1:37" ht="25.2">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52.8">
      <c r="A94" s="3377" t="s">
        <v>3275</v>
      </c>
      <c r="B94" s="3368" t="str">
        <f>估价对象房地状况!C18</f>
        <v>估价对象周边道路状况、公共交通通达情况、停车便捷程度，综合评价交通便捷度较好</v>
      </c>
      <c r="C94" s="2042"/>
      <c r="D94" s="3364">
        <f t="shared" ref="D94:D101" si="31">SUMIF($J$60:$N$60,C94,J94:N94)</f>
        <v>0</v>
      </c>
      <c r="E94" s="3381"/>
      <c r="F94" s="1812"/>
      <c r="G94" s="3371"/>
      <c r="H94" s="3419" t="str">
        <f>IFERROR(ROUNDDOWN($F$93*I94/2,4),"——")</f>
        <v>——</v>
      </c>
      <c r="I94" s="3365">
        <v>0.26</v>
      </c>
      <c r="J94" s="3343">
        <f t="shared" si="28"/>
        <v>0</v>
      </c>
      <c r="K94" s="3343">
        <f t="shared" si="29"/>
        <v>0</v>
      </c>
      <c r="L94" s="3343">
        <v>0</v>
      </c>
      <c r="M94" s="3343">
        <f t="shared" si="30"/>
        <v>0</v>
      </c>
      <c r="N94" s="3343">
        <f t="shared" si="30"/>
        <v>0</v>
      </c>
    </row>
    <row r="95" spans="1:37" ht="48">
      <c r="A95" s="3367" t="s">
        <v>3271</v>
      </c>
      <c r="B95" s="3368">
        <f>估价对象房地状况!C19</f>
        <v>0</v>
      </c>
      <c r="C95" s="2042"/>
      <c r="D95" s="3364">
        <f t="shared" si="31"/>
        <v>0</v>
      </c>
      <c r="E95" s="3381"/>
      <c r="F95" s="1812"/>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7.200000000000003">
      <c r="A96" s="3377" t="s">
        <v>3276</v>
      </c>
      <c r="B96" s="3383" t="s">
        <v>3287</v>
      </c>
      <c r="C96" s="2042"/>
      <c r="D96" s="3364">
        <f t="shared" si="31"/>
        <v>0</v>
      </c>
      <c r="E96" s="3381"/>
      <c r="F96" s="1812"/>
      <c r="G96" s="3371"/>
      <c r="H96" s="3419" t="str">
        <f t="shared" si="32"/>
        <v>——</v>
      </c>
      <c r="I96" s="3365">
        <v>0.05</v>
      </c>
      <c r="J96" s="3343">
        <f t="shared" si="28"/>
        <v>0</v>
      </c>
      <c r="K96" s="3343">
        <f t="shared" si="29"/>
        <v>0</v>
      </c>
      <c r="L96" s="3343">
        <v>0</v>
      </c>
      <c r="M96" s="3343">
        <f t="shared" si="30"/>
        <v>0</v>
      </c>
      <c r="N96" s="3343">
        <f t="shared" si="30"/>
        <v>0</v>
      </c>
    </row>
    <row r="97" spans="1:14" ht="24">
      <c r="A97" s="3377" t="s">
        <v>3277</v>
      </c>
      <c r="B97" s="3368">
        <f>估价对象房地状况!C24</f>
        <v>0</v>
      </c>
      <c r="C97" s="2042"/>
      <c r="D97" s="3364">
        <f t="shared" si="31"/>
        <v>0</v>
      </c>
      <c r="E97" s="3381"/>
      <c r="F97" s="1812"/>
      <c r="G97" s="3371"/>
      <c r="H97" s="3419" t="str">
        <f t="shared" si="32"/>
        <v>——</v>
      </c>
      <c r="I97" s="3365">
        <v>0.05</v>
      </c>
      <c r="J97" s="3343">
        <f t="shared" si="28"/>
        <v>0</v>
      </c>
      <c r="K97" s="3343">
        <f t="shared" si="29"/>
        <v>0</v>
      </c>
      <c r="L97" s="3343">
        <v>0</v>
      </c>
      <c r="M97" s="3343">
        <f t="shared" si="30"/>
        <v>0</v>
      </c>
      <c r="N97" s="3343">
        <f t="shared" si="30"/>
        <v>0</v>
      </c>
    </row>
    <row r="98" spans="1:14" ht="36">
      <c r="A98" s="3377" t="s">
        <v>3278</v>
      </c>
      <c r="B98" s="3384" t="s">
        <v>3288</v>
      </c>
      <c r="C98" s="2042"/>
      <c r="D98" s="3364">
        <f t="shared" si="31"/>
        <v>0</v>
      </c>
      <c r="E98" s="3381"/>
      <c r="F98" s="1812"/>
      <c r="G98" s="3371"/>
      <c r="H98" s="3419" t="str">
        <f t="shared" si="32"/>
        <v>——</v>
      </c>
      <c r="I98" s="3365">
        <v>0.06</v>
      </c>
      <c r="J98" s="3343">
        <f t="shared" si="28"/>
        <v>0</v>
      </c>
      <c r="K98" s="3343">
        <f t="shared" si="29"/>
        <v>0</v>
      </c>
      <c r="L98" s="3343">
        <v>0</v>
      </c>
      <c r="M98" s="3343">
        <f t="shared" si="30"/>
        <v>0</v>
      </c>
      <c r="N98" s="3343">
        <f t="shared" si="30"/>
        <v>0</v>
      </c>
    </row>
    <row r="99" spans="1:14" ht="26.4">
      <c r="A99" s="3377" t="s">
        <v>3279</v>
      </c>
      <c r="B99" s="3368" t="str">
        <f>估价对象房地状况!C21</f>
        <v>估价对象所在区域公共配套设施齐备情况</v>
      </c>
      <c r="C99" s="2042"/>
      <c r="D99" s="3364">
        <f t="shared" si="31"/>
        <v>0</v>
      </c>
      <c r="E99" s="3381"/>
      <c r="F99" s="1812"/>
      <c r="G99" s="3371"/>
      <c r="H99" s="3419" t="str">
        <f t="shared" si="32"/>
        <v>——</v>
      </c>
      <c r="I99" s="3365">
        <v>0.06</v>
      </c>
      <c r="J99" s="3343">
        <f t="shared" si="28"/>
        <v>0</v>
      </c>
      <c r="K99" s="3343">
        <f t="shared" si="29"/>
        <v>0</v>
      </c>
      <c r="L99" s="3343">
        <v>0</v>
      </c>
      <c r="M99" s="3343">
        <f t="shared" si="30"/>
        <v>0</v>
      </c>
      <c r="N99" s="3343">
        <f t="shared" si="30"/>
        <v>0</v>
      </c>
    </row>
    <row r="100" spans="1:14" ht="26.4">
      <c r="A100" s="3377" t="s">
        <v>3280</v>
      </c>
      <c r="B100" s="3368" t="str">
        <f>估价对象房地状况!C22</f>
        <v>估价对象所在区域基础设施水平</v>
      </c>
      <c r="C100" s="2042"/>
      <c r="D100" s="3364">
        <f t="shared" si="31"/>
        <v>0</v>
      </c>
      <c r="E100" s="3381"/>
      <c r="F100" s="1812"/>
      <c r="G100" s="3371"/>
      <c r="H100" s="3419" t="str">
        <f t="shared" si="32"/>
        <v>——</v>
      </c>
      <c r="I100" s="3365">
        <v>0.09</v>
      </c>
      <c r="J100" s="3343">
        <f t="shared" si="28"/>
        <v>0</v>
      </c>
      <c r="K100" s="3343">
        <f t="shared" si="29"/>
        <v>0</v>
      </c>
      <c r="L100" s="3343">
        <v>0</v>
      </c>
      <c r="M100" s="3343">
        <f t="shared" si="30"/>
        <v>0</v>
      </c>
      <c r="N100" s="3343">
        <f t="shared" si="30"/>
        <v>0</v>
      </c>
    </row>
    <row r="101" spans="1:14" ht="40.200000000000003" thickBot="1">
      <c r="A101" s="3378" t="s">
        <v>3281</v>
      </c>
      <c r="B101" s="3385" t="str">
        <f>估价对象房地状况!C20</f>
        <v>区域自然环境：；人文环境；综合评价环境状况一般</v>
      </c>
      <c r="C101" s="2042"/>
      <c r="D101" s="3364">
        <f t="shared" si="31"/>
        <v>0</v>
      </c>
      <c r="E101" s="3382"/>
      <c r="F101" s="1812"/>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668" t="s">
        <v>3296</v>
      </c>
      <c r="B103" s="3668"/>
      <c r="C103" s="3668"/>
      <c r="D103" s="3668"/>
      <c r="E103" s="3668"/>
      <c r="F103" s="3668"/>
      <c r="G103" s="3668"/>
      <c r="H103" s="3668"/>
      <c r="I103" s="3668"/>
      <c r="J103" s="3668"/>
      <c r="K103" s="3388"/>
      <c r="L103" s="3388"/>
      <c r="M103" s="3388"/>
      <c r="N103" s="3388"/>
    </row>
    <row r="104" spans="1:14">
      <c r="A104" s="3669" t="s">
        <v>3297</v>
      </c>
      <c r="B104" s="3669" t="s">
        <v>3298</v>
      </c>
      <c r="C104" s="3389" t="s">
        <v>3299</v>
      </c>
      <c r="D104" s="3390"/>
      <c r="E104" s="3390"/>
      <c r="F104" s="3390"/>
      <c r="G104" s="3390"/>
      <c r="H104" s="3390"/>
      <c r="I104" s="3390"/>
      <c r="J104" s="3391"/>
      <c r="K104" s="3392"/>
      <c r="L104" s="3392"/>
      <c r="M104" s="3392"/>
      <c r="N104" s="3392"/>
    </row>
    <row r="105" spans="1:14">
      <c r="A105" s="3669"/>
      <c r="B105" s="3669"/>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655"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5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5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5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5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56"/>
      <c r="B111" s="3393" t="s">
        <v>3270</v>
      </c>
      <c r="C111" s="3394">
        <f>$I$3</f>
        <v>3</v>
      </c>
      <c r="D111" s="3394">
        <f t="shared" ref="D111:M111" si="33">$I$3</f>
        <v>3</v>
      </c>
      <c r="E111" s="3394">
        <f t="shared" si="33"/>
        <v>3</v>
      </c>
      <c r="F111" s="3394">
        <f t="shared" si="33"/>
        <v>3</v>
      </c>
      <c r="G111" s="3394">
        <f t="shared" si="33"/>
        <v>3</v>
      </c>
      <c r="H111" s="3394">
        <f t="shared" si="33"/>
        <v>3</v>
      </c>
      <c r="I111" s="3394">
        <f t="shared" si="33"/>
        <v>3</v>
      </c>
      <c r="J111" s="3394">
        <f t="shared" si="33"/>
        <v>3</v>
      </c>
      <c r="K111" s="3394">
        <f t="shared" si="33"/>
        <v>3</v>
      </c>
      <c r="L111" s="3394">
        <f t="shared" si="33"/>
        <v>3</v>
      </c>
      <c r="M111" s="3394">
        <f t="shared" si="33"/>
        <v>3</v>
      </c>
      <c r="N111" s="3394">
        <f>$I$3</f>
        <v>3</v>
      </c>
    </row>
    <row r="112" spans="1:14">
      <c r="A112" s="3657"/>
      <c r="B112" s="3393">
        <v>6</v>
      </c>
      <c r="C112" s="3386">
        <f>(-0.5556*(C111^2)-0.2719*C111+8944)*(10^(-4))</f>
        <v>0.89381839000000007</v>
      </c>
      <c r="D112" s="3386">
        <f>(-0.5556*(D111^2)-0.2719*D111+8944)*(10^(-4))</f>
        <v>0.89381839000000007</v>
      </c>
      <c r="E112" s="3386">
        <f>(-0.7912*(E111^2)-11.3794*E111+8482)*(10^(-4))</f>
        <v>0.84407410000000005</v>
      </c>
      <c r="F112" s="3386">
        <f t="shared" ref="F112:I112" si="34">(-0.7912*(F111^2)-11.3794*F111+8482)*(10^(-4))</f>
        <v>0.84407410000000005</v>
      </c>
      <c r="G112" s="3386">
        <f t="shared" si="34"/>
        <v>0.84407410000000005</v>
      </c>
      <c r="H112" s="3386">
        <f t="shared" si="34"/>
        <v>0.84407410000000005</v>
      </c>
      <c r="I112" s="3386">
        <f t="shared" si="34"/>
        <v>0.84407410000000005</v>
      </c>
      <c r="J112" s="3386">
        <f>(-0.989*(J111^2)-63.78*J111+7771)*(10^(-4))</f>
        <v>0.75707590000000002</v>
      </c>
      <c r="K112" s="3386">
        <f t="shared" ref="K112:N112" si="35">(-0.989*(K111^2)-63.78*K111+7771)*(10^(-4))</f>
        <v>0.75707590000000002</v>
      </c>
      <c r="L112" s="3386">
        <f t="shared" si="35"/>
        <v>0.75707590000000002</v>
      </c>
      <c r="M112" s="3386">
        <f t="shared" si="35"/>
        <v>0.75707590000000002</v>
      </c>
      <c r="N112" s="3386">
        <f t="shared" si="35"/>
        <v>0.75707590000000002</v>
      </c>
    </row>
    <row r="113" spans="1:14">
      <c r="A113" s="3658" t="s">
        <v>3313</v>
      </c>
      <c r="B113" s="3658"/>
      <c r="C113" s="3658"/>
      <c r="D113" s="3658"/>
      <c r="E113" s="3658"/>
      <c r="F113" s="3658"/>
      <c r="G113" s="3658"/>
      <c r="H113" s="3658"/>
      <c r="I113" s="3658"/>
      <c r="J113" s="365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3314</v>
      </c>
      <c r="B116" s="3414">
        <f>G3</f>
        <v>1.1000000000000001</v>
      </c>
      <c r="C116" s="3398" t="s">
        <v>3315</v>
      </c>
      <c r="D116" s="3399">
        <f>SUMPRODUCT((A118:A122=F116)*(B117:M117=H116)*B118:M122)</f>
        <v>0.93359999999999999</v>
      </c>
      <c r="E116" s="1998" t="s">
        <v>3316</v>
      </c>
      <c r="F116" s="3400" t="str">
        <f>E2</f>
        <v>商业</v>
      </c>
      <c r="G116" s="1998" t="s">
        <v>3317</v>
      </c>
      <c r="H116" s="3400" t="str">
        <f>G2</f>
        <v>五级</v>
      </c>
      <c r="I116" s="1998"/>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0.98470000000000002</v>
      </c>
      <c r="C118" s="3386">
        <f>B118</f>
        <v>0.98470000000000002</v>
      </c>
      <c r="D118" s="3386">
        <f>ROUND(0.949-0.014*B116,4)</f>
        <v>0.93359999999999999</v>
      </c>
      <c r="E118" s="3386">
        <f>D118</f>
        <v>0.93359999999999999</v>
      </c>
      <c r="F118" s="3386">
        <f>E118</f>
        <v>0.93359999999999999</v>
      </c>
      <c r="G118" s="3386">
        <f>F118</f>
        <v>0.93359999999999999</v>
      </c>
      <c r="H118" s="3386">
        <f>G118</f>
        <v>0.93359999999999999</v>
      </c>
      <c r="I118" s="3386">
        <f>ROUND(0.8486-0.018*B116,4)</f>
        <v>0.82879999999999998</v>
      </c>
      <c r="J118" s="3386">
        <f t="shared" ref="J118:M122" si="36">I118</f>
        <v>0.82879999999999998</v>
      </c>
      <c r="K118" s="3386">
        <f t="shared" si="36"/>
        <v>0.82879999999999998</v>
      </c>
      <c r="L118" s="3386">
        <f t="shared" si="36"/>
        <v>0.82879999999999998</v>
      </c>
      <c r="M118" s="3409">
        <f t="shared" si="36"/>
        <v>0.82879999999999998</v>
      </c>
      <c r="N118" s="3396"/>
    </row>
    <row r="119" spans="1:14">
      <c r="A119" s="3408" t="s">
        <v>3331</v>
      </c>
      <c r="B119" s="3386">
        <f>ROUND(0.993-0.0112*B116,4)</f>
        <v>0.98070000000000002</v>
      </c>
      <c r="C119" s="3386">
        <f>B119</f>
        <v>0.98070000000000002</v>
      </c>
      <c r="D119" s="3386">
        <f>ROUND(0.9415-0.0142*B116,4)</f>
        <v>0.92589999999999995</v>
      </c>
      <c r="E119" s="3386">
        <f t="shared" ref="E119:H120" si="37">D119</f>
        <v>0.92589999999999995</v>
      </c>
      <c r="F119" s="3386">
        <f t="shared" si="37"/>
        <v>0.92589999999999995</v>
      </c>
      <c r="G119" s="3386">
        <f t="shared" si="37"/>
        <v>0.92589999999999995</v>
      </c>
      <c r="H119" s="3386">
        <f t="shared" si="37"/>
        <v>0.92589999999999995</v>
      </c>
      <c r="I119" s="3386">
        <f>ROUND(0.838-0.0182*B116,4)</f>
        <v>0.81799999999999995</v>
      </c>
      <c r="J119" s="3386">
        <f t="shared" si="36"/>
        <v>0.81799999999999995</v>
      </c>
      <c r="K119" s="3386">
        <f t="shared" si="36"/>
        <v>0.81799999999999995</v>
      </c>
      <c r="L119" s="3386">
        <f t="shared" si="36"/>
        <v>0.81799999999999995</v>
      </c>
      <c r="M119" s="3409">
        <f t="shared" si="36"/>
        <v>0.81799999999999995</v>
      </c>
      <c r="N119" s="3396"/>
    </row>
    <row r="120" spans="1:14">
      <c r="A120" s="3408" t="s">
        <v>3332</v>
      </c>
      <c r="B120" s="3386">
        <f>ROUND(0.9448-0.0115*B116,4)</f>
        <v>0.93220000000000003</v>
      </c>
      <c r="C120" s="3386">
        <f>B120</f>
        <v>0.93220000000000003</v>
      </c>
      <c r="D120" s="3386">
        <f>ROUND(0.937-0.0145*B116,4)</f>
        <v>0.92110000000000003</v>
      </c>
      <c r="E120" s="3386">
        <f t="shared" si="37"/>
        <v>0.92110000000000003</v>
      </c>
      <c r="F120" s="3386">
        <f t="shared" si="37"/>
        <v>0.92110000000000003</v>
      </c>
      <c r="G120" s="3386">
        <f t="shared" si="37"/>
        <v>0.92110000000000003</v>
      </c>
      <c r="H120" s="3386">
        <f t="shared" si="37"/>
        <v>0.92110000000000003</v>
      </c>
      <c r="I120" s="3386">
        <f>ROUND(0.7965-0.0185*B116,4)</f>
        <v>0.7762</v>
      </c>
      <c r="J120" s="3386">
        <f t="shared" si="36"/>
        <v>0.7762</v>
      </c>
      <c r="K120" s="3386">
        <f t="shared" si="36"/>
        <v>0.7762</v>
      </c>
      <c r="L120" s="3386">
        <f t="shared" si="36"/>
        <v>0.7762</v>
      </c>
      <c r="M120" s="3409">
        <f t="shared" si="36"/>
        <v>0.7762</v>
      </c>
      <c r="N120" s="3396"/>
    </row>
    <row r="121" spans="1:14" ht="13.8" thickBot="1">
      <c r="A121" s="3410" t="s">
        <v>3333</v>
      </c>
      <c r="B121" s="3411">
        <f>ROUND(0.7836-0.012*B116,4)</f>
        <v>0.77039999999999997</v>
      </c>
      <c r="C121" s="3411">
        <f>B121</f>
        <v>0.77039999999999997</v>
      </c>
      <c r="D121" s="3411">
        <f>ROUND(0.753-0.015*B116,4)</f>
        <v>0.73650000000000004</v>
      </c>
      <c r="E121" s="3411">
        <f>D121</f>
        <v>0.73650000000000004</v>
      </c>
      <c r="F121" s="3411">
        <f>E121</f>
        <v>0.73650000000000004</v>
      </c>
      <c r="G121" s="3411">
        <f>ROUND(0.6612-0.018*B116,4)</f>
        <v>0.64139999999999997</v>
      </c>
      <c r="H121" s="3411">
        <f>G121</f>
        <v>0.64139999999999997</v>
      </c>
      <c r="I121" s="3411">
        <f>ROUND(0.5905-0.019*B116,4)</f>
        <v>0.5696</v>
      </c>
      <c r="J121" s="3411">
        <f t="shared" si="36"/>
        <v>0.5696</v>
      </c>
      <c r="K121" s="3411">
        <f t="shared" si="36"/>
        <v>0.5696</v>
      </c>
      <c r="L121" s="3411">
        <f t="shared" si="36"/>
        <v>0.5696</v>
      </c>
      <c r="M121" s="3412">
        <f t="shared" si="36"/>
        <v>0.5696</v>
      </c>
      <c r="N121" s="3396"/>
    </row>
    <row r="122" spans="1:14">
      <c r="A122" s="3413" t="s">
        <v>2614</v>
      </c>
      <c r="B122" s="3386">
        <f>ROUND(0.9404-0.0106*B116,4)</f>
        <v>0.92869999999999997</v>
      </c>
      <c r="C122" s="3386">
        <f>B122</f>
        <v>0.92869999999999997</v>
      </c>
      <c r="D122" s="3386">
        <f>ROUND(0.8955-0.0135*B116,4)</f>
        <v>0.88070000000000004</v>
      </c>
      <c r="E122" s="3386">
        <f t="shared" ref="E122:H122" si="38">D122</f>
        <v>0.88070000000000004</v>
      </c>
      <c r="F122" s="3386">
        <f t="shared" si="38"/>
        <v>0.88070000000000004</v>
      </c>
      <c r="G122" s="3386">
        <f t="shared" si="38"/>
        <v>0.88070000000000004</v>
      </c>
      <c r="H122" s="3386">
        <f t="shared" si="38"/>
        <v>0.88070000000000004</v>
      </c>
      <c r="I122" s="3386">
        <f>ROUND(0.7632-0.0166*B116,4)</f>
        <v>0.74490000000000001</v>
      </c>
      <c r="J122" s="3386">
        <f t="shared" si="36"/>
        <v>0.74490000000000001</v>
      </c>
      <c r="K122" s="3386">
        <f t="shared" si="36"/>
        <v>0.74490000000000001</v>
      </c>
      <c r="L122" s="3386">
        <f t="shared" si="36"/>
        <v>0.74490000000000001</v>
      </c>
      <c r="M122" s="3409">
        <f t="shared" si="36"/>
        <v>0.74490000000000001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Normal="70" zoomScaleSheetLayoutView="100" workbookViewId="0">
      <selection activeCell="E22" sqref="E22"/>
    </sheetView>
  </sheetViews>
  <sheetFormatPr defaultColWidth="9" defaultRowHeight="13.2"/>
  <cols>
    <col min="1" max="1" width="9" style="258" customWidth="1"/>
    <col min="2" max="2" width="20.6640625" style="653" customWidth="1"/>
    <col min="3" max="3" width="11.88671875" style="653"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1"/>
      <c r="C1" s="1377" t="s">
        <v>673</v>
      </c>
      <c r="D1" s="1360" t="s">
        <v>43</v>
      </c>
      <c r="E1" s="1361" t="s">
        <v>678</v>
      </c>
      <c r="F1" s="1060">
        <f ca="1">J53</f>
        <v>23.05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370.94819999999999</v>
      </c>
      <c r="C2" s="1385" t="s">
        <v>879</v>
      </c>
      <c r="D2" s="1469">
        <f ca="1">C40+J29+L46</f>
        <v>3709482</v>
      </c>
      <c r="E2" s="1386" t="s">
        <v>880</v>
      </c>
      <c r="F2" s="1387"/>
      <c r="G2" s="2704"/>
      <c r="H2" s="2693"/>
      <c r="I2" s="2693"/>
      <c r="J2" s="2693"/>
      <c r="K2" s="2694"/>
      <c r="L2" s="2693"/>
      <c r="M2" s="2693"/>
    </row>
    <row r="3" spans="1:37" ht="18" customHeight="1" thickBot="1">
      <c r="A3" s="1388" t="s">
        <v>881</v>
      </c>
      <c r="B3" s="1389">
        <f ca="1">IF(ISERROR(D2/F43),0,ROUND(D2/F43,0))</f>
        <v>29128</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242943</v>
      </c>
      <c r="D5" s="1362" t="s">
        <v>889</v>
      </c>
      <c r="E5" s="1069"/>
      <c r="F5" s="1070"/>
      <c r="G5" s="1382"/>
      <c r="H5" s="299">
        <v>1</v>
      </c>
      <c r="I5" s="300" t="s">
        <v>888</v>
      </c>
      <c r="J5" s="1068">
        <f ca="1">J6+J10+J12</f>
        <v>0</v>
      </c>
      <c r="K5" s="1362" t="s">
        <v>889</v>
      </c>
      <c r="L5" s="1069"/>
      <c r="M5" s="1070"/>
    </row>
    <row r="6" spans="1:37" ht="18" customHeight="1">
      <c r="A6" s="1067" t="s">
        <v>398</v>
      </c>
      <c r="B6" s="3652" t="s">
        <v>694</v>
      </c>
      <c r="C6" s="1072">
        <f ca="1">ROUND(F6*F8*F7*(1-F9),0)</f>
        <v>242640</v>
      </c>
      <c r="D6" s="155" t="s">
        <v>2106</v>
      </c>
      <c r="E6" s="302" t="s">
        <v>696</v>
      </c>
      <c r="F6" s="303">
        <f ca="1">INDIRECT("'数据-取费表'!u"&amp;$G$1)</f>
        <v>5.8</v>
      </c>
      <c r="G6" s="1382"/>
      <c r="H6" s="1067" t="s">
        <v>398</v>
      </c>
      <c r="I6" s="3652" t="s">
        <v>694</v>
      </c>
      <c r="J6" s="301">
        <f ca="1">ROUND(M6*M8*M7*(1-M9),0)</f>
        <v>0</v>
      </c>
      <c r="K6" s="1374" t="s">
        <v>2107</v>
      </c>
      <c r="L6" s="302" t="s">
        <v>696</v>
      </c>
      <c r="M6" s="303">
        <f ca="1">INDIRECT("'数据-取费表'!z"&amp;$G$1)</f>
        <v>0</v>
      </c>
    </row>
    <row r="7" spans="1:37" ht="18" customHeight="1">
      <c r="A7" s="1071"/>
      <c r="B7" s="3653"/>
      <c r="C7" s="1073"/>
      <c r="D7" s="307"/>
      <c r="E7" s="1074" t="s">
        <v>697</v>
      </c>
      <c r="F7" s="303">
        <f ca="1">IF(INDIRECT("'数据-取费表'!ah"&amp;$G$1)="",INDIRECT("'数据-取费表'!k"&amp;$G$1),INDIRECT("'数据-取费表'!ah"&amp;$G$1))</f>
        <v>127.35</v>
      </c>
      <c r="G7" s="1382"/>
      <c r="H7" s="304"/>
      <c r="I7" s="3653"/>
      <c r="J7" s="306"/>
      <c r="K7" s="307"/>
      <c r="L7" s="302" t="s">
        <v>697</v>
      </c>
      <c r="M7" s="303">
        <f ca="1">F7</f>
        <v>127.35</v>
      </c>
    </row>
    <row r="8" spans="1:37" ht="18" customHeight="1">
      <c r="A8" s="304"/>
      <c r="B8" s="3653"/>
      <c r="C8" s="306"/>
      <c r="D8" s="307"/>
      <c r="E8" s="302" t="s">
        <v>698</v>
      </c>
      <c r="F8" s="303">
        <f ca="1">INDIRECT("'数据-取费表'!ai"&amp;$G$1)</f>
        <v>365</v>
      </c>
      <c r="G8" s="1382"/>
      <c r="H8" s="304"/>
      <c r="I8" s="3653"/>
      <c r="J8" s="306"/>
      <c r="K8" s="307"/>
      <c r="L8" s="302" t="s">
        <v>698</v>
      </c>
      <c r="M8" s="303">
        <f ca="1">INDIRECT("'数据-取费表'!ai"&amp;$G$1)</f>
        <v>365</v>
      </c>
    </row>
    <row r="9" spans="1:37" ht="18" customHeight="1">
      <c r="A9" s="304"/>
      <c r="B9" s="3654"/>
      <c r="C9" s="306"/>
      <c r="D9" s="307"/>
      <c r="E9" s="302" t="s">
        <v>699</v>
      </c>
      <c r="F9" s="312">
        <f ca="1">INDIRECT("'数据-取费表'!w"&amp;$G$1)</f>
        <v>0.1</v>
      </c>
      <c r="G9" s="1382"/>
      <c r="H9" s="304"/>
      <c r="I9" s="3654"/>
      <c r="J9" s="306"/>
      <c r="K9" s="307"/>
      <c r="L9" s="313" t="s">
        <v>699</v>
      </c>
      <c r="M9" s="314">
        <f ca="1">INDIRECT("'数据-取费表'!ab"&amp;$G$1)</f>
        <v>0</v>
      </c>
    </row>
    <row r="10" spans="1:37" ht="18" customHeight="1">
      <c r="A10" s="1067" t="s">
        <v>402</v>
      </c>
      <c r="B10" s="1363" t="s">
        <v>700</v>
      </c>
      <c r="C10" s="316">
        <f ca="1">ROUND(IF(F10="押一",C6/12*F11,IF(F10="押二",C6/12*2*F11,IF(F10="押三",C6/12*3*F11,C11*F11))),0)</f>
        <v>303</v>
      </c>
      <c r="D10" s="1364" t="s">
        <v>2116</v>
      </c>
      <c r="E10" s="313" t="s">
        <v>701</v>
      </c>
      <c r="F10" s="1114" t="s">
        <v>3427</v>
      </c>
      <c r="G10" s="1382"/>
      <c r="H10" s="1067" t="s">
        <v>402</v>
      </c>
      <c r="I10" s="1363" t="s">
        <v>700</v>
      </c>
      <c r="J10" s="301">
        <f ca="1">ROUND(IF(M10="押一",J6/12*M11,IF(M10="押二",J6/12*2*M11,IF(M10="押三",J6/12*3*M11,J11*M11))),0)</f>
        <v>0</v>
      </c>
      <c r="K10" s="1375" t="s">
        <v>2118</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465223</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382050</v>
      </c>
      <c r="D14" s="1343" t="s">
        <v>708</v>
      </c>
      <c r="E14" s="1340"/>
      <c r="F14" s="319"/>
      <c r="G14" s="1382"/>
      <c r="H14" s="980" t="s">
        <v>398</v>
      </c>
      <c r="I14" s="302" t="s">
        <v>709</v>
      </c>
      <c r="J14" s="21">
        <f ca="1">C29</f>
        <v>604186</v>
      </c>
      <c r="K14" s="12"/>
      <c r="L14" s="805"/>
      <c r="M14" s="806"/>
    </row>
    <row r="15" spans="1:37" s="1395" customFormat="1" ht="18" customHeight="1" thickBot="1">
      <c r="A15" s="980" t="s">
        <v>399</v>
      </c>
      <c r="B15" s="302" t="s">
        <v>710</v>
      </c>
      <c r="C15" s="21">
        <f ca="1">ROUND(C14*F15,0)</f>
        <v>11462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6042</v>
      </c>
      <c r="K16" s="1085" t="s">
        <v>715</v>
      </c>
      <c r="L16" s="1086"/>
      <c r="M16" s="1070"/>
    </row>
    <row r="17" spans="1:37" s="1395" customFormat="1" ht="18" customHeight="1">
      <c r="A17" s="980" t="s">
        <v>681</v>
      </c>
      <c r="B17" s="302" t="s">
        <v>716</v>
      </c>
      <c r="C17" s="21">
        <f ca="1">ROUND(F17*(F43+INDIRECT("'数据-取费表'!S"&amp;$G$1)),0)</f>
        <v>25470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5731</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424713</v>
      </c>
      <c r="D19" s="131" t="s">
        <v>726</v>
      </c>
      <c r="E19" s="1358"/>
      <c r="F19" s="23"/>
      <c r="G19" s="1382"/>
      <c r="H19" s="980"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0" t="s">
        <v>402</v>
      </c>
      <c r="B20" s="302" t="s">
        <v>728</v>
      </c>
      <c r="C20" s="21">
        <f ca="1">ROUND(C19*F20,0)</f>
        <v>8494</v>
      </c>
      <c r="D20" s="323" t="s">
        <v>729</v>
      </c>
      <c r="E20" s="302" t="s">
        <v>712</v>
      </c>
      <c r="F20" s="322">
        <f>'数据-取费表'!B37</f>
        <v>0.02</v>
      </c>
      <c r="G20" s="1394"/>
      <c r="H20" s="980" t="s">
        <v>680</v>
      </c>
      <c r="I20" s="155" t="s">
        <v>730</v>
      </c>
      <c r="J20" s="22">
        <f ca="1">ROUND(M20*M21,0)</f>
        <v>0</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6042</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14946</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-6042</v>
      </c>
      <c r="K25" s="1093" t="s">
        <v>753</v>
      </c>
      <c r="L25" s="1094"/>
      <c r="M25" s="1095"/>
    </row>
    <row r="26" spans="1:37" ht="18" customHeight="1">
      <c r="A26" s="980" t="s">
        <v>397</v>
      </c>
      <c r="B26" s="302" t="s">
        <v>754</v>
      </c>
      <c r="C26" s="21">
        <f ca="1">ROUND((C19+C20)*F26,0)</f>
        <v>108302</v>
      </c>
      <c r="D26" s="323" t="s">
        <v>755</v>
      </c>
      <c r="E26" s="313" t="s">
        <v>756</v>
      </c>
      <c r="F26" s="312">
        <f ca="1">INDIRECT("'数据-取费表'!q"&amp;$G$1)</f>
        <v>0.25</v>
      </c>
      <c r="G26" s="1382"/>
      <c r="H26" s="299" t="s">
        <v>395</v>
      </c>
      <c r="I26" s="300" t="s">
        <v>757</v>
      </c>
      <c r="J26" s="301">
        <f ca="1">IF(J5&lt;&gt;0,ROUND(J25*(1-((1+M28)/(1+M26))^M27)/(M26-M28),0),0)</f>
        <v>0</v>
      </c>
      <c r="K26" s="324" t="s">
        <v>758</v>
      </c>
      <c r="L26" s="302" t="s">
        <v>759</v>
      </c>
      <c r="M26" s="312">
        <f ca="1">INDIRECT("'数据-取费表'!I"&amp;$G$1)</f>
        <v>0.05</v>
      </c>
    </row>
    <row r="27" spans="1:37" ht="18" customHeight="1">
      <c r="A27" s="980" t="s">
        <v>399</v>
      </c>
      <c r="B27" s="302" t="s">
        <v>760</v>
      </c>
      <c r="C27" s="21">
        <f ca="1">ROUND(F21*F26,4)</f>
        <v>5.0000000000000001E-3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604186</v>
      </c>
      <c r="D29" s="1090"/>
      <c r="E29" s="1088"/>
      <c r="F29" s="1091"/>
      <c r="G29" s="1394"/>
      <c r="H29" s="334" t="s">
        <v>396</v>
      </c>
      <c r="I29" s="335" t="s">
        <v>768</v>
      </c>
      <c r="J29" s="336">
        <f ca="1">ROUND(J26/(1+F40)^F41,0)</f>
        <v>0</v>
      </c>
      <c r="K29" s="337" t="s">
        <v>769</v>
      </c>
      <c r="L29" s="338"/>
      <c r="M29" s="339">
        <f ca="1">INDIRECT("'数据-取费表'!k"&amp;$G$1)</f>
        <v>127.35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25345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16176</v>
      </c>
      <c r="D31" s="1343" t="s">
        <v>720</v>
      </c>
      <c r="E31" s="1342" t="s">
        <v>770</v>
      </c>
      <c r="F31" s="2313">
        <f ca="1">IF(项目基本情况!B11="企业","——",IF(M47="住宅",IF(F6*F7*F8/12/(1+'数据-取费表'!F30)&gt;100000,4%,2.5%),IF(F6*F7*F8/12/(1+'数据-取费表'!F30)&gt;100000,12%,7%)))</f>
        <v>7.0000000000000007E-2</v>
      </c>
      <c r="G31" s="1382"/>
      <c r="H31" s="2806" t="s">
        <v>2308</v>
      </c>
      <c r="I31" s="1396"/>
      <c r="J31" s="1397"/>
      <c r="K31" s="2473"/>
      <c r="L31" s="2696"/>
      <c r="M31" s="2697"/>
    </row>
    <row r="32" spans="1:37" ht="18" customHeight="1">
      <c r="A32" s="980" t="s">
        <v>397</v>
      </c>
      <c r="B32" s="302" t="s">
        <v>723</v>
      </c>
      <c r="C32" s="21" t="str">
        <f>IF(项目基本情况!B11="自然人","——",ROUND(C6*F32/(1+'数据-取费表'!C42),0))</f>
        <v>——</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str">
        <f>IF(项目基本情况!B11="自然人","——",ROUND(F34*F35,0))</f>
        <v>——</v>
      </c>
      <c r="D34" s="324" t="s">
        <v>731</v>
      </c>
      <c r="E34" s="302" t="s">
        <v>732</v>
      </c>
      <c r="F34" s="325">
        <f>'数据-取费表'!B52</f>
        <v>3</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6042</v>
      </c>
      <c r="D36" s="1342" t="s">
        <v>771</v>
      </c>
      <c r="E36" s="302" t="s">
        <v>712</v>
      </c>
      <c r="F36" s="328">
        <f ca="1">INDIRECT("'数据-取费表'!Ak"&amp;$G$1)</f>
        <v>0.01</v>
      </c>
      <c r="G36" s="1382"/>
      <c r="H36" s="2698"/>
      <c r="I36" s="1396"/>
      <c r="J36" s="1397"/>
      <c r="K36" s="2542"/>
      <c r="L36" s="2698"/>
      <c r="M36" s="2698"/>
    </row>
    <row r="37" spans="1:18" ht="18" customHeight="1">
      <c r="A37" s="980" t="s">
        <v>437</v>
      </c>
      <c r="B37" s="302" t="s">
        <v>742</v>
      </c>
      <c r="C37" s="21">
        <f ca="1">ROUND(C13*F37,0)</f>
        <v>698</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2429</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217598</v>
      </c>
      <c r="D39" s="1093" t="s">
        <v>773</v>
      </c>
      <c r="E39" s="1094"/>
      <c r="F39" s="1095"/>
      <c r="G39" s="1382"/>
      <c r="H39" s="2698"/>
      <c r="I39" s="1396"/>
      <c r="J39" s="1397"/>
      <c r="K39" s="2702"/>
      <c r="L39" s="2698"/>
      <c r="M39" s="2698"/>
    </row>
    <row r="40" spans="1:18" ht="18" customHeight="1">
      <c r="A40" s="299" t="s">
        <v>395</v>
      </c>
      <c r="B40" s="300" t="s">
        <v>774</v>
      </c>
      <c r="C40" s="301">
        <f ca="1">ROUND(C39*(1-((1+F42)/(1+F40))^F41)/(F40-F42),0)</f>
        <v>3709482</v>
      </c>
      <c r="D40" s="324" t="s">
        <v>758</v>
      </c>
      <c r="E40" s="302" t="s">
        <v>759</v>
      </c>
      <c r="F40" s="312">
        <f ca="1">INDIRECT("'数据-取费表'!I"&amp;$G$1)</f>
        <v>0.05</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23.05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29128</v>
      </c>
      <c r="D43" s="337" t="s">
        <v>777</v>
      </c>
      <c r="E43" s="338" t="s">
        <v>778</v>
      </c>
      <c r="F43" s="339">
        <f ca="1">INDIRECT("'数据-取费表'!k"&amp;$G$1)</f>
        <v>127.35</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3353</v>
      </c>
      <c r="B45" s="1398"/>
      <c r="C45" s="1470">
        <f ca="1">ROUND((C68-C40)/10000,4)</f>
        <v>-380.05020000000002</v>
      </c>
      <c r="D45" s="3430" t="s">
        <v>3354</v>
      </c>
      <c r="E45" s="1398"/>
      <c r="F45" s="1398"/>
      <c r="O45" s="1401" t="s">
        <v>808</v>
      </c>
      <c r="P45" s="1459"/>
      <c r="Q45" s="1459"/>
      <c r="R45" s="1459"/>
    </row>
    <row r="46" spans="1:18" s="1382" customFormat="1" ht="13.8" thickBot="1">
      <c r="A46" s="1402" t="s">
        <v>809</v>
      </c>
      <c r="C46" s="1403">
        <f ca="1">ROUND(C45,0)</f>
        <v>-380</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8" thickBot="1">
      <c r="A47" s="944" t="s">
        <v>687</v>
      </c>
      <c r="B47" s="976" t="s">
        <v>688</v>
      </c>
      <c r="C47" s="976" t="s">
        <v>689</v>
      </c>
      <c r="D47" s="976" t="s">
        <v>690</v>
      </c>
      <c r="E47" s="1056" t="s">
        <v>691</v>
      </c>
      <c r="F47" s="1057"/>
      <c r="G47" s="720"/>
      <c r="I47" s="1412" t="s">
        <v>815</v>
      </c>
      <c r="J47" s="1413" t="s">
        <v>3428</v>
      </c>
      <c r="K47" s="1414" t="s">
        <v>816</v>
      </c>
      <c r="L47" s="1415">
        <f ca="1">INDIRECT("'数据-取费表'!d"&amp;$G$1)</f>
        <v>40</v>
      </c>
      <c r="M47" s="1378" t="str">
        <f>IF(ISNUMBER(FIND("住宅",C1)),"住宅","非住宅")</f>
        <v>非住宅</v>
      </c>
      <c r="O47" s="1416" t="s">
        <v>403</v>
      </c>
      <c r="P47" s="1417" t="s">
        <v>817</v>
      </c>
      <c r="Q47" s="1418">
        <f ca="1">C40+J29</f>
        <v>3709482</v>
      </c>
      <c r="R47" s="1418" t="s">
        <v>818</v>
      </c>
    </row>
    <row r="48" spans="1:18" s="1382" customFormat="1" ht="40.200000000000003" thickBot="1">
      <c r="A48" s="1108" t="s">
        <v>438</v>
      </c>
      <c r="B48" s="300" t="s">
        <v>692</v>
      </c>
      <c r="C48" s="1357">
        <f ca="1">C49+C53+C55</f>
        <v>0</v>
      </c>
      <c r="D48" s="1110"/>
      <c r="E48" s="1111"/>
      <c r="F48" s="960"/>
      <c r="G48" s="720"/>
      <c r="H48" s="721"/>
      <c r="I48" s="1419" t="s">
        <v>819</v>
      </c>
      <c r="J48" s="1420" t="s">
        <v>3429</v>
      </c>
      <c r="K48" s="1421" t="s">
        <v>820</v>
      </c>
      <c r="L48" s="1422">
        <f ca="1">INDIRECT("'数据-取费表'!f"&amp;$G$1)</f>
        <v>23.05</v>
      </c>
      <c r="O48" s="1416" t="s">
        <v>404</v>
      </c>
      <c r="P48" s="1417" t="s">
        <v>821</v>
      </c>
      <c r="Q48" s="1418" t="str">
        <f ca="1">J60</f>
        <v>0</v>
      </c>
      <c r="R48" s="1418" t="s">
        <v>822</v>
      </c>
    </row>
    <row r="49" spans="1:18" s="1382" customFormat="1" ht="13.8" thickBot="1">
      <c r="A49" s="973" t="s">
        <v>439</v>
      </c>
      <c r="B49" s="1369" t="s">
        <v>779</v>
      </c>
      <c r="C49" s="1112">
        <f ca="1">ROUND(F49*F51*F50*(1-F52),0)</f>
        <v>0</v>
      </c>
      <c r="D49" s="1053" t="s">
        <v>695</v>
      </c>
      <c r="E49" s="1370" t="s">
        <v>780</v>
      </c>
      <c r="F49" s="1058"/>
      <c r="G49" s="1423"/>
      <c r="H49" s="721"/>
      <c r="I49" s="1419" t="s">
        <v>823</v>
      </c>
      <c r="J49" s="1424">
        <v>2007</v>
      </c>
      <c r="K49" s="1421" t="s">
        <v>824</v>
      </c>
      <c r="L49" s="1425"/>
      <c r="O49" s="1426" t="s">
        <v>405</v>
      </c>
      <c r="P49" s="1417" t="s">
        <v>825</v>
      </c>
      <c r="Q49" s="1418">
        <f ca="1">C29</f>
        <v>604186</v>
      </c>
      <c r="R49" s="1418" t="s">
        <v>818</v>
      </c>
    </row>
    <row r="50" spans="1:18" s="1382" customFormat="1" ht="13.8" thickBot="1">
      <c r="A50" s="974"/>
      <c r="B50" s="977"/>
      <c r="C50" s="978"/>
      <c r="D50" s="951"/>
      <c r="E50" s="1054" t="s">
        <v>697</v>
      </c>
      <c r="F50" s="1055">
        <f ca="1">F7</f>
        <v>127.35</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8" thickBot="1">
      <c r="A51" s="975"/>
      <c r="B51" s="977"/>
      <c r="C51" s="978"/>
      <c r="D51" s="951"/>
      <c r="E51" s="979" t="s">
        <v>698</v>
      </c>
      <c r="F51" s="303">
        <f ca="1">F8</f>
        <v>365</v>
      </c>
      <c r="I51" s="1430" t="s">
        <v>829</v>
      </c>
      <c r="J51" s="1431">
        <f>IF(J49="",J50,J49+J50-YEAR('数据-取费表'!B2))</f>
        <v>43</v>
      </c>
      <c r="K51" s="1432" t="s">
        <v>830</v>
      </c>
      <c r="L51" s="1433">
        <f ca="1">ROUND(-PV(INDIRECT("'数据-取费表'!h"&amp;$G$1),J51,(C39-C13*C76),0),0)</f>
        <v>3287376</v>
      </c>
      <c r="M51" s="1434"/>
      <c r="O51" s="1426" t="s">
        <v>407</v>
      </c>
      <c r="P51" s="1417" t="s">
        <v>831</v>
      </c>
      <c r="Q51" s="1429">
        <f>J52</f>
        <v>7.0000000000000007E-2</v>
      </c>
      <c r="R51" s="1418"/>
    </row>
    <row r="52" spans="1:18" s="1382" customFormat="1" ht="13.8" thickBot="1">
      <c r="A52" s="975"/>
      <c r="B52" s="977"/>
      <c r="C52" s="978"/>
      <c r="D52" s="951"/>
      <c r="E52" s="979" t="s">
        <v>699</v>
      </c>
      <c r="F52" s="1052"/>
      <c r="I52" s="1435" t="s">
        <v>832</v>
      </c>
      <c r="J52" s="1436">
        <v>7.0000000000000007E-2</v>
      </c>
      <c r="K52" s="1435" t="s">
        <v>833</v>
      </c>
      <c r="L52" s="1436"/>
      <c r="O52" s="1426" t="s">
        <v>408</v>
      </c>
      <c r="P52" s="1417" t="s">
        <v>834</v>
      </c>
      <c r="Q52" s="1418">
        <f ca="1">J53</f>
        <v>23.05</v>
      </c>
      <c r="R52" s="1418" t="s">
        <v>835</v>
      </c>
    </row>
    <row r="53" spans="1:18" s="1382" customFormat="1" ht="30.75" customHeight="1" thickBot="1">
      <c r="A53" s="1109" t="s">
        <v>440</v>
      </c>
      <c r="B53" s="323" t="s">
        <v>700</v>
      </c>
      <c r="C53" s="316">
        <f ca="1">ROUND(IF(F53="押一",C49/12*F11,IF(F53="押二",C49/12*2*F11,IF(F53="押三",C49/12*3*F11,C54*F11))),0)</f>
        <v>0</v>
      </c>
      <c r="D53" s="1364" t="s">
        <v>2119</v>
      </c>
      <c r="E53" s="313" t="s">
        <v>701</v>
      </c>
      <c r="F53" s="1114"/>
      <c r="I53" s="1437" t="s">
        <v>836</v>
      </c>
      <c r="J53" s="2166">
        <f ca="1">IF(M47="住宅",IF(D1="——",MAX(J51,L48),MAX(J51,L48-'数据-取费表'!B24)),IF(D1="——",MIN(J51,L48),MIN(J51,L48-'数据-取费表'!B24)))</f>
        <v>23.05</v>
      </c>
      <c r="K53" s="3650" t="s">
        <v>837</v>
      </c>
      <c r="L53" s="3651"/>
      <c r="O53" s="1416" t="s">
        <v>409</v>
      </c>
      <c r="P53" s="1417" t="s">
        <v>838</v>
      </c>
      <c r="Q53" s="1418">
        <f ca="1">Q47+Q48</f>
        <v>3709482</v>
      </c>
      <c r="R53" s="1418" t="s">
        <v>410</v>
      </c>
    </row>
    <row r="54" spans="1:18" s="1382" customFormat="1" ht="13.8"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1" t="s">
        <v>437</v>
      </c>
      <c r="B55" s="1367" t="s">
        <v>703</v>
      </c>
      <c r="C55" s="1082"/>
      <c r="D55" s="1364"/>
      <c r="E55" s="1372"/>
      <c r="F55" s="1438"/>
      <c r="I55" s="1441" t="s">
        <v>840</v>
      </c>
      <c r="J55" s="1442" t="e">
        <f ca="1">ROUND(IF(J47="钢混",J57/J50,1-(1-2%)*(J50-J57)/J50),3)</f>
        <v>#VALUE!</v>
      </c>
      <c r="K55" s="1443" t="s">
        <v>841</v>
      </c>
      <c r="L55" s="1444" t="s">
        <v>3430</v>
      </c>
      <c r="O55" s="1409" t="s">
        <v>811</v>
      </c>
      <c r="P55" s="1410" t="s">
        <v>812</v>
      </c>
      <c r="Q55" s="1411" t="s">
        <v>813</v>
      </c>
      <c r="R55" s="1411" t="s">
        <v>814</v>
      </c>
    </row>
    <row r="56" spans="1:18" s="1382" customFormat="1" ht="36" customHeight="1" thickTop="1" thickBot="1">
      <c r="A56" s="955">
        <v>2</v>
      </c>
      <c r="B56" s="956" t="s">
        <v>704</v>
      </c>
      <c r="C56" s="232">
        <f ca="1">C13</f>
        <v>465223</v>
      </c>
      <c r="D56" s="1445"/>
      <c r="E56" s="1446"/>
      <c r="F56" s="1438"/>
      <c r="I56" s="1447" t="s">
        <v>842</v>
      </c>
      <c r="J56" s="1448" t="s">
        <v>3387</v>
      </c>
      <c r="K56" s="1419" t="s">
        <v>843</v>
      </c>
      <c r="L56" s="1422" t="str">
        <f ca="1">IF(L48&lt;J51,"——",L48-J51)</f>
        <v>——</v>
      </c>
      <c r="O56" s="1416" t="s">
        <v>403</v>
      </c>
      <c r="P56" s="1417" t="s">
        <v>817</v>
      </c>
      <c r="Q56" s="1418">
        <f ca="1">C40+J29</f>
        <v>3709482</v>
      </c>
      <c r="R56" s="1418" t="s">
        <v>818</v>
      </c>
    </row>
    <row r="57" spans="1:18" s="1382" customFormat="1" ht="24.6" thickBot="1">
      <c r="A57" s="1449"/>
      <c r="B57" s="948" t="s">
        <v>767</v>
      </c>
      <c r="C57" s="238">
        <f ca="1">C29</f>
        <v>604186</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6" thickBot="1">
      <c r="A58" s="315" t="s">
        <v>393</v>
      </c>
      <c r="B58" s="956" t="s">
        <v>714</v>
      </c>
      <c r="C58" s="316">
        <f ca="1">ROUND(C59+C64+C65+C66,0)</f>
        <v>6740</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t="str">
        <f>IF(项目基本情况!B11="自然人","——",ROUND(C48*F60/(1+'数据-取费表'!C42),0))</f>
        <v>——</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8" thickBot="1">
      <c r="A61" s="980" t="s">
        <v>781</v>
      </c>
      <c r="B61" s="948" t="s">
        <v>782</v>
      </c>
      <c r="C61" s="21" t="str">
        <f ca="1">IF(项目基本情况!B11="自然人","——",IF(D61="按租金收入计税",ROUND(C49*F61/(1+'数据-取费表'!C42),0),IF(D61="按房产原值计税",ROUND(C57*F61*0.7,0),INDIRECT("'数据-取费表'!Aj"&amp;$G$1))))</f>
        <v>——</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0" t="s">
        <v>784</v>
      </c>
      <c r="B62" s="947" t="s">
        <v>785</v>
      </c>
      <c r="C62" s="22" t="str">
        <f>IF(项目基本情况!B11="自然人","——",ROUND(F62*F63,0))</f>
        <v>——</v>
      </c>
      <c r="D62" s="963" t="s">
        <v>786</v>
      </c>
      <c r="E62" s="948" t="s">
        <v>787</v>
      </c>
      <c r="F62" s="325">
        <f t="shared" si="0"/>
        <v>3</v>
      </c>
      <c r="I62" s="1460" t="s">
        <v>858</v>
      </c>
      <c r="J62" s="1461" t="s">
        <v>859</v>
      </c>
      <c r="K62" s="1461" t="s">
        <v>860</v>
      </c>
      <c r="L62" s="1461" t="s">
        <v>861</v>
      </c>
      <c r="M62" s="1462" t="s">
        <v>862</v>
      </c>
      <c r="O62" s="1416" t="s">
        <v>409</v>
      </c>
      <c r="P62" s="1417" t="s">
        <v>863</v>
      </c>
      <c r="Q62" s="1418">
        <f ca="1">Q56+Q57</f>
        <v>3709482</v>
      </c>
      <c r="R62" s="1418" t="s">
        <v>410</v>
      </c>
    </row>
    <row r="63" spans="1:18" s="1382" customFormat="1" ht="13.8"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0" t="s">
        <v>789</v>
      </c>
      <c r="B64" s="948" t="s">
        <v>790</v>
      </c>
      <c r="C64" s="21">
        <f ca="1">ROUND(C57*F64,0)</f>
        <v>6042</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ROUND(C56*F65,0)</f>
        <v>698</v>
      </c>
      <c r="D65" s="962" t="s">
        <v>743</v>
      </c>
      <c r="E65" s="948" t="s">
        <v>744</v>
      </c>
      <c r="F65" s="330">
        <f t="shared" ca="1" si="0"/>
        <v>1.5E-3</v>
      </c>
      <c r="I65" s="1460" t="s">
        <v>867</v>
      </c>
      <c r="J65" s="1461">
        <v>40</v>
      </c>
      <c r="K65" s="1461">
        <v>30</v>
      </c>
      <c r="L65" s="1461">
        <v>50</v>
      </c>
      <c r="M65" s="1463">
        <v>0.02</v>
      </c>
      <c r="O65" s="1416" t="s">
        <v>403</v>
      </c>
      <c r="P65" s="1417" t="s">
        <v>868</v>
      </c>
      <c r="Q65" s="1418">
        <f ca="1">C40+J29</f>
        <v>3709482</v>
      </c>
      <c r="R65" s="1418" t="s">
        <v>818</v>
      </c>
    </row>
    <row r="66" spans="1:18" s="1382" customFormat="1" ht="16.2"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24.6" thickBot="1">
      <c r="A67" s="955" t="s">
        <v>394</v>
      </c>
      <c r="B67" s="965" t="s">
        <v>752</v>
      </c>
      <c r="C67" s="316">
        <f ca="1">C48-C58</f>
        <v>-6740</v>
      </c>
      <c r="D67" s="961" t="s">
        <v>753</v>
      </c>
      <c r="E67" s="966"/>
      <c r="F67" s="967"/>
      <c r="O67" s="1426" t="s">
        <v>405</v>
      </c>
      <c r="P67" s="1417" t="s">
        <v>850</v>
      </c>
      <c r="Q67" s="1464">
        <f ca="1">L51</f>
        <v>3287376</v>
      </c>
      <c r="R67" s="1418" t="s">
        <v>870</v>
      </c>
    </row>
    <row r="68" spans="1:18" s="1382" customFormat="1" ht="16.2" thickBot="1">
      <c r="A68" s="945" t="s">
        <v>395</v>
      </c>
      <c r="B68" s="946" t="s">
        <v>774</v>
      </c>
      <c r="C68" s="301">
        <f ca="1">ROUND(C67*(1-((1+F70)/(1+F68))^F69)/(F68-F70),0)</f>
        <v>-91020</v>
      </c>
      <c r="D68" s="963" t="s">
        <v>758</v>
      </c>
      <c r="E68" s="948" t="s">
        <v>759</v>
      </c>
      <c r="F68" s="312">
        <f ca="1">F40</f>
        <v>0.05</v>
      </c>
      <c r="O68" s="1426" t="s">
        <v>406</v>
      </c>
      <c r="P68" s="1465" t="s">
        <v>871</v>
      </c>
      <c r="Q68" s="1418">
        <f ca="1">ROUND(Q69-Q70*Q71,0)</f>
        <v>187359</v>
      </c>
      <c r="R68" s="1418" t="s">
        <v>414</v>
      </c>
    </row>
    <row r="69" spans="1:18" s="1382" customFormat="1" ht="13.8" thickBot="1">
      <c r="A69" s="949"/>
      <c r="B69" s="950"/>
      <c r="C69" s="306"/>
      <c r="D69" s="968" t="s">
        <v>762</v>
      </c>
      <c r="E69" s="948" t="s">
        <v>763</v>
      </c>
      <c r="F69" s="333">
        <f ca="1">F41</f>
        <v>23.05</v>
      </c>
      <c r="O69" s="1426" t="s">
        <v>411</v>
      </c>
      <c r="P69" s="1465" t="s">
        <v>872</v>
      </c>
      <c r="Q69" s="1418">
        <f ca="1">C39</f>
        <v>217598</v>
      </c>
      <c r="R69" s="1418" t="s">
        <v>818</v>
      </c>
    </row>
    <row r="70" spans="1:18" s="1382" customFormat="1" ht="13.8" thickBot="1">
      <c r="A70" s="952"/>
      <c r="B70" s="953"/>
      <c r="C70" s="310"/>
      <c r="D70" s="964"/>
      <c r="E70" s="948" t="s">
        <v>766</v>
      </c>
      <c r="F70" s="1052"/>
      <c r="O70" s="1426" t="s">
        <v>412</v>
      </c>
      <c r="P70" s="1465" t="s">
        <v>873</v>
      </c>
      <c r="Q70" s="1418">
        <f ca="1">C13</f>
        <v>465223</v>
      </c>
      <c r="R70" s="1418" t="s">
        <v>818</v>
      </c>
    </row>
    <row r="71" spans="1:18" s="1382" customFormat="1" ht="13.8" thickBot="1">
      <c r="A71" s="969" t="s">
        <v>396</v>
      </c>
      <c r="B71" s="970" t="s">
        <v>776</v>
      </c>
      <c r="C71" s="336">
        <f ca="1">ROUND(C68/F71,0)</f>
        <v>-715</v>
      </c>
      <c r="D71" s="971" t="s">
        <v>777</v>
      </c>
      <c r="E71" s="972" t="s">
        <v>778</v>
      </c>
      <c r="F71" s="339">
        <f ca="1">F43</f>
        <v>127.35</v>
      </c>
      <c r="O71" s="1426" t="s">
        <v>413</v>
      </c>
      <c r="P71" s="1465" t="s">
        <v>874</v>
      </c>
      <c r="Q71" s="1429">
        <f ca="1">C76</f>
        <v>6.5000000000000002E-2</v>
      </c>
      <c r="R71" s="1418"/>
    </row>
    <row r="72" spans="1:18" s="1382" customFormat="1" ht="13.8" thickBot="1">
      <c r="B72" s="724"/>
      <c r="C72" s="724"/>
      <c r="O72" s="1426" t="s">
        <v>407</v>
      </c>
      <c r="P72" s="1417" t="s">
        <v>852</v>
      </c>
      <c r="Q72" s="1429">
        <f>L52</f>
        <v>0</v>
      </c>
      <c r="R72" s="1418"/>
    </row>
    <row r="73" spans="1:18" ht="16.2" thickBot="1">
      <c r="A73" s="1382"/>
      <c r="B73" s="724"/>
      <c r="C73" s="724"/>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30239</v>
      </c>
      <c r="D75" s="1382"/>
      <c r="E75" s="1382"/>
      <c r="F75" s="1382"/>
      <c r="K75" s="1400"/>
      <c r="L75" s="1382"/>
      <c r="O75" s="1416" t="s">
        <v>409</v>
      </c>
      <c r="P75" s="1417" t="s">
        <v>838</v>
      </c>
      <c r="Q75" s="1418">
        <f ca="1">Q65+Q66</f>
        <v>3709482</v>
      </c>
      <c r="R75" s="1418" t="s">
        <v>410</v>
      </c>
    </row>
    <row r="76" spans="1:18">
      <c r="B76" s="342" t="s">
        <v>796</v>
      </c>
      <c r="C76" s="343">
        <f ca="1">INDIRECT("'数据-取费表'!j"&amp;$G$1)</f>
        <v>6.5000000000000002E-2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0.86099999999999999</v>
      </c>
    </row>
    <row r="80" spans="1:18">
      <c r="B80" s="340" t="s">
        <v>800</v>
      </c>
      <c r="C80" s="274">
        <f ca="1">ROUND(C75/C39,3)</f>
        <v>0.13900000000000001</v>
      </c>
    </row>
    <row r="81" spans="2:3">
      <c r="B81" s="270" t="s">
        <v>801</v>
      </c>
      <c r="C81" s="238"/>
    </row>
    <row r="82" spans="2:3">
      <c r="B82" s="273" t="s">
        <v>802</v>
      </c>
      <c r="C82" s="275">
        <f ca="1">1-C83</f>
        <v>0.875</v>
      </c>
    </row>
    <row r="83" spans="2:3">
      <c r="B83" s="273" t="s">
        <v>803</v>
      </c>
      <c r="C83" s="274">
        <f ca="1">ROUND(C13/C40,3)</f>
        <v>0.125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v>
      </c>
    </row>
    <row r="4" spans="1:1" ht="17.399999999999999">
      <c r="A4" s="1478" t="str">
        <f>"受贵公司委托，我公司对"&amp;项目基本情况!S1&amp;"进行了预评估。"</f>
        <v>受贵公司委托，我公司对北京市进行了预评估。</v>
      </c>
    </row>
    <row r="5" spans="1:1" ht="17.399999999999999">
      <c r="A5" s="1479" t="s">
        <v>899</v>
      </c>
    </row>
    <row r="6" spans="1:1" ht="17.399999999999999">
      <c r="A6" s="1480" t="s">
        <v>900</v>
      </c>
    </row>
    <row r="7" spans="1:1" ht="52.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估价对象为北京市房地产，为所有。根据《国有土地使用证》[]，估价对象（分摊）出让国有建设用地使用权面积为0平方米，建筑面积为127.35平方米。</v>
      </c>
    </row>
    <row r="8" spans="1:1" ht="54.6">
      <c r="A8" s="1481" t="s">
        <v>901</v>
      </c>
    </row>
    <row r="9" spans="1:1" ht="17.399999999999999">
      <c r="A9" s="1480" t="s">
        <v>902</v>
      </c>
    </row>
    <row r="10" spans="1:1" ht="52.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估价对象为北京市房地产,属开发建设的，该项目尚在开发建设中。根据《国有土地使用证》[]，估价对象（分摊）出让国有建设用地使用权面积为0平方米，规划建筑面积为127.35平方米。</v>
      </c>
    </row>
    <row r="11" spans="1:1" ht="72">
      <c r="A11" s="1481" t="s">
        <v>903</v>
      </c>
    </row>
    <row r="12" spans="1:1" ht="17.399999999999999">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7.399999999999999">
      <c r="A14" s="1483" t="s">
        <v>905</v>
      </c>
    </row>
    <row r="15" spans="1:1" ht="17.399999999999999">
      <c r="A15" s="1484" t="str">
        <f>TEXT(项目基本情况!D3,"yyyy年m月d日;;")&amp;IF(项目基本情况!D3=项目基本情况!B3,"（评估专业人员实地查勘之日）","")</f>
        <v>2024年7月18日（评估专业人员实地查勘之日）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3" t="s">
        <v>896</v>
      </c>
    </row>
    <row r="24" spans="1:1" ht="17.399999999999999">
      <c r="A24" s="1485" t="str">
        <f>"本次评估采用的主估价方法为"&amp;结果表!K4&amp;"和"&amp;结果表!L4&amp;"。"</f>
        <v>本次评估采用的主估价方法为成本法和收益法。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2" customHeight="1">
      <c r="A2" s="1383" t="s">
        <v>2317</v>
      </c>
      <c r="B2" s="2841" t="e">
        <f>IF(D2="——",C40,C40+E2)</f>
        <v>#DIV/0!</v>
      </c>
      <c r="C2" s="2842" t="s">
        <v>2318</v>
      </c>
      <c r="D2" s="3441" t="s">
        <v>3360</v>
      </c>
      <c r="E2" s="3442"/>
      <c r="F2" s="2844"/>
      <c r="G2" s="2845"/>
      <c r="H2" s="2846"/>
      <c r="I2" s="2847"/>
      <c r="J2" s="3680" t="s">
        <v>2319</v>
      </c>
      <c r="K2" s="3681"/>
      <c r="L2" s="2848" t="s">
        <v>2320</v>
      </c>
      <c r="M2" s="2848" t="s">
        <v>2321</v>
      </c>
      <c r="N2" s="2848" t="s">
        <v>2322</v>
      </c>
      <c r="O2" s="2848" t="s">
        <v>2323</v>
      </c>
      <c r="P2" s="2848" t="s">
        <v>2324</v>
      </c>
      <c r="Q2" s="2849" t="s">
        <v>2325</v>
      </c>
      <c r="R2" s="2850" t="s">
        <v>2326</v>
      </c>
      <c r="S2" s="2839"/>
      <c r="T2" s="2839"/>
      <c r="U2" s="2839"/>
      <c r="V2" s="2847"/>
    </row>
    <row r="3" spans="1:22" s="2851" customFormat="1" ht="13.2" customHeight="1">
      <c r="A3" s="2852" t="s">
        <v>2327</v>
      </c>
      <c r="B3" s="2853" t="e">
        <f>ROUND(B2*10000/B4,0)</f>
        <v>#DIV/0!</v>
      </c>
      <c r="C3" s="2842" t="s">
        <v>2328</v>
      </c>
      <c r="D3" s="2842"/>
      <c r="E3" s="2843"/>
      <c r="F3" s="2844"/>
      <c r="G3" s="2845"/>
      <c r="H3" s="2846"/>
      <c r="I3" s="2847"/>
      <c r="J3" s="3682" t="s">
        <v>2329</v>
      </c>
      <c r="K3" s="3683"/>
      <c r="L3" s="2854"/>
      <c r="M3" s="2854"/>
      <c r="N3" s="2854"/>
      <c r="O3" s="2854"/>
      <c r="P3" s="2854"/>
      <c r="Q3" s="2855"/>
      <c r="R3" s="2856">
        <f>SUM(L3:Q3)</f>
        <v>0</v>
      </c>
      <c r="S3" s="2839"/>
      <c r="T3" s="2839"/>
      <c r="U3" s="2839"/>
      <c r="V3" s="2847"/>
    </row>
    <row r="4" spans="1:22" s="2851" customFormat="1" ht="13.2" customHeight="1">
      <c r="A4" s="2857" t="s">
        <v>2330</v>
      </c>
      <c r="B4" s="2858"/>
      <c r="C4" s="2842"/>
      <c r="D4" s="2842"/>
      <c r="E4" s="2843"/>
      <c r="F4" s="2844"/>
      <c r="G4" s="2845"/>
      <c r="H4" s="2846"/>
      <c r="I4" s="2847"/>
      <c r="J4" s="3682" t="s">
        <v>2331</v>
      </c>
      <c r="K4" s="3683"/>
      <c r="L4" s="2859"/>
      <c r="M4" s="2859"/>
      <c r="N4" s="2859"/>
      <c r="O4" s="2859"/>
      <c r="P4" s="2859"/>
      <c r="Q4" s="2860"/>
      <c r="R4" s="2861">
        <f>SUM(L4:Q4)</f>
        <v>0</v>
      </c>
      <c r="S4" s="2839"/>
      <c r="T4" s="2839"/>
      <c r="U4" s="2839"/>
      <c r="V4" s="2847"/>
    </row>
    <row r="5" spans="1:22" s="2851" customFormat="1" ht="13.2"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2" customHeight="1" thickBot="1">
      <c r="A6" s="3688" t="s">
        <v>2335</v>
      </c>
      <c r="B6" s="3689"/>
      <c r="C6" s="3690"/>
      <c r="D6" s="2868"/>
      <c r="E6" s="2869"/>
      <c r="F6" s="2870"/>
      <c r="G6" s="2871"/>
      <c r="H6" s="2846"/>
      <c r="I6" s="2847"/>
      <c r="J6" s="3674">
        <v>1</v>
      </c>
      <c r="K6" s="3675"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2" customHeight="1">
      <c r="A7" s="2874" t="s">
        <v>2345</v>
      </c>
      <c r="B7" s="2875"/>
      <c r="C7" s="2876"/>
      <c r="D7" s="2877">
        <f>SUM(D9,D10,D11,D17,0)</f>
        <v>0</v>
      </c>
      <c r="E7" s="2878" t="e">
        <f>E9+E10+E11+E17</f>
        <v>#DIV/0!</v>
      </c>
      <c r="F7" s="2879"/>
      <c r="G7" s="2880"/>
      <c r="H7" s="2846"/>
      <c r="I7" s="2847"/>
      <c r="J7" s="3674"/>
      <c r="K7" s="3676"/>
      <c r="L7" s="2881" t="s">
        <v>2346</v>
      </c>
      <c r="M7" s="2882"/>
      <c r="N7" s="2858"/>
      <c r="O7" s="2883"/>
      <c r="P7" s="2883"/>
      <c r="Q7" s="2884">
        <v>365</v>
      </c>
      <c r="R7" s="2885">
        <f>ROUND(M7*N7*O7*P7*Q7/10000,0)</f>
        <v>0</v>
      </c>
      <c r="S7" s="2839"/>
      <c r="T7" s="2839" t="s">
        <v>2347</v>
      </c>
      <c r="U7" s="2839"/>
      <c r="V7" s="2847"/>
    </row>
    <row r="8" spans="1:22" s="2851" customFormat="1" ht="13.2" customHeight="1">
      <c r="A8" s="2886" t="s">
        <v>2348</v>
      </c>
      <c r="B8" s="3691" t="s">
        <v>2349</v>
      </c>
      <c r="C8" s="3692"/>
      <c r="D8" s="2887" t="s">
        <v>2350</v>
      </c>
      <c r="E8" s="2888" t="s">
        <v>2351</v>
      </c>
      <c r="F8" s="2889" t="s">
        <v>2352</v>
      </c>
      <c r="G8" s="2890"/>
      <c r="H8" s="2846"/>
      <c r="I8" s="2847"/>
      <c r="J8" s="3674"/>
      <c r="K8" s="3676"/>
      <c r="L8" s="2881" t="s">
        <v>2353</v>
      </c>
      <c r="M8" s="2882"/>
      <c r="N8" s="2858"/>
      <c r="O8" s="2883"/>
      <c r="P8" s="2883"/>
      <c r="Q8" s="2884">
        <v>365</v>
      </c>
      <c r="R8" s="2885">
        <f t="shared" ref="R8:R13" si="0">ROUND(M8*N8*O8*P8*Q8/10000,0)</f>
        <v>0</v>
      </c>
      <c r="S8" s="2839"/>
      <c r="T8" s="2839" t="s">
        <v>2354</v>
      </c>
      <c r="U8" s="2839"/>
      <c r="V8" s="2847"/>
    </row>
    <row r="9" spans="1:22" s="2851" customFormat="1" ht="13.2" customHeight="1">
      <c r="A9" s="2886">
        <v>1</v>
      </c>
      <c r="B9" s="3691" t="s">
        <v>2355</v>
      </c>
      <c r="C9" s="3692"/>
      <c r="D9" s="2887">
        <f>ROUND(D6*E9,0)</f>
        <v>0</v>
      </c>
      <c r="E9" s="2891"/>
      <c r="F9" s="2892" t="s">
        <v>2356</v>
      </c>
      <c r="G9" s="2871"/>
      <c r="H9" s="2846"/>
      <c r="I9" s="2847"/>
      <c r="J9" s="3674"/>
      <c r="K9" s="3676"/>
      <c r="L9" s="2881" t="s">
        <v>2357</v>
      </c>
      <c r="M9" s="2882"/>
      <c r="N9" s="2858"/>
      <c r="O9" s="2883"/>
      <c r="P9" s="2883"/>
      <c r="Q9" s="2884">
        <v>365</v>
      </c>
      <c r="R9" s="2885">
        <f t="shared" si="0"/>
        <v>0</v>
      </c>
      <c r="S9" s="2839"/>
      <c r="T9" s="2839"/>
      <c r="U9" s="2839"/>
      <c r="V9" s="2847"/>
    </row>
    <row r="10" spans="1:22" s="2851" customFormat="1" ht="13.2" customHeight="1">
      <c r="A10" s="2886">
        <v>2</v>
      </c>
      <c r="B10" s="3691" t="s">
        <v>2358</v>
      </c>
      <c r="C10" s="3692"/>
      <c r="D10" s="2887">
        <f>ROUND(D6*E10,0)</f>
        <v>0</v>
      </c>
      <c r="E10" s="2891"/>
      <c r="F10" s="2892" t="s">
        <v>2359</v>
      </c>
      <c r="G10" s="2871"/>
      <c r="H10" s="2846"/>
      <c r="I10" s="2847"/>
      <c r="J10" s="3674"/>
      <c r="K10" s="3676"/>
      <c r="L10" s="2881" t="s">
        <v>2360</v>
      </c>
      <c r="M10" s="2882"/>
      <c r="N10" s="2858"/>
      <c r="O10" s="2883"/>
      <c r="P10" s="2883"/>
      <c r="Q10" s="2884">
        <v>365</v>
      </c>
      <c r="R10" s="2885">
        <f t="shared" si="0"/>
        <v>0</v>
      </c>
      <c r="S10" s="2839"/>
      <c r="T10" s="2839"/>
      <c r="U10" s="2839"/>
      <c r="V10" s="2847"/>
    </row>
    <row r="11" spans="1:22" s="2851" customFormat="1" ht="13.2" customHeight="1">
      <c r="A11" s="2886">
        <v>3</v>
      </c>
      <c r="B11" s="3691" t="s">
        <v>2361</v>
      </c>
      <c r="C11" s="3692"/>
      <c r="D11" s="2887">
        <f>D12+D14+D15+D16</f>
        <v>0</v>
      </c>
      <c r="E11" s="2893" t="e">
        <f>D11/D6</f>
        <v>#DIV/0!</v>
      </c>
      <c r="F11" s="2889"/>
      <c r="G11" s="2890"/>
      <c r="H11" s="2846"/>
      <c r="I11" s="2847"/>
      <c r="J11" s="3674"/>
      <c r="K11" s="3676"/>
      <c r="L11" s="2881" t="s">
        <v>2362</v>
      </c>
      <c r="M11" s="2882"/>
      <c r="N11" s="2858"/>
      <c r="O11" s="2883"/>
      <c r="P11" s="2883"/>
      <c r="Q11" s="2884">
        <v>365</v>
      </c>
      <c r="R11" s="2885">
        <f t="shared" si="0"/>
        <v>0</v>
      </c>
      <c r="S11" s="2839"/>
      <c r="T11" s="2839"/>
      <c r="U11" s="2839"/>
      <c r="V11" s="2847"/>
    </row>
    <row r="12" spans="1:22" s="2851" customFormat="1" ht="13.2" customHeight="1">
      <c r="A12" s="2894" t="s">
        <v>2363</v>
      </c>
      <c r="B12" s="3684" t="s">
        <v>2364</v>
      </c>
      <c r="C12" s="3685"/>
      <c r="D12" s="2895">
        <f>ROUND(D13*1.2%*(1-30%),0)</f>
        <v>0</v>
      </c>
      <c r="E12" s="2896">
        <v>1.2E-2</v>
      </c>
      <c r="F12" s="2889" t="s">
        <v>2365</v>
      </c>
      <c r="G12" s="2890"/>
      <c r="H12" s="2846"/>
      <c r="I12" s="2847"/>
      <c r="J12" s="3674"/>
      <c r="K12" s="3676"/>
      <c r="L12" s="2881" t="s">
        <v>2366</v>
      </c>
      <c r="M12" s="2882"/>
      <c r="N12" s="2858"/>
      <c r="O12" s="2883"/>
      <c r="P12" s="2883"/>
      <c r="Q12" s="2884">
        <v>365</v>
      </c>
      <c r="R12" s="2885">
        <f t="shared" si="0"/>
        <v>0</v>
      </c>
      <c r="S12" s="2839"/>
      <c r="T12" s="2839"/>
      <c r="U12" s="2839"/>
      <c r="V12" s="2847"/>
    </row>
    <row r="13" spans="1:22" s="2851" customFormat="1" ht="13.2" customHeight="1">
      <c r="A13" s="2894"/>
      <c r="B13" s="2897"/>
      <c r="C13" s="2898" t="s">
        <v>2367</v>
      </c>
      <c r="D13" s="2899"/>
      <c r="E13" s="2900"/>
      <c r="F13" s="2889"/>
      <c r="G13" s="2890"/>
      <c r="H13" s="2846"/>
      <c r="I13" s="2847"/>
      <c r="J13" s="3674"/>
      <c r="K13" s="3676"/>
      <c r="L13" s="2881" t="s">
        <v>2368</v>
      </c>
      <c r="M13" s="2882"/>
      <c r="N13" s="2858"/>
      <c r="O13" s="2883"/>
      <c r="P13" s="2883"/>
      <c r="Q13" s="2884">
        <v>365</v>
      </c>
      <c r="R13" s="2885">
        <f t="shared" si="0"/>
        <v>0</v>
      </c>
      <c r="S13" s="2839"/>
      <c r="T13" s="2839"/>
      <c r="U13" s="2839"/>
      <c r="V13" s="2847"/>
    </row>
    <row r="14" spans="1:22" s="2851" customFormat="1" ht="13.2" customHeight="1">
      <c r="A14" s="2894" t="s">
        <v>2369</v>
      </c>
      <c r="B14" s="3684" t="s">
        <v>2370</v>
      </c>
      <c r="C14" s="3685"/>
      <c r="D14" s="2895">
        <f>ROUND(E14*B5/10000,0)</f>
        <v>0</v>
      </c>
      <c r="E14" s="2884"/>
      <c r="F14" s="2889" t="s">
        <v>2371</v>
      </c>
      <c r="G14" s="2890"/>
      <c r="H14" s="2846"/>
      <c r="I14" s="2847"/>
      <c r="J14" s="3674"/>
      <c r="K14" s="3677"/>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2373</v>
      </c>
      <c r="B15" s="3684" t="s">
        <v>2374</v>
      </c>
      <c r="C15" s="3685"/>
      <c r="D15" s="2895">
        <f>ROUND(D6*E15,0)</f>
        <v>0</v>
      </c>
      <c r="E15" s="2896">
        <v>5.5E-2</v>
      </c>
      <c r="F15" s="2889" t="s">
        <v>2375</v>
      </c>
      <c r="G15" s="2871"/>
      <c r="H15" s="2846"/>
      <c r="I15" s="2847"/>
      <c r="J15" s="3674">
        <v>2</v>
      </c>
      <c r="K15" s="3675"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2" customHeight="1">
      <c r="A16" s="2894" t="s">
        <v>2382</v>
      </c>
      <c r="B16" s="3684" t="s">
        <v>2383</v>
      </c>
      <c r="C16" s="3685"/>
      <c r="D16" s="2906">
        <f>D6*E16</f>
        <v>0</v>
      </c>
      <c r="E16" s="2907"/>
      <c r="F16" s="2892" t="s">
        <v>2384</v>
      </c>
      <c r="G16" s="2871"/>
      <c r="H16" s="2846"/>
      <c r="I16" s="2847"/>
      <c r="J16" s="3674"/>
      <c r="K16" s="3676"/>
      <c r="L16" s="2881" t="s">
        <v>2385</v>
      </c>
      <c r="M16" s="2882"/>
      <c r="N16" s="2882"/>
      <c r="O16" s="2883"/>
      <c r="P16" s="2884">
        <v>365</v>
      </c>
      <c r="Q16" s="2858"/>
      <c r="R16" s="2905">
        <f>ROUND(M16*N16*O16*P16/10000,0)</f>
        <v>0</v>
      </c>
      <c r="S16" s="2839"/>
      <c r="T16" s="2839"/>
      <c r="U16" s="2839"/>
      <c r="V16" s="2847"/>
    </row>
    <row r="17" spans="1:22" s="2851" customFormat="1" ht="13.2" customHeight="1" thickBot="1">
      <c r="A17" s="2908">
        <v>4</v>
      </c>
      <c r="B17" s="3686" t="s">
        <v>2386</v>
      </c>
      <c r="C17" s="3687"/>
      <c r="D17" s="2909">
        <f>ROUND(D6*E17,0)</f>
        <v>0</v>
      </c>
      <c r="E17" s="2910"/>
      <c r="F17" s="2911" t="s">
        <v>2387</v>
      </c>
      <c r="G17" s="2871"/>
      <c r="H17" s="2846"/>
      <c r="I17" s="2847"/>
      <c r="J17" s="3674"/>
      <c r="K17" s="3676"/>
      <c r="L17" s="2881" t="s">
        <v>2388</v>
      </c>
      <c r="M17" s="2882"/>
      <c r="N17" s="2882"/>
      <c r="O17" s="2883"/>
      <c r="P17" s="2884">
        <v>365</v>
      </c>
      <c r="Q17" s="2858"/>
      <c r="R17" s="2905">
        <f>ROUND(M17*N17*O17*P17/10000,0)</f>
        <v>0</v>
      </c>
      <c r="S17" s="2839"/>
      <c r="T17" s="2839"/>
      <c r="U17" s="2839"/>
      <c r="V17" s="2847"/>
    </row>
    <row r="18" spans="1:22" s="2851" customFormat="1" ht="13.2" customHeight="1" thickBot="1">
      <c r="A18" s="2874" t="s">
        <v>2389</v>
      </c>
      <c r="B18" s="2875"/>
      <c r="C18" s="2875"/>
      <c r="D18" s="2912">
        <f>ROUND(D6*E18,0)</f>
        <v>0</v>
      </c>
      <c r="E18" s="2913"/>
      <c r="F18" s="2914" t="s">
        <v>2390</v>
      </c>
      <c r="G18" s="2871"/>
      <c r="H18" s="2846"/>
      <c r="I18" s="2847"/>
      <c r="J18" s="3674"/>
      <c r="K18" s="3676"/>
      <c r="L18" s="2881" t="s">
        <v>2391</v>
      </c>
      <c r="M18" s="2882"/>
      <c r="N18" s="2882"/>
      <c r="O18" s="2883"/>
      <c r="P18" s="2884">
        <v>365</v>
      </c>
      <c r="Q18" s="2858"/>
      <c r="R18" s="2905">
        <f>ROUND(M18*N18*O18*P18/10000,0)</f>
        <v>0</v>
      </c>
      <c r="S18" s="2839"/>
      <c r="T18" s="2839"/>
      <c r="U18" s="2839"/>
      <c r="V18" s="2847"/>
    </row>
    <row r="19" spans="1:22" s="2851" customFormat="1" ht="13.2" customHeight="1" thickBot="1">
      <c r="A19" s="2915" t="s">
        <v>2392</v>
      </c>
      <c r="B19" s="2869"/>
      <c r="C19" s="2869"/>
      <c r="D19" s="2869"/>
      <c r="E19" s="2869"/>
      <c r="F19" s="2870"/>
      <c r="G19" s="2890"/>
      <c r="H19" s="2846"/>
      <c r="I19" s="2847"/>
      <c r="J19" s="3674"/>
      <c r="K19" s="3677"/>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674">
        <v>3</v>
      </c>
      <c r="K20" s="3675"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2" customHeight="1">
      <c r="A21" s="2874"/>
      <c r="B21" s="2875"/>
      <c r="C21" s="2921" t="s">
        <v>2401</v>
      </c>
      <c r="D21" s="2922" t="s">
        <v>2402</v>
      </c>
      <c r="E21" s="2923" t="s">
        <v>2403</v>
      </c>
      <c r="F21" s="2918"/>
      <c r="G21" s="2890"/>
      <c r="H21" s="2846"/>
      <c r="I21" s="2847"/>
      <c r="J21" s="3674"/>
      <c r="K21" s="3676"/>
      <c r="L21" s="2881" t="s">
        <v>2404</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2405</v>
      </c>
      <c r="D22" s="2926" t="s">
        <v>2406</v>
      </c>
      <c r="E22" s="2927" t="s">
        <v>2407</v>
      </c>
      <c r="F22" s="2918"/>
      <c r="G22" s="2928"/>
      <c r="H22" s="2846"/>
      <c r="I22" s="2847"/>
      <c r="J22" s="3674"/>
      <c r="K22" s="3676"/>
      <c r="L22" s="2881" t="s">
        <v>2408</v>
      </c>
      <c r="M22" s="2882"/>
      <c r="N22" s="2882"/>
      <c r="O22" s="2883"/>
      <c r="P22" s="2884">
        <v>365</v>
      </c>
      <c r="Q22" s="2858"/>
      <c r="R22" s="2924">
        <f>ROUND(M22*N22*O22*P22/10000,0)</f>
        <v>0</v>
      </c>
      <c r="S22" s="2920"/>
      <c r="T22" s="2920"/>
      <c r="U22" s="2920"/>
      <c r="V22" s="2847"/>
    </row>
    <row r="23" spans="1:22" s="2851" customFormat="1" ht="13.2" customHeight="1">
      <c r="A23" s="2929">
        <v>1</v>
      </c>
      <c r="B23" s="2930" t="s">
        <v>2409</v>
      </c>
      <c r="C23" s="2931">
        <f>D6</f>
        <v>0</v>
      </c>
      <c r="D23" s="2932">
        <f>C23*(1+D24)</f>
        <v>0</v>
      </c>
      <c r="E23" s="2933">
        <f>D23*(1+E24)</f>
        <v>0</v>
      </c>
      <c r="F23" s="2934"/>
      <c r="G23" s="2935"/>
      <c r="H23" s="2846"/>
      <c r="I23" s="2847"/>
      <c r="J23" s="3674"/>
      <c r="K23" s="3676"/>
      <c r="L23" s="2881" t="s">
        <v>2410</v>
      </c>
      <c r="M23" s="2882"/>
      <c r="N23" s="2882"/>
      <c r="O23" s="2883"/>
      <c r="P23" s="2884">
        <v>365</v>
      </c>
      <c r="Q23" s="2858"/>
      <c r="R23" s="2924">
        <f>ROUND(M23*N23*O23*P23/10000,0)</f>
        <v>0</v>
      </c>
      <c r="S23" s="2839"/>
      <c r="T23" s="2839"/>
      <c r="U23" s="2839"/>
      <c r="V23" s="2847"/>
    </row>
    <row r="24" spans="1:22" s="2851" customFormat="1" ht="13.2" customHeight="1">
      <c r="A24" s="2936"/>
      <c r="B24" s="2937" t="s">
        <v>2411</v>
      </c>
      <c r="C24" s="2938"/>
      <c r="D24" s="2939"/>
      <c r="E24" s="2940"/>
      <c r="F24" s="2941"/>
      <c r="G24" s="2935"/>
      <c r="H24" s="2846"/>
      <c r="I24" s="2847"/>
      <c r="J24" s="3674"/>
      <c r="K24" s="3677"/>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2" customHeight="1">
      <c r="A26" s="2929">
        <v>2</v>
      </c>
      <c r="B26" s="2930" t="s">
        <v>2413</v>
      </c>
      <c r="C26" s="2931">
        <f>D7</f>
        <v>0</v>
      </c>
      <c r="D26" s="2932">
        <f>D23*D27</f>
        <v>0</v>
      </c>
      <c r="E26" s="2933">
        <f>E23*E27</f>
        <v>0</v>
      </c>
      <c r="F26" s="2934"/>
      <c r="G26" s="2935"/>
      <c r="H26" s="2846"/>
      <c r="I26" s="2847"/>
      <c r="J26" s="3678">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2" customHeight="1">
      <c r="A27" s="2936"/>
      <c r="B27" s="2937" t="s">
        <v>2419</v>
      </c>
      <c r="C27" s="2955" t="e">
        <f>E7</f>
        <v>#DIV/0!</v>
      </c>
      <c r="D27" s="2939"/>
      <c r="E27" s="2940"/>
      <c r="F27" s="2941"/>
      <c r="G27" s="2935"/>
      <c r="H27" s="2956"/>
      <c r="I27" s="2947"/>
      <c r="J27" s="3679"/>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2"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2" customHeight="1">
      <c r="A32" s="2929">
        <v>4</v>
      </c>
      <c r="B32" s="2930" t="s">
        <v>2427</v>
      </c>
      <c r="C32" s="2931">
        <f>C23-C26-C29</f>
        <v>0</v>
      </c>
      <c r="D32" s="2932">
        <f>D23-D26-D29</f>
        <v>0</v>
      </c>
      <c r="E32" s="2933">
        <f>E23-E26-E29</f>
        <v>0</v>
      </c>
      <c r="F32" s="2934"/>
      <c r="G32" s="2928"/>
      <c r="H32" s="2846"/>
      <c r="I32" s="2847"/>
      <c r="J32" s="3680" t="s">
        <v>2319</v>
      </c>
      <c r="K32" s="3681"/>
      <c r="L32" s="2848" t="s">
        <v>2320</v>
      </c>
      <c r="M32" s="2848" t="s">
        <v>2321</v>
      </c>
      <c r="N32" s="2848" t="s">
        <v>2322</v>
      </c>
      <c r="O32" s="2848" t="s">
        <v>2323</v>
      </c>
      <c r="P32" s="2848" t="s">
        <v>2324</v>
      </c>
      <c r="Q32" s="2849" t="s">
        <v>2325</v>
      </c>
      <c r="R32" s="2971" t="s">
        <v>2326</v>
      </c>
      <c r="S32" s="2920"/>
      <c r="T32" s="2839"/>
      <c r="U32" s="2839"/>
      <c r="V32" s="2947"/>
    </row>
    <row r="33" spans="1:23" s="2851" customFormat="1" ht="13.2" customHeight="1">
      <c r="A33" s="2929"/>
      <c r="B33" s="2930"/>
      <c r="C33" s="2931"/>
      <c r="D33" s="2972"/>
      <c r="E33" s="2973"/>
      <c r="F33" s="2934"/>
      <c r="G33" s="2928"/>
      <c r="H33" s="2956"/>
      <c r="I33" s="2947"/>
      <c r="J33" s="3682" t="s">
        <v>2329</v>
      </c>
      <c r="K33" s="3683"/>
      <c r="L33" s="2854"/>
      <c r="M33" s="2854"/>
      <c r="N33" s="2854"/>
      <c r="O33" s="2854"/>
      <c r="P33" s="2854"/>
      <c r="Q33" s="2855"/>
      <c r="R33" s="2974">
        <f>SUM(L33:Q33)</f>
        <v>0</v>
      </c>
      <c r="S33" s="2920"/>
      <c r="T33" s="2839"/>
      <c r="U33" s="2839"/>
      <c r="V33" s="2847"/>
    </row>
    <row r="34" spans="1:23" s="2851" customFormat="1" ht="13.2" customHeight="1">
      <c r="A34" s="2929">
        <v>5</v>
      </c>
      <c r="B34" s="2930" t="s">
        <v>2428</v>
      </c>
      <c r="C34" s="2975"/>
      <c r="D34" s="2976"/>
      <c r="E34" s="2977"/>
      <c r="F34" s="2934"/>
      <c r="G34" s="2928"/>
      <c r="H34" s="2956"/>
      <c r="I34" s="2947"/>
      <c r="J34" s="3682" t="s">
        <v>2331</v>
      </c>
      <c r="K34" s="3683"/>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2" customHeight="1" thickBot="1">
      <c r="A36" s="2929">
        <v>7</v>
      </c>
      <c r="B36" s="2984" t="s">
        <v>2430</v>
      </c>
      <c r="C36" s="2985"/>
      <c r="D36" s="2986"/>
      <c r="E36" s="2987"/>
      <c r="F36" s="2988">
        <f>C36+D36+E36</f>
        <v>0</v>
      </c>
      <c r="G36" s="2928"/>
      <c r="H36" s="2846"/>
      <c r="I36" s="2847"/>
      <c r="J36" s="3674">
        <v>1</v>
      </c>
      <c r="K36" s="3675" t="s">
        <v>2431</v>
      </c>
      <c r="L36" s="2872"/>
      <c r="M36" s="2873"/>
      <c r="N36" s="2873"/>
      <c r="O36" s="2873"/>
      <c r="P36" s="2873"/>
      <c r="Q36" s="2873"/>
      <c r="R36" s="2856" t="s">
        <v>2343</v>
      </c>
      <c r="S36" s="2920"/>
      <c r="T36" s="2839" t="s">
        <v>2344</v>
      </c>
      <c r="U36" s="2839"/>
      <c r="V36" s="2847"/>
    </row>
    <row r="37" spans="1:23" s="2851" customFormat="1" ht="13.2" customHeight="1">
      <c r="A37" s="2929"/>
      <c r="B37" s="2930"/>
      <c r="C37" s="2930"/>
      <c r="D37" s="2930"/>
      <c r="E37" s="2930"/>
      <c r="F37" s="2934"/>
      <c r="G37" s="2928"/>
      <c r="H37" s="2846"/>
      <c r="I37" s="2847"/>
      <c r="J37" s="3674"/>
      <c r="K37" s="3676"/>
      <c r="L37" s="2881"/>
      <c r="M37" s="2882"/>
      <c r="N37" s="2858"/>
      <c r="O37" s="2883"/>
      <c r="P37" s="2883"/>
      <c r="Q37" s="2884"/>
      <c r="R37" s="2885"/>
      <c r="S37" s="2920"/>
      <c r="T37" s="2839" t="s">
        <v>2347</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674"/>
      <c r="K38" s="3676"/>
      <c r="L38" s="2881"/>
      <c r="M38" s="2882"/>
      <c r="N38" s="2858"/>
      <c r="O38" s="2883"/>
      <c r="P38" s="2883"/>
      <c r="Q38" s="2884"/>
      <c r="R38" s="2885"/>
      <c r="S38" s="2920"/>
      <c r="T38" s="2839" t="s">
        <v>2354</v>
      </c>
      <c r="U38" s="2839"/>
      <c r="V38" s="2847"/>
    </row>
    <row r="39" spans="1:23" s="2851" customFormat="1" ht="13.2" customHeight="1">
      <c r="A39" s="2929">
        <v>9</v>
      </c>
      <c r="B39" s="2930" t="s">
        <v>2432</v>
      </c>
      <c r="C39" s="2895" t="e">
        <f>C38</f>
        <v>#DIV/0!</v>
      </c>
      <c r="D39" s="2930">
        <f>D38/(1+D34)^C36</f>
        <v>0</v>
      </c>
      <c r="E39" s="2930">
        <f>E38/(1+E34)^(C36+D36)</f>
        <v>0</v>
      </c>
      <c r="F39" s="2934"/>
      <c r="G39" s="2989"/>
      <c r="H39" s="2846"/>
      <c r="I39" s="2847"/>
      <c r="J39" s="3674"/>
      <c r="K39" s="3676"/>
      <c r="L39" s="2881"/>
      <c r="M39" s="2882"/>
      <c r="N39" s="2858"/>
      <c r="O39" s="2883"/>
      <c r="P39" s="2883"/>
      <c r="Q39" s="2884"/>
      <c r="R39" s="2885"/>
      <c r="S39" s="2920"/>
      <c r="T39" s="2839"/>
      <c r="U39" s="2839"/>
      <c r="V39" s="2847"/>
    </row>
    <row r="40" spans="1:23" s="2851" customFormat="1" ht="13.2" customHeight="1">
      <c r="A40" s="2990">
        <v>10</v>
      </c>
      <c r="B40" s="2930" t="s">
        <v>2433</v>
      </c>
      <c r="C40" s="2991" t="e">
        <f>C39+D39+E39</f>
        <v>#DIV/0!</v>
      </c>
      <c r="D40" s="2992"/>
      <c r="E40" s="2992"/>
      <c r="F40" s="2993"/>
      <c r="G40" s="2928"/>
      <c r="H40" s="2846"/>
      <c r="I40" s="2847"/>
      <c r="J40" s="3674"/>
      <c r="K40" s="3677"/>
      <c r="L40" s="2901" t="s">
        <v>2372</v>
      </c>
      <c r="M40" s="2902"/>
      <c r="N40" s="2902"/>
      <c r="O40" s="2903"/>
      <c r="P40" s="2903"/>
      <c r="Q40" s="2904"/>
      <c r="R40" s="2850">
        <f>SUM(R37:R39)</f>
        <v>0</v>
      </c>
      <c r="S40" s="2920"/>
      <c r="T40" s="2839"/>
      <c r="U40" s="2839"/>
      <c r="V40" s="2847"/>
    </row>
    <row r="41" spans="1:23" s="2851" customFormat="1" ht="13.2"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2" customHeight="1">
      <c r="G42" s="2998"/>
      <c r="H42" s="2846"/>
      <c r="I42" s="2847"/>
      <c r="J42" s="3678">
        <v>3</v>
      </c>
      <c r="K42" s="2949" t="s">
        <v>2414</v>
      </c>
      <c r="L42" s="2950"/>
      <c r="M42" s="2951"/>
      <c r="N42" s="2952" t="s">
        <v>2415</v>
      </c>
      <c r="O42" s="2952" t="s">
        <v>2416</v>
      </c>
      <c r="P42" s="2953" t="s">
        <v>2417</v>
      </c>
      <c r="Q42" s="2953" t="s">
        <v>2418</v>
      </c>
      <c r="R42" s="2856" t="s">
        <v>2343</v>
      </c>
      <c r="S42" s="2954"/>
      <c r="T42" s="2954"/>
      <c r="U42" s="2839"/>
      <c r="V42" s="2847"/>
    </row>
    <row r="43" spans="1:23" ht="13.2" customHeight="1">
      <c r="A43" s="2851"/>
      <c r="B43" s="2851"/>
      <c r="C43" s="2851"/>
      <c r="D43" s="2851"/>
      <c r="E43" s="2851"/>
      <c r="F43" s="2851"/>
      <c r="I43" s="2834"/>
      <c r="J43" s="3679"/>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1658</v>
      </c>
      <c r="B1" s="1866"/>
      <c r="C1" s="1866"/>
      <c r="D1" s="1866"/>
      <c r="E1" s="1867"/>
      <c r="F1" s="2705"/>
      <c r="G1" s="1487"/>
      <c r="H1" s="1487"/>
      <c r="I1" s="1487"/>
      <c r="J1" s="1487"/>
      <c r="K1" s="1487"/>
      <c r="L1" s="1487"/>
      <c r="M1" s="1487"/>
      <c r="N1" s="1487"/>
      <c r="O1" s="1487"/>
      <c r="P1" s="1487"/>
      <c r="Q1" s="1487"/>
      <c r="R1" s="1487"/>
      <c r="S1" s="1487"/>
    </row>
    <row r="2" spans="1:22" ht="15.6">
      <c r="A2" s="1868" t="s">
        <v>1462</v>
      </c>
      <c r="B2" s="1869">
        <f ca="1">SUMIF(B6:B13,"&lt;&gt;#ref!",B6:B13)</f>
        <v>370.94819999999999</v>
      </c>
      <c r="C2" s="1870" t="s">
        <v>1651</v>
      </c>
      <c r="D2" s="1871" t="s">
        <v>1652</v>
      </c>
      <c r="E2" s="2605">
        <f>SUM(E6:E13)</f>
        <v>127.35</v>
      </c>
      <c r="F2" s="2705"/>
      <c r="G2" s="1487"/>
      <c r="H2" s="1487"/>
      <c r="I2" s="1487"/>
      <c r="J2" s="1487"/>
      <c r="K2" s="1487"/>
      <c r="L2" s="1487"/>
      <c r="M2" s="1487"/>
      <c r="N2" s="1487"/>
      <c r="O2" s="1487"/>
      <c r="P2" s="1487"/>
      <c r="Q2" s="1487"/>
      <c r="R2" s="1487"/>
      <c r="S2" s="1487"/>
    </row>
    <row r="3" spans="1:22" ht="15.6">
      <c r="A3" s="1868" t="s">
        <v>686</v>
      </c>
      <c r="B3" s="2599">
        <f ca="1">ROUND(B2*10000/E2,0)</f>
        <v>29128</v>
      </c>
      <c r="C3" s="1870" t="s">
        <v>1659</v>
      </c>
      <c r="D3" s="2707"/>
      <c r="E3" s="2709"/>
      <c r="F3" s="2705"/>
      <c r="G3" s="1487"/>
      <c r="H3" s="1487"/>
      <c r="I3" s="1487"/>
      <c r="J3" s="1487"/>
      <c r="K3" s="1487"/>
      <c r="L3" s="1487"/>
      <c r="M3" s="1487"/>
      <c r="N3" s="1487"/>
      <c r="O3" s="1487"/>
      <c r="P3" s="1487"/>
      <c r="Q3" s="1487"/>
      <c r="R3" s="1487"/>
      <c r="S3" s="1487"/>
    </row>
    <row r="4" spans="1:22" ht="15.6">
      <c r="A4" s="2710"/>
      <c r="B4" s="2707"/>
      <c r="C4" s="2707"/>
      <c r="D4" s="2707"/>
      <c r="E4" s="2709"/>
      <c r="F4" s="2705"/>
      <c r="G4" s="1487"/>
      <c r="H4" s="1487"/>
      <c r="I4" s="1487"/>
      <c r="J4" s="1487"/>
      <c r="K4" s="1487"/>
      <c r="L4" s="1487"/>
      <c r="M4" s="1487"/>
      <c r="N4" s="1487"/>
      <c r="O4" s="1487"/>
      <c r="P4" s="1487"/>
      <c r="Q4" s="1487"/>
      <c r="R4" s="1487"/>
      <c r="S4" s="1487"/>
    </row>
    <row r="5" spans="1:22" ht="14.4">
      <c r="A5" s="2601" t="s">
        <v>1653</v>
      </c>
      <c r="B5" s="3693" t="s">
        <v>1654</v>
      </c>
      <c r="C5" s="3694"/>
      <c r="D5" s="2706"/>
      <c r="E5" s="1872" t="s">
        <v>1655</v>
      </c>
      <c r="F5" s="1873" t="s">
        <v>1656</v>
      </c>
      <c r="G5" s="1487"/>
      <c r="H5" s="1487"/>
      <c r="I5" s="1487"/>
      <c r="J5" s="1487"/>
      <c r="K5" s="1487"/>
      <c r="L5" s="1487"/>
      <c r="M5" s="1487"/>
      <c r="N5" s="1487"/>
      <c r="O5" s="1487"/>
      <c r="P5" s="1487"/>
      <c r="Q5" s="1487"/>
      <c r="R5" s="1487"/>
      <c r="S5" s="1487"/>
    </row>
    <row r="6" spans="1:22" ht="14.4">
      <c r="A6" s="2602" t="str">
        <f>'数据-取费表'!AN6</f>
        <v>收益法 (元)</v>
      </c>
      <c r="B6" s="2600">
        <f ca="1">IF(F6="是",'数据-取费表'!AO6,0)</f>
        <v>370.94819999999999</v>
      </c>
      <c r="C6" s="1870" t="s">
        <v>1651</v>
      </c>
      <c r="D6" s="2707"/>
      <c r="E6" s="2604">
        <f>IF(OR(A6=0,F6="否"),0,'数据-取费表'!K6+'数据-取费表'!S6)</f>
        <v>127.35</v>
      </c>
      <c r="F6" s="1874" t="s">
        <v>1657</v>
      </c>
      <c r="G6" s="1487"/>
      <c r="H6" s="1487"/>
      <c r="I6" s="1487"/>
      <c r="J6" s="1487"/>
      <c r="K6" s="1487"/>
      <c r="L6" s="1487"/>
      <c r="M6" s="1487"/>
      <c r="N6" s="1487"/>
      <c r="O6" s="1487"/>
      <c r="P6" s="1487"/>
      <c r="Q6" s="1487"/>
      <c r="R6" s="1487"/>
      <c r="S6" s="1487"/>
    </row>
    <row r="7" spans="1:22" ht="14.4">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ht="14.4">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ht="14.4">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ht="14.4">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ht="14.4">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ht="14.4">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127.35</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4.4">
      <c r="A4" s="355" t="s">
        <v>1666</v>
      </c>
      <c r="B4" s="356"/>
      <c r="C4" s="3713" t="s">
        <v>1667</v>
      </c>
      <c r="D4" s="3714"/>
      <c r="E4" s="3715" t="s">
        <v>1668</v>
      </c>
      <c r="F4" s="3716"/>
      <c r="G4" s="3713" t="s">
        <v>1669</v>
      </c>
      <c r="H4" s="3714"/>
      <c r="I4" s="3713" t="s">
        <v>1670</v>
      </c>
      <c r="J4" s="3714"/>
      <c r="K4" s="1887" t="s">
        <v>1671</v>
      </c>
      <c r="L4" s="2713"/>
      <c r="M4" s="2714"/>
      <c r="N4" s="2714"/>
      <c r="O4" s="2714"/>
      <c r="P4" s="3717" t="s">
        <v>1672</v>
      </c>
      <c r="Q4" s="3718"/>
      <c r="R4" s="3723" t="s">
        <v>1668</v>
      </c>
      <c r="S4" s="3724"/>
      <c r="T4" s="3723" t="s">
        <v>1669</v>
      </c>
      <c r="U4" s="3724"/>
      <c r="V4" s="3729" t="s">
        <v>1670</v>
      </c>
      <c r="W4" s="3729"/>
      <c r="X4" s="1353"/>
      <c r="Y4" s="3723" t="s">
        <v>1672</v>
      </c>
      <c r="Z4" s="3724"/>
      <c r="AA4" s="3710" t="s">
        <v>1668</v>
      </c>
      <c r="AB4" s="3710" t="s">
        <v>1669</v>
      </c>
      <c r="AC4" s="3710" t="s">
        <v>1670</v>
      </c>
    </row>
    <row r="5" spans="1:29">
      <c r="A5" s="358"/>
      <c r="B5" s="359"/>
      <c r="C5" s="3732" t="s">
        <v>1673</v>
      </c>
      <c r="D5" s="3733"/>
      <c r="E5" s="3739" t="s">
        <v>1674</v>
      </c>
      <c r="F5" s="3740"/>
      <c r="G5" s="3732" t="s">
        <v>1675</v>
      </c>
      <c r="H5" s="3733"/>
      <c r="I5" s="3732" t="s">
        <v>1676</v>
      </c>
      <c r="J5" s="3733"/>
      <c r="K5" s="1888"/>
      <c r="L5" s="2713"/>
      <c r="M5" s="2714"/>
      <c r="N5" s="2714"/>
      <c r="O5" s="2714"/>
      <c r="P5" s="3719"/>
      <c r="Q5" s="3720"/>
      <c r="R5" s="3725"/>
      <c r="S5" s="3726"/>
      <c r="T5" s="3725"/>
      <c r="U5" s="3726"/>
      <c r="V5" s="3729"/>
      <c r="W5" s="3729"/>
      <c r="X5" s="1353"/>
      <c r="Y5" s="3725"/>
      <c r="Z5" s="3726"/>
      <c r="AA5" s="3711"/>
      <c r="AB5" s="3711"/>
      <c r="AC5" s="3711"/>
    </row>
    <row r="6" spans="1:29" ht="15" thickBot="1">
      <c r="A6" s="360"/>
      <c r="B6" s="361"/>
      <c r="C6" s="3730" t="s">
        <v>1677</v>
      </c>
      <c r="D6" s="3731"/>
      <c r="E6" s="3737" t="s">
        <v>1677</v>
      </c>
      <c r="F6" s="3738"/>
      <c r="G6" s="3730" t="s">
        <v>1677</v>
      </c>
      <c r="H6" s="3731"/>
      <c r="I6" s="3730" t="s">
        <v>1677</v>
      </c>
      <c r="J6" s="3731"/>
      <c r="K6" s="1888" t="s">
        <v>1678</v>
      </c>
      <c r="L6" s="2713"/>
      <c r="M6" s="2714"/>
      <c r="N6" s="2714"/>
      <c r="O6" s="2714"/>
      <c r="P6" s="3721"/>
      <c r="Q6" s="3722"/>
      <c r="R6" s="3725"/>
      <c r="S6" s="3726"/>
      <c r="T6" s="3727"/>
      <c r="U6" s="3728"/>
      <c r="V6" s="3729"/>
      <c r="W6" s="3729"/>
      <c r="X6" s="1353"/>
      <c r="Y6" s="3727"/>
      <c r="Z6" s="3728"/>
      <c r="AA6" s="3712"/>
      <c r="AB6" s="3712"/>
      <c r="AC6" s="3712"/>
    </row>
    <row r="7" spans="1:29" s="108" customFormat="1" ht="15" thickBot="1">
      <c r="A7" s="362" t="s">
        <v>1679</v>
      </c>
      <c r="B7" s="363"/>
      <c r="C7" s="364">
        <f>'数据-取费表'!B2</f>
        <v>45491</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34" t="s">
        <v>1680</v>
      </c>
      <c r="Q7" s="3736"/>
      <c r="R7" s="699" t="s">
        <v>20</v>
      </c>
      <c r="S7" s="700">
        <f t="shared" ref="S7:S15" si="0">F7</f>
        <v>0</v>
      </c>
      <c r="T7" s="699" t="s">
        <v>20</v>
      </c>
      <c r="U7" s="700">
        <f t="shared" ref="U7:U15" si="1">H7</f>
        <v>0</v>
      </c>
      <c r="V7" s="699" t="s">
        <v>20</v>
      </c>
      <c r="W7" s="700">
        <f t="shared" ref="W7:W15" si="2">J7</f>
        <v>0</v>
      </c>
      <c r="X7" s="701"/>
      <c r="Y7" s="3734" t="s">
        <v>1680</v>
      </c>
      <c r="Z7" s="3735"/>
      <c r="AA7" s="702" t="e">
        <f>D7/F7</f>
        <v>#DIV/0!</v>
      </c>
      <c r="AB7" s="702" t="e">
        <f>D7/H7</f>
        <v>#DIV/0!</v>
      </c>
      <c r="AC7" s="702" t="e">
        <f>D7/J7</f>
        <v>#DIV/0!</v>
      </c>
    </row>
    <row r="8" spans="1:29" s="108" customFormat="1" ht="1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34" t="s">
        <v>1683</v>
      </c>
      <c r="Q8" s="3735"/>
      <c r="R8" s="699" t="s">
        <v>20</v>
      </c>
      <c r="S8" s="700">
        <f t="shared" si="0"/>
        <v>100</v>
      </c>
      <c r="T8" s="699" t="s">
        <v>20</v>
      </c>
      <c r="U8" s="700">
        <f t="shared" si="1"/>
        <v>100</v>
      </c>
      <c r="V8" s="699" t="s">
        <v>20</v>
      </c>
      <c r="W8" s="700">
        <f t="shared" si="2"/>
        <v>100</v>
      </c>
      <c r="X8" s="701"/>
      <c r="Y8" s="3734" t="s">
        <v>1683</v>
      </c>
      <c r="Z8" s="3735"/>
      <c r="AA8" s="702">
        <f t="shared" ref="AA8:AA19" si="3">D8/F8</f>
        <v>1</v>
      </c>
      <c r="AB8" s="702">
        <f t="shared" ref="AB8:AB19" si="4">D8/H8</f>
        <v>1</v>
      </c>
      <c r="AC8" s="702">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09" t="s">
        <v>1686</v>
      </c>
      <c r="Q9" s="1341" t="str">
        <f t="shared" ref="Q9:Q15" si="6">B9</f>
        <v>用途</v>
      </c>
      <c r="R9" s="699" t="s">
        <v>14</v>
      </c>
      <c r="S9" s="700">
        <f t="shared" si="0"/>
        <v>100</v>
      </c>
      <c r="T9" s="699" t="s">
        <v>14</v>
      </c>
      <c r="U9" s="700">
        <f t="shared" si="1"/>
        <v>100</v>
      </c>
      <c r="V9" s="699" t="s">
        <v>14</v>
      </c>
      <c r="W9" s="700">
        <f t="shared" si="2"/>
        <v>100</v>
      </c>
      <c r="X9" s="701"/>
      <c r="Y9" s="3554" t="s">
        <v>1687</v>
      </c>
      <c r="Z9" s="52" t="str">
        <f t="shared" ref="Z9:Z15" si="7">Q9</f>
        <v>用途</v>
      </c>
      <c r="AA9" s="702">
        <f t="shared" si="3"/>
        <v>1</v>
      </c>
      <c r="AB9" s="702">
        <f t="shared" si="4"/>
        <v>1</v>
      </c>
      <c r="AC9" s="702">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09"/>
      <c r="Q10" s="1341" t="str">
        <f t="shared" si="6"/>
        <v>土地使用年限（年）</v>
      </c>
      <c r="R10" s="699" t="s">
        <v>14</v>
      </c>
      <c r="S10" s="700">
        <f t="shared" si="0"/>
        <v>100</v>
      </c>
      <c r="T10" s="699" t="s">
        <v>14</v>
      </c>
      <c r="U10" s="700">
        <f t="shared" si="1"/>
        <v>100</v>
      </c>
      <c r="V10" s="699" t="s">
        <v>14</v>
      </c>
      <c r="W10" s="700">
        <f t="shared" si="2"/>
        <v>100</v>
      </c>
      <c r="X10" s="701"/>
      <c r="Y10" s="3554"/>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9"/>
      <c r="Q11" s="1341" t="str">
        <f t="shared" si="6"/>
        <v>容积率</v>
      </c>
      <c r="R11" s="699" t="s">
        <v>18</v>
      </c>
      <c r="S11" s="700" t="e">
        <f t="shared" si="0"/>
        <v>#N/A</v>
      </c>
      <c r="T11" s="699" t="s">
        <v>18</v>
      </c>
      <c r="U11" s="700" t="e">
        <f t="shared" si="1"/>
        <v>#N/A</v>
      </c>
      <c r="V11" s="699" t="s">
        <v>18</v>
      </c>
      <c r="W11" s="700" t="e">
        <f t="shared" si="2"/>
        <v>#N/A</v>
      </c>
      <c r="X11" s="701"/>
      <c r="Y11" s="3554"/>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09"/>
      <c r="Q12" s="1341">
        <f t="shared" si="6"/>
        <v>111</v>
      </c>
      <c r="R12" s="699" t="s">
        <v>18</v>
      </c>
      <c r="S12" s="700">
        <f t="shared" si="0"/>
        <v>100</v>
      </c>
      <c r="T12" s="699" t="s">
        <v>18</v>
      </c>
      <c r="U12" s="700">
        <f t="shared" si="1"/>
        <v>100</v>
      </c>
      <c r="V12" s="699" t="s">
        <v>18</v>
      </c>
      <c r="W12" s="700">
        <f t="shared" si="2"/>
        <v>100</v>
      </c>
      <c r="X12" s="701"/>
      <c r="Y12" s="3554"/>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09"/>
      <c r="Q13" s="1341">
        <f t="shared" si="6"/>
        <v>111</v>
      </c>
      <c r="R13" s="699" t="s">
        <v>18</v>
      </c>
      <c r="S13" s="700">
        <f t="shared" si="0"/>
        <v>100</v>
      </c>
      <c r="T13" s="699" t="s">
        <v>18</v>
      </c>
      <c r="U13" s="700">
        <f t="shared" si="1"/>
        <v>100</v>
      </c>
      <c r="V13" s="699" t="s">
        <v>18</v>
      </c>
      <c r="W13" s="700">
        <f t="shared" si="2"/>
        <v>100</v>
      </c>
      <c r="X13" s="701"/>
      <c r="Y13" s="3554"/>
      <c r="Z13" s="52">
        <f t="shared" si="7"/>
        <v>111</v>
      </c>
      <c r="AA13" s="702">
        <f t="shared" si="3"/>
        <v>1</v>
      </c>
      <c r="AB13" s="702">
        <f t="shared" si="4"/>
        <v>1</v>
      </c>
      <c r="AC13" s="702">
        <f t="shared" si="5"/>
        <v>1</v>
      </c>
    </row>
    <row r="14" spans="1:29" ht="15.6"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09"/>
      <c r="Q14" s="1341">
        <f t="shared" si="6"/>
        <v>111</v>
      </c>
      <c r="R14" s="699" t="s">
        <v>18</v>
      </c>
      <c r="S14" s="700">
        <f t="shared" si="0"/>
        <v>100</v>
      </c>
      <c r="T14" s="699" t="s">
        <v>18</v>
      </c>
      <c r="U14" s="700">
        <f t="shared" si="1"/>
        <v>100</v>
      </c>
      <c r="V14" s="699" t="s">
        <v>18</v>
      </c>
      <c r="W14" s="700">
        <f t="shared" si="2"/>
        <v>100</v>
      </c>
      <c r="X14" s="701"/>
      <c r="Y14" s="3554"/>
      <c r="Z14" s="52">
        <f t="shared" si="7"/>
        <v>111</v>
      </c>
      <c r="AA14" s="702">
        <f t="shared" si="3"/>
        <v>1</v>
      </c>
      <c r="AB14" s="702">
        <f t="shared" si="4"/>
        <v>1</v>
      </c>
      <c r="AC14" s="702">
        <f t="shared" si="5"/>
        <v>1</v>
      </c>
    </row>
    <row r="15" spans="1:29" ht="96.6">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1.4">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7.6">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55.2">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6"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28.8">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6"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4.4">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 thickBot="1">
      <c r="A48" s="437" t="s">
        <v>1709</v>
      </c>
      <c r="B48" s="438"/>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2.2" thickBot="1">
      <c r="A57" s="692" t="s">
        <v>1714</v>
      </c>
      <c r="B57" s="688"/>
      <c r="C57" s="693"/>
      <c r="D57" s="693"/>
      <c r="E57" s="693"/>
      <c r="F57" s="694"/>
      <c r="G57" s="694"/>
      <c r="H57" s="693"/>
      <c r="I57" s="693"/>
      <c r="J57" s="693"/>
      <c r="K57" s="939"/>
      <c r="L57" s="940"/>
      <c r="M57" s="938"/>
      <c r="N57" s="938"/>
      <c r="O57" s="938"/>
      <c r="P57" s="1916"/>
      <c r="Q57" s="453"/>
    </row>
    <row r="58" spans="1:29" s="457" customFormat="1" ht="14.4">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c r="A59" s="458"/>
      <c r="B59" s="1917"/>
      <c r="C59" s="1181">
        <v>100</v>
      </c>
      <c r="D59" s="460"/>
      <c r="E59" s="461"/>
      <c r="F59" s="461"/>
      <c r="G59" s="461"/>
      <c r="H59" s="461"/>
      <c r="I59" s="461"/>
      <c r="J59" s="461"/>
      <c r="K59" s="461"/>
      <c r="L59" s="461"/>
      <c r="M59" s="462"/>
      <c r="N59" s="461"/>
      <c r="O59" s="462"/>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472"/>
      <c r="E61" s="472"/>
      <c r="F61" s="472"/>
      <c r="G61" s="472"/>
      <c r="H61" s="472"/>
      <c r="I61" s="472"/>
      <c r="J61" s="472"/>
      <c r="K61" s="472"/>
      <c r="L61" s="473"/>
      <c r="M61" s="474"/>
      <c r="N61" s="930"/>
      <c r="O61" s="930"/>
      <c r="P61" s="1919"/>
      <c r="Q61" s="453"/>
    </row>
    <row r="62" spans="1:29" s="108" customFormat="1" ht="14.4" thickBot="1">
      <c r="A62" s="470"/>
      <c r="B62" s="459"/>
      <c r="C62" s="460">
        <v>100</v>
      </c>
      <c r="D62" s="461"/>
      <c r="E62" s="461"/>
      <c r="F62" s="461"/>
      <c r="G62" s="461"/>
      <c r="H62" s="461"/>
      <c r="I62" s="461"/>
      <c r="J62" s="461"/>
      <c r="K62" s="461"/>
      <c r="L62" s="461"/>
      <c r="M62" s="463"/>
      <c r="N62" s="930"/>
      <c r="O62" s="930"/>
      <c r="P62" s="1918"/>
      <c r="Q62" s="453"/>
    </row>
    <row r="63" spans="1:29" ht="14.4">
      <c r="A63" s="476" t="s">
        <v>1719</v>
      </c>
      <c r="B63" s="477" t="s">
        <v>1685</v>
      </c>
      <c r="C63" s="478">
        <f>C9</f>
        <v>0</v>
      </c>
      <c r="D63" s="479"/>
      <c r="E63" s="479"/>
      <c r="F63" s="479"/>
      <c r="G63" s="479"/>
      <c r="H63" s="479"/>
      <c r="I63" s="479"/>
      <c r="J63" s="479"/>
      <c r="K63" s="480"/>
      <c r="L63" s="481"/>
      <c r="M63" s="482"/>
      <c r="N63" s="931"/>
      <c r="O63" s="931"/>
      <c r="P63" s="1920"/>
      <c r="Q63" s="453"/>
    </row>
    <row r="64" spans="1:29" ht="14.4" thickBot="1">
      <c r="A64" s="483"/>
      <c r="B64" s="484"/>
      <c r="C64" s="485">
        <v>100</v>
      </c>
      <c r="D64" s="485"/>
      <c r="E64" s="485"/>
      <c r="F64" s="485"/>
      <c r="G64" s="485"/>
      <c r="H64" s="485"/>
      <c r="I64" s="485"/>
      <c r="J64" s="485"/>
      <c r="K64" s="485"/>
      <c r="L64" s="485"/>
      <c r="M64" s="486"/>
      <c r="N64" s="932"/>
      <c r="O64" s="932"/>
      <c r="P64" s="1920"/>
      <c r="Q64" s="453"/>
    </row>
    <row r="65" spans="1:17" ht="29.4" thickTop="1">
      <c r="A65" s="483"/>
      <c r="B65" s="487" t="s">
        <v>1688</v>
      </c>
      <c r="C65" s="532"/>
      <c r="D65" s="532"/>
      <c r="E65" s="532"/>
      <c r="F65" s="532"/>
      <c r="G65" s="532"/>
      <c r="H65" s="532"/>
      <c r="I65" s="532"/>
      <c r="J65" s="532"/>
      <c r="K65" s="532"/>
      <c r="L65" s="532"/>
      <c r="M65" s="532"/>
      <c r="N65" s="932"/>
      <c r="O65" s="932"/>
      <c r="P65" s="1920"/>
      <c r="Q65" s="453"/>
    </row>
    <row r="66" spans="1:17" ht="14.4" thickBot="1">
      <c r="A66" s="483"/>
      <c r="B66" s="492"/>
      <c r="C66" s="485"/>
      <c r="D66" s="485"/>
      <c r="E66" s="485"/>
      <c r="F66" s="485"/>
      <c r="G66" s="485"/>
      <c r="H66" s="485"/>
      <c r="I66" s="485"/>
      <c r="J66" s="485"/>
      <c r="K66" s="485"/>
      <c r="L66" s="485"/>
      <c r="M66" s="486"/>
      <c r="N66" s="932"/>
      <c r="O66" s="932"/>
      <c r="P66" s="1920"/>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c r="A68" s="483"/>
      <c r="B68" s="497"/>
      <c r="C68" s="498"/>
      <c r="D68" s="498"/>
      <c r="E68" s="498"/>
      <c r="F68" s="498"/>
      <c r="G68" s="498"/>
      <c r="H68" s="498"/>
      <c r="I68" s="498"/>
      <c r="J68" s="498"/>
      <c r="K68" s="499"/>
      <c r="L68" s="500"/>
      <c r="M68" s="501"/>
      <c r="N68" s="931"/>
      <c r="O68" s="931"/>
      <c r="P68" s="1920"/>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4.4" thickTop="1">
      <c r="A70" s="502"/>
      <c r="B70" s="487">
        <f>B12</f>
        <v>111</v>
      </c>
      <c r="C70" s="503"/>
      <c r="D70" s="503"/>
      <c r="E70" s="503"/>
      <c r="F70" s="503"/>
      <c r="G70" s="503"/>
      <c r="H70" s="504"/>
      <c r="I70" s="504"/>
      <c r="J70" s="504"/>
      <c r="K70" s="504"/>
      <c r="L70" s="505"/>
      <c r="M70" s="506"/>
      <c r="N70" s="933"/>
      <c r="O70" s="933"/>
      <c r="P70" s="1921"/>
      <c r="Q70" s="508"/>
    </row>
    <row r="71" spans="1:17" s="422" customFormat="1" ht="14.4" thickBot="1">
      <c r="A71" s="502"/>
      <c r="B71" s="492"/>
      <c r="C71" s="509"/>
      <c r="D71" s="485"/>
      <c r="E71" s="485"/>
      <c r="F71" s="485"/>
      <c r="G71" s="485"/>
      <c r="H71" s="485"/>
      <c r="I71" s="485"/>
      <c r="J71" s="485"/>
      <c r="K71" s="485"/>
      <c r="L71" s="485"/>
      <c r="M71" s="486"/>
      <c r="N71" s="932"/>
      <c r="O71" s="932"/>
      <c r="P71" s="1921"/>
      <c r="Q71" s="508"/>
    </row>
    <row r="72" spans="1:17" s="422" customFormat="1" ht="14.4" thickTop="1">
      <c r="A72" s="502"/>
      <c r="B72" s="487">
        <f>B13</f>
        <v>111</v>
      </c>
      <c r="C72" s="503"/>
      <c r="D72" s="503"/>
      <c r="E72" s="503"/>
      <c r="F72" s="503"/>
      <c r="G72" s="503"/>
      <c r="H72" s="504"/>
      <c r="I72" s="504"/>
      <c r="J72" s="504"/>
      <c r="K72" s="504"/>
      <c r="L72" s="505"/>
      <c r="M72" s="506"/>
      <c r="N72" s="933"/>
      <c r="O72" s="933"/>
      <c r="P72" s="1922"/>
      <c r="Q72" s="510"/>
    </row>
    <row r="73" spans="1:17" s="422" customFormat="1" ht="14.4" thickBot="1">
      <c r="A73" s="502"/>
      <c r="B73" s="492"/>
      <c r="C73" s="509"/>
      <c r="D73" s="509"/>
      <c r="E73" s="509"/>
      <c r="F73" s="509"/>
      <c r="G73" s="509"/>
      <c r="H73" s="511"/>
      <c r="I73" s="511"/>
      <c r="J73" s="511"/>
      <c r="K73" s="511"/>
      <c r="L73" s="511"/>
      <c r="M73" s="512"/>
      <c r="N73" s="933"/>
      <c r="O73" s="933"/>
      <c r="P73" s="1921"/>
      <c r="Q73" s="508"/>
    </row>
    <row r="74" spans="1:17" s="422" customFormat="1" ht="14.4" thickTop="1">
      <c r="A74" s="502"/>
      <c r="B74" s="495">
        <f>B14</f>
        <v>111</v>
      </c>
      <c r="C74" s="503"/>
      <c r="D74" s="503"/>
      <c r="E74" s="503"/>
      <c r="F74" s="503"/>
      <c r="G74" s="472"/>
      <c r="H74" s="513"/>
      <c r="I74" s="513"/>
      <c r="J74" s="513"/>
      <c r="K74" s="513"/>
      <c r="L74" s="514"/>
      <c r="M74" s="515"/>
      <c r="N74" s="933"/>
      <c r="O74" s="933"/>
      <c r="P74" s="1923"/>
      <c r="Q74" s="508"/>
    </row>
    <row r="75" spans="1:17" s="422" customFormat="1" ht="14.4" thickBot="1">
      <c r="A75" s="517"/>
      <c r="B75" s="518"/>
      <c r="C75" s="519"/>
      <c r="D75" s="519"/>
      <c r="E75" s="519"/>
      <c r="F75" s="519"/>
      <c r="G75" s="519"/>
      <c r="H75" s="520"/>
      <c r="I75" s="520"/>
      <c r="J75" s="520"/>
      <c r="K75" s="520"/>
      <c r="L75" s="520"/>
      <c r="M75" s="521"/>
      <c r="N75" s="933"/>
      <c r="O75" s="933"/>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4.4" thickBot="1">
      <c r="A83" s="483"/>
      <c r="B83" s="495"/>
      <c r="C83" s="606">
        <v>100</v>
      </c>
      <c r="D83" s="606">
        <f>C83-$K21</f>
        <v>100</v>
      </c>
      <c r="E83" s="606">
        <f t="shared" ref="E83:G83" si="22">D83-$K21</f>
        <v>100</v>
      </c>
      <c r="F83" s="606">
        <f t="shared" si="22"/>
        <v>100</v>
      </c>
      <c r="G83" s="606">
        <f t="shared" si="22"/>
        <v>100</v>
      </c>
      <c r="H83" s="606"/>
      <c r="I83" s="606"/>
      <c r="J83" s="606"/>
      <c r="K83" s="606"/>
      <c r="L83" s="606"/>
      <c r="M83" s="401"/>
      <c r="N83" s="932"/>
      <c r="O83" s="932"/>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 thickTop="1">
      <c r="A86" s="528"/>
      <c r="B86" s="487" t="s">
        <v>1734</v>
      </c>
      <c r="C86" s="503"/>
      <c r="D86" s="503"/>
      <c r="E86" s="503"/>
      <c r="F86" s="503"/>
      <c r="G86" s="503"/>
      <c r="H86" s="503"/>
      <c r="I86" s="503"/>
      <c r="J86" s="503"/>
      <c r="K86" s="503"/>
      <c r="L86" s="529"/>
      <c r="M86" s="530"/>
      <c r="N86" s="930"/>
      <c r="O86" s="930"/>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 thickTop="1">
      <c r="A88" s="528"/>
      <c r="B88" s="487" t="s">
        <v>1735</v>
      </c>
      <c r="C88" s="503"/>
      <c r="D88" s="503"/>
      <c r="E88" s="503"/>
      <c r="F88" s="1925"/>
      <c r="G88" s="503"/>
      <c r="H88" s="503"/>
      <c r="I88" s="503"/>
      <c r="J88" s="503"/>
      <c r="K88" s="503"/>
      <c r="L88" s="503"/>
      <c r="M88" s="530"/>
      <c r="N88" s="930"/>
      <c r="O88" s="930"/>
      <c r="P88" s="1920"/>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4.4" thickTop="1">
      <c r="A90" s="502"/>
      <c r="B90" s="487">
        <f>B27</f>
        <v>111</v>
      </c>
      <c r="C90" s="503"/>
      <c r="D90" s="503"/>
      <c r="E90" s="503"/>
      <c r="F90" s="503"/>
      <c r="G90" s="503"/>
      <c r="H90" s="504"/>
      <c r="I90" s="504"/>
      <c r="J90" s="504"/>
      <c r="K90" s="504"/>
      <c r="L90" s="505"/>
      <c r="M90" s="506"/>
      <c r="N90" s="933"/>
      <c r="O90" s="933"/>
      <c r="P90" s="1921"/>
      <c r="Q90" s="508"/>
    </row>
    <row r="91" spans="1:17" s="422" customFormat="1" ht="14.4" thickBot="1">
      <c r="A91" s="502"/>
      <c r="B91" s="492"/>
      <c r="C91" s="509"/>
      <c r="D91" s="509"/>
      <c r="E91" s="509"/>
      <c r="F91" s="509"/>
      <c r="G91" s="509"/>
      <c r="H91" s="511"/>
      <c r="I91" s="511"/>
      <c r="J91" s="511"/>
      <c r="K91" s="511"/>
      <c r="L91" s="511"/>
      <c r="M91" s="512"/>
      <c r="N91" s="933"/>
      <c r="O91" s="933"/>
      <c r="P91" s="1921"/>
      <c r="Q91" s="508"/>
    </row>
    <row r="92" spans="1:17" ht="14.4" thickTop="1">
      <c r="A92" s="483"/>
      <c r="B92" s="487">
        <f>B28</f>
        <v>111</v>
      </c>
      <c r="C92" s="503"/>
      <c r="D92" s="503"/>
      <c r="E92" s="503"/>
      <c r="F92" s="503"/>
      <c r="G92" s="532"/>
      <c r="H92" s="532"/>
      <c r="I92" s="532"/>
      <c r="J92" s="532"/>
      <c r="K92" s="533"/>
      <c r="L92" s="534"/>
      <c r="M92" s="535"/>
      <c r="N92" s="931"/>
      <c r="O92" s="931"/>
      <c r="P92" s="1920"/>
      <c r="Q92" s="453"/>
    </row>
    <row r="93" spans="1:17" ht="14.4" thickBot="1">
      <c r="A93" s="483"/>
      <c r="B93" s="492"/>
      <c r="C93" s="509"/>
      <c r="D93" s="485"/>
      <c r="E93" s="485"/>
      <c r="F93" s="485"/>
      <c r="G93" s="485"/>
      <c r="H93" s="485"/>
      <c r="I93" s="485"/>
      <c r="J93" s="485"/>
      <c r="K93" s="485"/>
      <c r="L93" s="485"/>
      <c r="M93" s="486"/>
      <c r="N93" s="932"/>
      <c r="O93" s="932"/>
      <c r="P93" s="1920"/>
      <c r="Q93" s="453"/>
    </row>
    <row r="94" spans="1:17" ht="14.4" thickTop="1">
      <c r="A94" s="483"/>
      <c r="B94" s="487">
        <f>B29</f>
        <v>111</v>
      </c>
      <c r="C94" s="503"/>
      <c r="D94" s="503"/>
      <c r="E94" s="503"/>
      <c r="F94" s="503"/>
      <c r="G94" s="532"/>
      <c r="H94" s="532"/>
      <c r="I94" s="532"/>
      <c r="J94" s="532"/>
      <c r="K94" s="533"/>
      <c r="L94" s="534"/>
      <c r="M94" s="535"/>
      <c r="N94" s="931"/>
      <c r="O94" s="931"/>
      <c r="P94" s="1920"/>
      <c r="Q94" s="453"/>
    </row>
    <row r="95" spans="1:17" ht="14.4" thickBot="1">
      <c r="A95" s="483"/>
      <c r="B95" s="492"/>
      <c r="C95" s="509"/>
      <c r="D95" s="509"/>
      <c r="E95" s="509"/>
      <c r="F95" s="509"/>
      <c r="G95" s="485"/>
      <c r="H95" s="485"/>
      <c r="I95" s="485"/>
      <c r="J95" s="485"/>
      <c r="K95" s="485"/>
      <c r="L95" s="485"/>
      <c r="M95" s="486"/>
      <c r="N95" s="932"/>
      <c r="O95" s="932"/>
      <c r="P95" s="1920"/>
      <c r="Q95" s="453"/>
    </row>
    <row r="96" spans="1:17" ht="14.4" thickTop="1">
      <c r="A96" s="483"/>
      <c r="B96" s="487">
        <f>B30</f>
        <v>111</v>
      </c>
      <c r="C96" s="503"/>
      <c r="D96" s="503"/>
      <c r="E96" s="503"/>
      <c r="F96" s="503"/>
      <c r="G96" s="532"/>
      <c r="H96" s="532"/>
      <c r="I96" s="532"/>
      <c r="J96" s="532"/>
      <c r="K96" s="533"/>
      <c r="L96" s="534"/>
      <c r="M96" s="535"/>
      <c r="N96" s="931"/>
      <c r="O96" s="931"/>
      <c r="P96" s="1920"/>
      <c r="Q96" s="453"/>
    </row>
    <row r="97" spans="1:17" ht="14.4" thickBot="1">
      <c r="A97" s="483"/>
      <c r="B97" s="492"/>
      <c r="C97" s="519"/>
      <c r="D97" s="519"/>
      <c r="E97" s="519"/>
      <c r="F97" s="519"/>
      <c r="G97" s="485"/>
      <c r="H97" s="485"/>
      <c r="I97" s="485"/>
      <c r="J97" s="485"/>
      <c r="K97" s="485"/>
      <c r="L97" s="485"/>
      <c r="M97" s="486"/>
      <c r="N97" s="932"/>
      <c r="O97" s="932"/>
      <c r="P97" s="1920"/>
      <c r="Q97" s="453"/>
    </row>
    <row r="98" spans="1:17" ht="14.4" thickTop="1">
      <c r="A98" s="483"/>
      <c r="B98" s="495">
        <f>B31</f>
        <v>111</v>
      </c>
      <c r="C98" s="536"/>
      <c r="D98" s="536"/>
      <c r="E98" s="536"/>
      <c r="F98" s="536"/>
      <c r="G98" s="536"/>
      <c r="H98" s="536"/>
      <c r="I98" s="536"/>
      <c r="J98" s="536"/>
      <c r="K98" s="537"/>
      <c r="L98" s="538"/>
      <c r="M98" s="539"/>
      <c r="N98" s="931"/>
      <c r="O98" s="931"/>
      <c r="P98" s="1920"/>
      <c r="Q98" s="453"/>
    </row>
    <row r="99" spans="1:17" ht="14.4" thickBot="1">
      <c r="A99" s="1926"/>
      <c r="B99" s="518"/>
      <c r="C99" s="540"/>
      <c r="D99" s="540"/>
      <c r="E99" s="540"/>
      <c r="F99" s="540"/>
      <c r="G99" s="540"/>
      <c r="H99" s="540"/>
      <c r="I99" s="540"/>
      <c r="J99" s="540"/>
      <c r="K99" s="540"/>
      <c r="L99" s="540"/>
      <c r="M99" s="541"/>
      <c r="N99" s="932"/>
      <c r="O99" s="932"/>
      <c r="P99" s="1920"/>
      <c r="Q99" s="453"/>
    </row>
    <row r="100" spans="1:17" ht="14.4">
      <c r="A100" s="476" t="s">
        <v>1694</v>
      </c>
      <c r="B100" s="477" t="s">
        <v>1736</v>
      </c>
      <c r="C100" s="479"/>
      <c r="D100" s="479"/>
      <c r="E100" s="479"/>
      <c r="F100" s="479"/>
      <c r="G100" s="479"/>
      <c r="H100" s="479"/>
      <c r="I100" s="479"/>
      <c r="J100" s="479"/>
      <c r="K100" s="480"/>
      <c r="L100" s="481"/>
      <c r="M100" s="482"/>
      <c r="N100" s="931"/>
      <c r="O100" s="931"/>
      <c r="P100" s="1920"/>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4.4"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9.4"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4.4"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4.4"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4.4" thickBot="1">
      <c r="A127" s="502"/>
      <c r="B127" s="492"/>
      <c r="C127" s="509"/>
      <c r="D127" s="485"/>
      <c r="E127" s="485"/>
      <c r="F127" s="485"/>
      <c r="G127" s="509"/>
      <c r="H127" s="511"/>
      <c r="I127" s="511"/>
      <c r="J127" s="511"/>
      <c r="K127" s="511"/>
      <c r="L127" s="511"/>
      <c r="M127" s="512"/>
      <c r="N127" s="933"/>
      <c r="O127" s="933"/>
      <c r="P127" s="1921"/>
      <c r="Q127" s="508"/>
    </row>
    <row r="128" spans="1:17" ht="14.4" thickTop="1">
      <c r="A128" s="548"/>
      <c r="B128" s="487">
        <f>B45</f>
        <v>111</v>
      </c>
      <c r="C128" s="503"/>
      <c r="D128" s="503"/>
      <c r="E128" s="503"/>
      <c r="F128" s="503"/>
      <c r="G128" s="532"/>
      <c r="H128" s="532"/>
      <c r="I128" s="532"/>
      <c r="J128" s="532"/>
      <c r="K128" s="533"/>
      <c r="L128" s="534"/>
      <c r="M128" s="535"/>
      <c r="N128" s="931"/>
      <c r="O128" s="931"/>
      <c r="P128" s="1920"/>
      <c r="Q128" s="453"/>
    </row>
    <row r="129" spans="1:17" ht="14.4" thickBot="1">
      <c r="A129" s="483"/>
      <c r="B129" s="492"/>
      <c r="C129" s="509"/>
      <c r="D129" s="509"/>
      <c r="E129" s="509"/>
      <c r="F129" s="509"/>
      <c r="G129" s="485"/>
      <c r="H129" s="485"/>
      <c r="I129" s="485"/>
      <c r="J129" s="485"/>
      <c r="K129" s="485"/>
      <c r="L129" s="485"/>
      <c r="M129" s="486"/>
      <c r="N129" s="932"/>
      <c r="O129" s="932"/>
      <c r="P129" s="1920"/>
      <c r="Q129" s="453"/>
    </row>
    <row r="130" spans="1:17" ht="14.4" thickTop="1">
      <c r="A130" s="548"/>
      <c r="B130" s="495">
        <f>B46</f>
        <v>111</v>
      </c>
      <c r="C130" s="503"/>
      <c r="D130" s="503"/>
      <c r="E130" s="503"/>
      <c r="F130" s="503"/>
      <c r="G130" s="536"/>
      <c r="H130" s="536"/>
      <c r="I130" s="536"/>
      <c r="J130" s="536"/>
      <c r="K130" s="472"/>
      <c r="L130" s="473"/>
      <c r="M130" s="539"/>
      <c r="N130" s="931"/>
      <c r="O130" s="931"/>
      <c r="P130" s="1920"/>
      <c r="Q130" s="453"/>
    </row>
    <row r="131" spans="1:17" ht="14.4"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6.2"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4" zoomScale="90" zoomScaleNormal="70" zoomScaleSheetLayoutView="90" workbookViewId="0">
      <selection activeCell="E44" sqref="E44"/>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6.5546875" style="357" customWidth="1"/>
    <col min="6" max="6" width="12.21875" style="357" customWidth="1"/>
    <col min="7" max="7" width="16.33203125" style="357" customWidth="1"/>
    <col min="8" max="8" width="12.21875" style="357" customWidth="1"/>
    <col min="9" max="9" width="16.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127.35</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4.4">
      <c r="A4" s="355" t="s">
        <v>1769</v>
      </c>
      <c r="B4" s="356"/>
      <c r="C4" s="3713" t="s">
        <v>1770</v>
      </c>
      <c r="D4" s="3714"/>
      <c r="E4" s="3715" t="s">
        <v>1771</v>
      </c>
      <c r="F4" s="3716"/>
      <c r="G4" s="3713" t="s">
        <v>1772</v>
      </c>
      <c r="H4" s="3714"/>
      <c r="I4" s="3713" t="s">
        <v>1773</v>
      </c>
      <c r="J4" s="3714"/>
      <c r="K4" s="559" t="s">
        <v>1774</v>
      </c>
      <c r="L4" s="2713"/>
      <c r="M4" s="2714"/>
      <c r="N4" s="2714"/>
      <c r="O4" s="2714"/>
      <c r="P4" s="3717" t="s">
        <v>1775</v>
      </c>
      <c r="Q4" s="3718"/>
      <c r="R4" s="3723" t="s">
        <v>1771</v>
      </c>
      <c r="S4" s="3724"/>
      <c r="T4" s="3723" t="s">
        <v>1772</v>
      </c>
      <c r="U4" s="3724"/>
      <c r="V4" s="3729" t="s">
        <v>1773</v>
      </c>
      <c r="W4" s="3729"/>
      <c r="X4" s="1353"/>
      <c r="Y4" s="3723" t="s">
        <v>1775</v>
      </c>
      <c r="Z4" s="3724"/>
      <c r="AA4" s="3710" t="s">
        <v>1771</v>
      </c>
      <c r="AB4" s="3729" t="s">
        <v>1772</v>
      </c>
      <c r="AC4" s="3710" t="s">
        <v>1773</v>
      </c>
    </row>
    <row r="5" spans="1:29">
      <c r="A5" s="358"/>
      <c r="B5" s="359"/>
      <c r="C5" s="3732" t="s">
        <v>1673</v>
      </c>
      <c r="D5" s="3733"/>
      <c r="E5" s="3742" t="s">
        <v>3486</v>
      </c>
      <c r="F5" s="3740"/>
      <c r="G5" s="3741" t="s">
        <v>3487</v>
      </c>
      <c r="H5" s="3733"/>
      <c r="I5" s="3741" t="s">
        <v>3488</v>
      </c>
      <c r="J5" s="3733"/>
      <c r="K5" s="559"/>
      <c r="L5" s="2713"/>
      <c r="M5" s="2714"/>
      <c r="N5" s="2714"/>
      <c r="O5" s="2714"/>
      <c r="P5" s="3719"/>
      <c r="Q5" s="3720"/>
      <c r="R5" s="3725"/>
      <c r="S5" s="3726"/>
      <c r="T5" s="3725"/>
      <c r="U5" s="3726"/>
      <c r="V5" s="3729"/>
      <c r="W5" s="3729"/>
      <c r="X5" s="1353"/>
      <c r="Y5" s="3725"/>
      <c r="Z5" s="3726"/>
      <c r="AA5" s="3711"/>
      <c r="AB5" s="3729"/>
      <c r="AC5" s="3711"/>
    </row>
    <row r="6" spans="1:29" ht="15" thickBot="1">
      <c r="A6" s="360"/>
      <c r="B6" s="361"/>
      <c r="C6" s="3730" t="s">
        <v>1677</v>
      </c>
      <c r="D6" s="3731"/>
      <c r="E6" s="3737" t="s">
        <v>1677</v>
      </c>
      <c r="F6" s="3738"/>
      <c r="G6" s="3730" t="s">
        <v>1677</v>
      </c>
      <c r="H6" s="3731"/>
      <c r="I6" s="3730" t="s">
        <v>1677</v>
      </c>
      <c r="J6" s="3731"/>
      <c r="K6" s="559" t="s">
        <v>1678</v>
      </c>
      <c r="L6" s="2713"/>
      <c r="M6" s="2714"/>
      <c r="N6" s="2714"/>
      <c r="O6" s="2714"/>
      <c r="P6" s="3721"/>
      <c r="Q6" s="3722"/>
      <c r="R6" s="3725"/>
      <c r="S6" s="3726"/>
      <c r="T6" s="3727"/>
      <c r="U6" s="3728"/>
      <c r="V6" s="3729"/>
      <c r="W6" s="3729"/>
      <c r="X6" s="1353"/>
      <c r="Y6" s="3727"/>
      <c r="Z6" s="3728"/>
      <c r="AA6" s="3712"/>
      <c r="AB6" s="3729"/>
      <c r="AC6" s="3712"/>
    </row>
    <row r="7" spans="1:29" s="108" customFormat="1" ht="15" thickBot="1">
      <c r="A7" s="362" t="s">
        <v>1679</v>
      </c>
      <c r="B7" s="363"/>
      <c r="C7" s="364">
        <f>'数据-取费表'!B2</f>
        <v>45491</v>
      </c>
      <c r="D7" s="365">
        <v>100</v>
      </c>
      <c r="E7" s="366">
        <f>C7</f>
        <v>45491</v>
      </c>
      <c r="F7" s="367">
        <f>SUMIF(58:58,YEAR(E7)&amp;"-"&amp;MONTH(E7),59:59)</f>
        <v>100</v>
      </c>
      <c r="G7" s="366">
        <f>C7</f>
        <v>45491</v>
      </c>
      <c r="H7" s="365">
        <f>SUMIF(58:58,YEAR(G7)&amp;"-"&amp;MONTH(G7),59:59)</f>
        <v>100</v>
      </c>
      <c r="I7" s="366">
        <f>C7</f>
        <v>45491</v>
      </c>
      <c r="J7" s="365">
        <f>SUMIF(58:58,YEAR(I7)&amp;"-"&amp;MONTH(I7),59:59)</f>
        <v>100</v>
      </c>
      <c r="K7" s="560"/>
      <c r="L7" s="2715"/>
      <c r="M7" s="2716"/>
      <c r="N7" s="2716"/>
      <c r="O7" s="2716"/>
      <c r="P7" s="3734" t="s">
        <v>1680</v>
      </c>
      <c r="Q7" s="3736"/>
      <c r="R7" s="699" t="s">
        <v>14</v>
      </c>
      <c r="S7" s="700">
        <f t="shared" ref="S7:S15" si="0">F7</f>
        <v>100</v>
      </c>
      <c r="T7" s="699" t="s">
        <v>14</v>
      </c>
      <c r="U7" s="700">
        <f t="shared" ref="U7:U15" si="1">H7</f>
        <v>100</v>
      </c>
      <c r="V7" s="699" t="s">
        <v>14</v>
      </c>
      <c r="W7" s="700">
        <f t="shared" ref="W7:W15" si="2">J7</f>
        <v>100</v>
      </c>
      <c r="X7" s="701"/>
      <c r="Y7" s="3734" t="s">
        <v>1680</v>
      </c>
      <c r="Z7" s="3735"/>
      <c r="AA7" s="702">
        <f>D7/F7</f>
        <v>1</v>
      </c>
      <c r="AB7" s="702">
        <f>D7/H7</f>
        <v>1</v>
      </c>
      <c r="AC7" s="702">
        <f>D7/J7</f>
        <v>1</v>
      </c>
    </row>
    <row r="8" spans="1:29" s="108" customFormat="1" ht="15" thickBot="1">
      <c r="A8" s="362" t="s">
        <v>1681</v>
      </c>
      <c r="B8" s="363"/>
      <c r="C8" s="368" t="s">
        <v>3442</v>
      </c>
      <c r="D8" s="365">
        <v>100</v>
      </c>
      <c r="E8" s="368" t="s">
        <v>3443</v>
      </c>
      <c r="F8" s="367">
        <f>SUMIF(61:61,E8,62:62)-SUMIF(61:61,C8,62:62)+100</f>
        <v>101</v>
      </c>
      <c r="G8" s="368" t="s">
        <v>3443</v>
      </c>
      <c r="H8" s="365">
        <f>SUMIF(61:61,G8,62:62)-SUMIF(61:61,C8,62:62)+100</f>
        <v>101</v>
      </c>
      <c r="I8" s="368" t="s">
        <v>3443</v>
      </c>
      <c r="J8" s="365">
        <f>SUMIF(61:61,I8,62:62)-SUMIF(61:61,C8,62:62)+100</f>
        <v>101</v>
      </c>
      <c r="K8" s="560"/>
      <c r="L8" s="2715"/>
      <c r="M8" s="2716"/>
      <c r="N8" s="2716"/>
      <c r="O8" s="2716"/>
      <c r="P8" s="3734" t="s">
        <v>1683</v>
      </c>
      <c r="Q8" s="3735"/>
      <c r="R8" s="699" t="s">
        <v>14</v>
      </c>
      <c r="S8" s="700">
        <f t="shared" si="0"/>
        <v>101</v>
      </c>
      <c r="T8" s="699" t="s">
        <v>14</v>
      </c>
      <c r="U8" s="700">
        <f t="shared" si="1"/>
        <v>101</v>
      </c>
      <c r="V8" s="699" t="s">
        <v>14</v>
      </c>
      <c r="W8" s="700">
        <f t="shared" si="2"/>
        <v>101</v>
      </c>
      <c r="X8" s="701"/>
      <c r="Y8" s="3734" t="s">
        <v>1683</v>
      </c>
      <c r="Z8" s="3735"/>
      <c r="AA8" s="702">
        <f t="shared" ref="AA8:AA46" si="3">D8/F8</f>
        <v>0.99009900990099009</v>
      </c>
      <c r="AB8" s="702">
        <f t="shared" ref="AB8:AB46" si="4">D8/H8</f>
        <v>0.99009900990099009</v>
      </c>
      <c r="AC8" s="702">
        <f t="shared" ref="AC8:AC46" si="5">D8/J8</f>
        <v>0.99009900990099009</v>
      </c>
    </row>
    <row r="9" spans="1:29" s="108" customFormat="1" ht="15" thickBot="1">
      <c r="A9" s="369" t="s">
        <v>1684</v>
      </c>
      <c r="B9" s="63" t="s">
        <v>1685</v>
      </c>
      <c r="C9" s="3453" t="s">
        <v>3445</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9" t="s">
        <v>1686</v>
      </c>
      <c r="Q9" s="1341" t="str">
        <f t="shared" ref="Q9:Q15" si="6">B9</f>
        <v>用途</v>
      </c>
      <c r="R9" s="699" t="s">
        <v>14</v>
      </c>
      <c r="S9" s="700">
        <f t="shared" si="0"/>
        <v>100</v>
      </c>
      <c r="T9" s="699" t="s">
        <v>14</v>
      </c>
      <c r="U9" s="700">
        <f t="shared" si="1"/>
        <v>100</v>
      </c>
      <c r="V9" s="699" t="s">
        <v>14</v>
      </c>
      <c r="W9" s="700">
        <f t="shared" si="2"/>
        <v>100</v>
      </c>
      <c r="X9" s="701"/>
      <c r="Y9" s="3554" t="s">
        <v>1687</v>
      </c>
      <c r="Z9" s="52" t="str">
        <f t="shared" ref="Z9:Z15" si="7">Q9</f>
        <v>用途</v>
      </c>
      <c r="AA9" s="702">
        <f t="shared" si="3"/>
        <v>1</v>
      </c>
      <c r="AB9" s="702">
        <f t="shared" si="4"/>
        <v>1</v>
      </c>
      <c r="AC9" s="702">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9"/>
      <c r="Q10" s="1341" t="str">
        <f t="shared" si="6"/>
        <v>土地使用年限（年）</v>
      </c>
      <c r="R10" s="699" t="s">
        <v>14</v>
      </c>
      <c r="S10" s="700">
        <f t="shared" si="0"/>
        <v>100</v>
      </c>
      <c r="T10" s="699" t="s">
        <v>14</v>
      </c>
      <c r="U10" s="700">
        <f t="shared" si="1"/>
        <v>100</v>
      </c>
      <c r="V10" s="699" t="s">
        <v>14</v>
      </c>
      <c r="W10" s="700">
        <f t="shared" si="2"/>
        <v>100</v>
      </c>
      <c r="X10" s="701"/>
      <c r="Y10" s="3554"/>
      <c r="Z10" s="52" t="str">
        <f t="shared" si="7"/>
        <v>土地使用年限（年）</v>
      </c>
      <c r="AA10" s="702">
        <f t="shared" si="3"/>
        <v>1</v>
      </c>
      <c r="AB10" s="702">
        <f t="shared" si="4"/>
        <v>1</v>
      </c>
      <c r="AC10" s="702">
        <f t="shared" si="5"/>
        <v>1</v>
      </c>
    </row>
    <row r="11" spans="1:29" ht="15" hidden="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561"/>
      <c r="L11" s="2719"/>
      <c r="M11" s="2714"/>
      <c r="N11" s="2714"/>
      <c r="O11" s="2714"/>
      <c r="P11" s="3709"/>
      <c r="Q11" s="1341" t="str">
        <f t="shared" si="6"/>
        <v>容积率</v>
      </c>
      <c r="R11" s="699" t="s">
        <v>14</v>
      </c>
      <c r="S11" s="700">
        <f t="shared" si="0"/>
        <v>100</v>
      </c>
      <c r="T11" s="699" t="s">
        <v>14</v>
      </c>
      <c r="U11" s="700">
        <f t="shared" si="1"/>
        <v>100</v>
      </c>
      <c r="V11" s="699" t="s">
        <v>14</v>
      </c>
      <c r="W11" s="700">
        <f t="shared" si="2"/>
        <v>100</v>
      </c>
      <c r="X11" s="701"/>
      <c r="Y11" s="3554"/>
      <c r="Z11" s="52" t="str">
        <f t="shared" si="7"/>
        <v>容积率</v>
      </c>
      <c r="AA11" s="702">
        <f t="shared" si="3"/>
        <v>1</v>
      </c>
      <c r="AB11" s="702">
        <f t="shared" si="4"/>
        <v>1</v>
      </c>
      <c r="AC11" s="702">
        <f t="shared" si="5"/>
        <v>1</v>
      </c>
    </row>
    <row r="12" spans="1:29" s="108" customFormat="1" ht="27.6" hidden="1" customHeight="1">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9"/>
      <c r="Q12" s="1341">
        <f t="shared" si="6"/>
        <v>111</v>
      </c>
      <c r="R12" s="699" t="s">
        <v>14</v>
      </c>
      <c r="S12" s="700">
        <f t="shared" si="0"/>
        <v>100</v>
      </c>
      <c r="T12" s="699" t="s">
        <v>14</v>
      </c>
      <c r="U12" s="700">
        <f t="shared" si="1"/>
        <v>100</v>
      </c>
      <c r="V12" s="699" t="s">
        <v>14</v>
      </c>
      <c r="W12" s="700">
        <f t="shared" si="2"/>
        <v>100</v>
      </c>
      <c r="X12" s="701"/>
      <c r="Y12" s="3554"/>
      <c r="Z12" s="52">
        <f t="shared" si="7"/>
        <v>111</v>
      </c>
      <c r="AA12" s="702">
        <f>D12/F12</f>
        <v>1</v>
      </c>
      <c r="AB12" s="702">
        <f>D12/H12</f>
        <v>1</v>
      </c>
      <c r="AC12" s="702">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9"/>
      <c r="Q13" s="1341">
        <f t="shared" si="6"/>
        <v>111</v>
      </c>
      <c r="R13" s="699" t="s">
        <v>14</v>
      </c>
      <c r="S13" s="700">
        <f t="shared" si="0"/>
        <v>100</v>
      </c>
      <c r="T13" s="699" t="s">
        <v>14</v>
      </c>
      <c r="U13" s="700">
        <f t="shared" si="1"/>
        <v>100</v>
      </c>
      <c r="V13" s="699" t="s">
        <v>14</v>
      </c>
      <c r="W13" s="700">
        <f t="shared" si="2"/>
        <v>100</v>
      </c>
      <c r="X13" s="701"/>
      <c r="Y13" s="3554"/>
      <c r="Z13" s="52">
        <f t="shared" si="7"/>
        <v>111</v>
      </c>
      <c r="AA13" s="702">
        <f t="shared" si="3"/>
        <v>1</v>
      </c>
      <c r="AB13" s="702">
        <f t="shared" si="4"/>
        <v>1</v>
      </c>
      <c r="AC13" s="702">
        <f t="shared" si="5"/>
        <v>1</v>
      </c>
    </row>
    <row r="14" spans="1:29" ht="15.6" hidden="1"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9"/>
      <c r="Q14" s="1341">
        <f t="shared" si="6"/>
        <v>111</v>
      </c>
      <c r="R14" s="699" t="s">
        <v>14</v>
      </c>
      <c r="S14" s="700">
        <f t="shared" si="0"/>
        <v>100</v>
      </c>
      <c r="T14" s="699" t="s">
        <v>14</v>
      </c>
      <c r="U14" s="700">
        <f t="shared" si="1"/>
        <v>100</v>
      </c>
      <c r="V14" s="699" t="s">
        <v>14</v>
      </c>
      <c r="W14" s="700">
        <f t="shared" si="2"/>
        <v>100</v>
      </c>
      <c r="X14" s="701"/>
      <c r="Y14" s="3554"/>
      <c r="Z14" s="52">
        <f t="shared" si="7"/>
        <v>111</v>
      </c>
      <c r="AA14" s="702">
        <f t="shared" si="3"/>
        <v>1</v>
      </c>
      <c r="AB14" s="702">
        <f t="shared" si="4"/>
        <v>1</v>
      </c>
      <c r="AC14" s="702">
        <f t="shared" si="5"/>
        <v>1</v>
      </c>
    </row>
    <row r="15" spans="1:29" ht="69">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3402</v>
      </c>
      <c r="D16" s="399"/>
      <c r="E16" s="398" t="s">
        <v>3402</v>
      </c>
      <c r="F16" s="400"/>
      <c r="G16" s="398" t="s">
        <v>3402</v>
      </c>
      <c r="H16" s="401"/>
      <c r="I16" s="398" t="s">
        <v>3402</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t="s">
        <v>3403</v>
      </c>
      <c r="D18" s="401"/>
      <c r="E18" s="1899" t="s">
        <v>3403</v>
      </c>
      <c r="F18" s="404"/>
      <c r="G18" s="1899" t="s">
        <v>3403</v>
      </c>
      <c r="H18" s="399"/>
      <c r="I18" s="1899" t="s">
        <v>3403</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1.4">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1899" t="s">
        <v>3403</v>
      </c>
      <c r="D20" s="399"/>
      <c r="E20" s="1899" t="s">
        <v>3403</v>
      </c>
      <c r="F20" s="400"/>
      <c r="G20" s="1899" t="s">
        <v>3403</v>
      </c>
      <c r="H20" s="399"/>
      <c r="I20" s="1899" t="s">
        <v>3403</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7.6">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3446</v>
      </c>
      <c r="D22" s="399"/>
      <c r="E22" s="1899" t="s">
        <v>3446</v>
      </c>
      <c r="F22" s="400"/>
      <c r="G22" s="1899" t="s">
        <v>3446</v>
      </c>
      <c r="H22" s="399"/>
      <c r="I22" s="1899" t="s">
        <v>3446</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1899" t="s">
        <v>3403</v>
      </c>
      <c r="D24" s="399"/>
      <c r="E24" s="1899" t="s">
        <v>3403</v>
      </c>
      <c r="F24" s="400"/>
      <c r="G24" s="1899" t="s">
        <v>3403</v>
      </c>
      <c r="H24" s="399"/>
      <c r="I24" s="1899" t="s">
        <v>3403</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t="s">
        <v>3480</v>
      </c>
      <c r="D25" s="386">
        <v>100</v>
      </c>
      <c r="E25" s="565" t="s">
        <v>3485</v>
      </c>
      <c r="F25" s="412">
        <f>SUMIF(86:86,E25,87:87)-SUMIF(86:86,C25,87:87)+100</f>
        <v>101</v>
      </c>
      <c r="G25" s="565" t="s">
        <v>3485</v>
      </c>
      <c r="H25" s="386">
        <f>SUMIF(86:86,G25,87:87)-SUMIF(86:86,C25,87:87)+100</f>
        <v>101</v>
      </c>
      <c r="I25" s="565" t="s">
        <v>3485</v>
      </c>
      <c r="J25" s="386">
        <f>SUMIF(86:86,I25,87:87)-SUMIF(86:86,C25,87:87)+100</f>
        <v>101</v>
      </c>
      <c r="K25" s="561">
        <v>1</v>
      </c>
      <c r="L25" s="2720"/>
      <c r="M25" s="2714"/>
      <c r="N25" s="2714"/>
      <c r="O25" s="2714"/>
      <c r="P25" s="3708"/>
      <c r="Q25" s="1350" t="str">
        <f t="shared" ref="Q25:Q46" si="11">B25</f>
        <v>临街状况</v>
      </c>
      <c r="R25" s="703" t="s">
        <v>14</v>
      </c>
      <c r="S25" s="704">
        <f>F25</f>
        <v>101</v>
      </c>
      <c r="T25" s="703" t="s">
        <v>14</v>
      </c>
      <c r="U25" s="704">
        <f>H25</f>
        <v>101</v>
      </c>
      <c r="V25" s="703" t="s">
        <v>14</v>
      </c>
      <c r="W25" s="704">
        <f>J25</f>
        <v>101</v>
      </c>
      <c r="X25" s="1353"/>
      <c r="Y25" s="3701"/>
      <c r="Z25" s="1354" t="str">
        <f>Q25</f>
        <v>临街状况</v>
      </c>
      <c r="AA25" s="1351">
        <f t="shared" si="3"/>
        <v>0.99009900990099009</v>
      </c>
      <c r="AB25" s="1351">
        <f t="shared" si="4"/>
        <v>0.99009900990099009</v>
      </c>
      <c r="AC25" s="1351">
        <f t="shared" si="5"/>
        <v>0.99009900990099009</v>
      </c>
    </row>
    <row r="26" spans="1:29" ht="15">
      <c r="A26" s="379"/>
      <c r="B26" s="1131" t="s">
        <v>1781</v>
      </c>
      <c r="C26" s="3458" t="s">
        <v>3491</v>
      </c>
      <c r="D26" s="386">
        <v>100</v>
      </c>
      <c r="E26" s="3458" t="s">
        <v>3492</v>
      </c>
      <c r="F26" s="412">
        <f>SUMIF(88:88,E26,89:89)-SUMIF(88:88,C26,89:89)+100</f>
        <v>101</v>
      </c>
      <c r="G26" s="3458" t="s">
        <v>3492</v>
      </c>
      <c r="H26" s="386">
        <f>SUMIF(88:88,G26,89:89)-SUMIF(88:88,C26,89:89)+100</f>
        <v>101</v>
      </c>
      <c r="I26" s="3458" t="s">
        <v>3492</v>
      </c>
      <c r="J26" s="386">
        <f>SUMIF(88:88,I26,89:89)-SUMIF(88:88,C26,89:89)+100</f>
        <v>101</v>
      </c>
      <c r="K26" s="562"/>
      <c r="L26" s="2720"/>
      <c r="M26" s="2714"/>
      <c r="N26" s="2714"/>
      <c r="O26" s="2714"/>
      <c r="P26" s="3708"/>
      <c r="Q26" s="1350" t="str">
        <f t="shared" si="11"/>
        <v>平面位置/可视性</v>
      </c>
      <c r="R26" s="703" t="s">
        <v>14</v>
      </c>
      <c r="S26" s="704">
        <f>F26</f>
        <v>101</v>
      </c>
      <c r="T26" s="703" t="s">
        <v>14</v>
      </c>
      <c r="U26" s="704">
        <f>H26</f>
        <v>101</v>
      </c>
      <c r="V26" s="703" t="s">
        <v>14</v>
      </c>
      <c r="W26" s="704">
        <f>J26</f>
        <v>101</v>
      </c>
      <c r="X26" s="1353"/>
      <c r="Y26" s="3701"/>
      <c r="Z26" s="1354" t="str">
        <f>Q26</f>
        <v>平面位置/可视性</v>
      </c>
      <c r="AA26" s="1351">
        <f t="shared" si="3"/>
        <v>0.99009900990099009</v>
      </c>
      <c r="AB26" s="1351">
        <f t="shared" si="4"/>
        <v>0.99009900990099009</v>
      </c>
      <c r="AC26" s="1351">
        <f t="shared" si="5"/>
        <v>0.99009900990099009</v>
      </c>
    </row>
    <row r="27" spans="1:29" s="108" customFormat="1" ht="15">
      <c r="A27" s="382"/>
      <c r="B27" s="402" t="s">
        <v>1782</v>
      </c>
      <c r="C27" s="1954" t="s">
        <v>3481</v>
      </c>
      <c r="D27" s="413">
        <v>100</v>
      </c>
      <c r="E27" s="1954" t="s">
        <v>3402</v>
      </c>
      <c r="F27" s="415">
        <f>SUMIF(90:90,E27,91:91)-SUMIF(90:90,C27,91:91)+100</f>
        <v>101</v>
      </c>
      <c r="G27" s="1954" t="s">
        <v>3402</v>
      </c>
      <c r="H27" s="413">
        <f>SUMIF(90:90,G27,91:91)-SUMIF(90:90,C27,91:91)+100</f>
        <v>101</v>
      </c>
      <c r="I27" s="1954" t="s">
        <v>3402</v>
      </c>
      <c r="J27" s="413">
        <f>SUMIF(90:90,I27,91:91)-SUMIF(90:90,C27,91:91)+100</f>
        <v>101</v>
      </c>
      <c r="K27" s="561">
        <v>1</v>
      </c>
      <c r="L27" s="2715"/>
      <c r="M27" s="2716"/>
      <c r="N27" s="2716"/>
      <c r="O27" s="2716"/>
      <c r="P27" s="3708"/>
      <c r="Q27" s="1341" t="str">
        <f t="shared" si="11"/>
        <v>人流量</v>
      </c>
      <c r="R27" s="699" t="s">
        <v>14</v>
      </c>
      <c r="S27" s="700">
        <f>F27</f>
        <v>101</v>
      </c>
      <c r="T27" s="699" t="s">
        <v>14</v>
      </c>
      <c r="U27" s="700">
        <f>H27</f>
        <v>101</v>
      </c>
      <c r="V27" s="699" t="s">
        <v>14</v>
      </c>
      <c r="W27" s="700">
        <f>J27</f>
        <v>101</v>
      </c>
      <c r="X27" s="701"/>
      <c r="Y27" s="3701"/>
      <c r="Z27" s="52" t="str">
        <f>Q27</f>
        <v>人流量</v>
      </c>
      <c r="AA27" s="1351">
        <f>D27/F27</f>
        <v>0.99009900990099009</v>
      </c>
      <c r="AB27" s="1351">
        <f>D27/H27</f>
        <v>0.99009900990099009</v>
      </c>
      <c r="AC27" s="1351">
        <f>D27/J27</f>
        <v>0.99009900990099009</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3459" t="s">
        <v>3482</v>
      </c>
      <c r="C29" s="385" t="s">
        <v>3483</v>
      </c>
      <c r="D29" s="386">
        <v>100</v>
      </c>
      <c r="E29" s="385" t="s">
        <v>3484</v>
      </c>
      <c r="F29" s="412">
        <f>SUMIF(94:94,E29,95:95)-SUMIF(94:94,C29,95:95)+100</f>
        <v>120</v>
      </c>
      <c r="G29" s="385" t="s">
        <v>3484</v>
      </c>
      <c r="H29" s="386">
        <f>SUMIF(94:94,G29,95:95)-SUMIF(94:94,C29,95:95)+100</f>
        <v>120</v>
      </c>
      <c r="I29" s="385" t="s">
        <v>3484</v>
      </c>
      <c r="J29" s="386">
        <f>SUMIF(94:94,I29,95:95)-SUMIF(94:94,C29,95:95)+100</f>
        <v>120</v>
      </c>
      <c r="K29" s="562"/>
      <c r="L29" s="2720"/>
      <c r="M29" s="2714"/>
      <c r="N29" s="2714"/>
      <c r="O29" s="2714"/>
      <c r="P29" s="3708"/>
      <c r="Q29" s="1350" t="str">
        <f t="shared" si="11"/>
        <v>楼层</v>
      </c>
      <c r="R29" s="703" t="s">
        <v>14</v>
      </c>
      <c r="S29" s="704">
        <f t="shared" si="12"/>
        <v>120</v>
      </c>
      <c r="T29" s="703" t="s">
        <v>14</v>
      </c>
      <c r="U29" s="704">
        <f t="shared" si="13"/>
        <v>120</v>
      </c>
      <c r="V29" s="703" t="s">
        <v>14</v>
      </c>
      <c r="W29" s="704">
        <f t="shared" si="14"/>
        <v>120</v>
      </c>
      <c r="X29" s="1353"/>
      <c r="Y29" s="3701"/>
      <c r="Z29" s="1354" t="str">
        <f t="shared" si="15"/>
        <v>楼层</v>
      </c>
      <c r="AA29" s="1351">
        <f t="shared" si="3"/>
        <v>0.83333333333333337</v>
      </c>
      <c r="AB29" s="1351">
        <f t="shared" si="4"/>
        <v>0.83333333333333337</v>
      </c>
      <c r="AC29" s="1351">
        <f t="shared" si="5"/>
        <v>0.83333333333333337</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6"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6" thickBot="1">
      <c r="A33" s="419"/>
      <c r="B33" s="375" t="s">
        <v>1697</v>
      </c>
      <c r="C33" s="388"/>
      <c r="D33" s="127">
        <v>100</v>
      </c>
      <c r="E33" s="381"/>
      <c r="F33" s="376">
        <v>100</v>
      </c>
      <c r="G33" s="380"/>
      <c r="H33" s="127">
        <v>100</v>
      </c>
      <c r="I33" s="380"/>
      <c r="J33" s="127">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6" thickBot="1">
      <c r="A36" s="423"/>
      <c r="B36" s="375" t="s">
        <v>1786</v>
      </c>
      <c r="C36" s="3462">
        <v>0.7</v>
      </c>
      <c r="D36" s="386">
        <v>100</v>
      </c>
      <c r="E36" s="3463">
        <f>C36</f>
        <v>0.7</v>
      </c>
      <c r="F36" s="412">
        <v>100</v>
      </c>
      <c r="G36" s="3463">
        <f>C36</f>
        <v>0.7</v>
      </c>
      <c r="H36" s="412">
        <v>100</v>
      </c>
      <c r="I36" s="3463">
        <f>C36</f>
        <v>0.7</v>
      </c>
      <c r="J36" s="386">
        <v>100</v>
      </c>
      <c r="K36" s="561">
        <v>2</v>
      </c>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3461">
        <v>127.35</v>
      </c>
      <c r="D40" s="386">
        <v>100</v>
      </c>
      <c r="E40" s="566">
        <v>128</v>
      </c>
      <c r="F40" s="412">
        <f>SUMIF(118:118,E40,119:119)-SUMIF(118:118,C40,119:119)+100</f>
        <v>100</v>
      </c>
      <c r="G40" s="566">
        <v>275</v>
      </c>
      <c r="H40" s="386">
        <f>SUMIF(118:118,G40,119:119)-SUMIF(118:118,C40,119:119)+100</f>
        <v>100</v>
      </c>
      <c r="I40" s="566">
        <v>102</v>
      </c>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28.8">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6"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4.4">
      <c r="A47" s="430" t="s">
        <v>1708</v>
      </c>
      <c r="B47" s="431"/>
      <c r="C47" s="1152" t="s">
        <v>0</v>
      </c>
      <c r="D47" s="1153"/>
      <c r="E47" s="1154">
        <v>7</v>
      </c>
      <c r="F47" s="1155"/>
      <c r="G47" s="1156">
        <v>7.5</v>
      </c>
      <c r="H47" s="1157"/>
      <c r="I47" s="1154">
        <v>7.19</v>
      </c>
      <c r="J47" s="1157"/>
      <c r="K47" s="712"/>
      <c r="L47" s="2722"/>
      <c r="M47" s="2723"/>
      <c r="N47" s="2714"/>
      <c r="O47" s="2723"/>
      <c r="P47" s="3698" t="str">
        <f>A47</f>
        <v>成交单价（元/平方米）</v>
      </c>
      <c r="Q47" s="3698"/>
      <c r="R47" s="3729">
        <f>E47</f>
        <v>7</v>
      </c>
      <c r="S47" s="3729"/>
      <c r="T47" s="3729">
        <f>G47</f>
        <v>7.5</v>
      </c>
      <c r="U47" s="3729"/>
      <c r="V47" s="3729">
        <f>I47</f>
        <v>7.19</v>
      </c>
      <c r="W47" s="3729"/>
      <c r="X47" s="688"/>
      <c r="Y47" s="710"/>
      <c r="Z47" s="688"/>
      <c r="AA47" s="688"/>
      <c r="AB47" s="688"/>
      <c r="AC47" s="688"/>
    </row>
    <row r="48" spans="1:29" ht="15" thickBot="1">
      <c r="A48" s="437" t="s">
        <v>1793</v>
      </c>
      <c r="B48" s="438"/>
      <c r="C48" s="1158">
        <f>R49</f>
        <v>5.8</v>
      </c>
      <c r="D48" s="2315" t="s">
        <v>2138</v>
      </c>
      <c r="E48" s="1159">
        <f>R48</f>
        <v>5.6</v>
      </c>
      <c r="F48" s="2316"/>
      <c r="G48" s="1158">
        <f>T48</f>
        <v>6</v>
      </c>
      <c r="H48" s="2316"/>
      <c r="I48" s="1159">
        <f>V48</f>
        <v>5.8</v>
      </c>
      <c r="J48" s="2316"/>
      <c r="K48" s="2318">
        <f>F48+H48+J48</f>
        <v>0</v>
      </c>
      <c r="L48" s="2722"/>
      <c r="M48" s="2723"/>
      <c r="N48" s="2714"/>
      <c r="O48" s="2723"/>
      <c r="P48" s="3698" t="str">
        <f>A48</f>
        <v>比较价值（元/平方米）</v>
      </c>
      <c r="Q48" s="3698"/>
      <c r="R48" s="3699">
        <f>IF(F1="售价",ROUND(PRODUCT(R47,AA7:AA46),0),ROUND(PRODUCT(R47,AA7:AA46),1))</f>
        <v>5.6</v>
      </c>
      <c r="S48" s="3699"/>
      <c r="T48" s="3699">
        <f>IF(F1="售价",ROUND(PRODUCT(T47,AB7:AB46),0),ROUND(PRODUCT(T47,AB7:AB46),1))</f>
        <v>6</v>
      </c>
      <c r="U48" s="3699"/>
      <c r="V48" s="3699">
        <f>IF(F1="售价",ROUND(PRODUCT(V47,AC7:AC46),0),ROUND(PRODUCT(V47,AC7:AC46),1))</f>
        <v>5.8</v>
      </c>
      <c r="W48" s="3699"/>
      <c r="X48" s="688"/>
      <c r="Y48" s="688"/>
      <c r="Z48" s="688"/>
      <c r="AA48" s="688"/>
      <c r="AB48" s="688"/>
      <c r="AC48" s="688"/>
    </row>
    <row r="49" spans="1:29" ht="15" thickBot="1">
      <c r="A49" s="441" t="s">
        <v>1794</v>
      </c>
      <c r="B49" s="442"/>
      <c r="C49" s="1161">
        <f>R49</f>
        <v>5.8</v>
      </c>
      <c r="D49" s="1161"/>
      <c r="E49" s="1161"/>
      <c r="F49" s="1161"/>
      <c r="G49" s="1161"/>
      <c r="H49" s="1161"/>
      <c r="I49" s="1161"/>
      <c r="J49" s="1161"/>
      <c r="K49" s="713"/>
      <c r="L49" s="2722"/>
      <c r="M49" s="2723"/>
      <c r="N49" s="2714"/>
      <c r="O49" s="2723"/>
      <c r="P49" s="3695" t="str">
        <f>A49</f>
        <v>估价对象XX用房的比较价值（楼面单价，元/平方米）</v>
      </c>
      <c r="Q49" s="3696"/>
      <c r="R49" s="3697">
        <f>IF(F1="售价",ROUND(IF(D48="简单平均",AVERAGE(R48:V48),R48*F48+T48*H48+V48*J48),0),ROUND(IF(D48="简单平均",AVERAGE(R48:V48),R48*F48+T48*H48+V48*J48),1))</f>
        <v>5.8</v>
      </c>
      <c r="S49" s="3697"/>
      <c r="T49" s="3697"/>
      <c r="U49" s="3697"/>
      <c r="V49" s="3697"/>
      <c r="W49" s="3697"/>
      <c r="X49" s="688"/>
      <c r="Y49" s="688"/>
      <c r="Z49" s="688"/>
      <c r="AA49" s="688"/>
      <c r="AB49" s="688"/>
      <c r="AC49" s="688"/>
    </row>
    <row r="50" spans="1:29">
      <c r="A50" s="2723"/>
      <c r="B50" s="2723"/>
      <c r="C50" s="2723">
        <f>C48/基准地价修正!S2*基准地价修正!S4</f>
        <v>3.8637059724349152</v>
      </c>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0.25</v>
      </c>
      <c r="F52" s="449" t="str">
        <f>IF(OR(E52&gt;=0.3,E52&lt;=-0.3),"超过30%","")</f>
        <v/>
      </c>
      <c r="G52" s="448">
        <f>IF(G47&lt;G48,G48/G47-1,G47/G48-1)</f>
        <v>0.25</v>
      </c>
      <c r="H52" s="449" t="str">
        <f>IF(OR(G52&gt;=0.3,G52&lt;=-0.3),"超过30%","")</f>
        <v/>
      </c>
      <c r="I52" s="448">
        <f>IF(I47&lt;I48,I48/I47-1,I47/I48-1)</f>
        <v>0.23965517241379319</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7.1428571428571397E-2</v>
      </c>
      <c r="F53" s="449" t="str">
        <f>IF(OR(E53&gt;=0.2,E53&lt;=-0.2),"超过20%","")</f>
        <v/>
      </c>
      <c r="G53" s="448">
        <f>IF(G48&lt;I48,I48/G48-1,G48/I48-1)</f>
        <v>3.4482758620689724E-2</v>
      </c>
      <c r="H53" s="449" t="str">
        <f>IF(OR(G53&gt;=0.2,G53&lt;=-0.2),"超过20%","")</f>
        <v/>
      </c>
      <c r="I53" s="448">
        <f>IF(I48&lt;E48,E48/I48-1,I48/E48-1)</f>
        <v>3.5714285714285809E-2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7.1428571428571397E-2</v>
      </c>
      <c r="F54" s="449" t="str">
        <f>IF(OR(E54&gt;=0.3,E54&lt;=-0.3),"超过30%","")</f>
        <v/>
      </c>
      <c r="G54" s="448">
        <f>IF(G47&lt;I47,I47/G47-1,G47/I47-1)</f>
        <v>4.311543810848395E-2</v>
      </c>
      <c r="H54" s="449" t="str">
        <f>IF(OR(G54&gt;=0.3,G54&lt;=-0.3),"超过30%","")</f>
        <v/>
      </c>
      <c r="I54" s="448">
        <f>IF(I47&lt;E47,E47/I47-1,I47/E47-1)</f>
        <v>2.7142857142857135E-2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4.4">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3452" t="s">
        <v>3444</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v>101</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0（含）-1</v>
      </c>
      <c r="D67" s="496" t="str">
        <f t="shared" ref="D67:L67" si="17">D68&amp;"（含）"&amp;"-"&amp;E68</f>
        <v>1（含）-2</v>
      </c>
      <c r="E67" s="496" t="str">
        <f t="shared" si="17"/>
        <v>2（含）-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v>0</v>
      </c>
      <c r="D68" s="498">
        <v>1</v>
      </c>
      <c r="E68" s="498">
        <v>2</v>
      </c>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6" t="s">
        <v>1799</v>
      </c>
      <c r="D82" s="606" t="s">
        <v>1800</v>
      </c>
      <c r="E82" s="606" t="s">
        <v>1801</v>
      </c>
      <c r="F82" s="606" t="s">
        <v>1802</v>
      </c>
      <c r="G82" s="606"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6"/>
      <c r="I83" s="606"/>
      <c r="J83" s="606"/>
      <c r="K83" s="606"/>
      <c r="L83" s="606"/>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3454" t="s">
        <v>3447</v>
      </c>
      <c r="D86" s="3454" t="s">
        <v>3448</v>
      </c>
      <c r="E86" s="3455" t="s">
        <v>3449</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2"/>
      <c r="O87" s="2752"/>
      <c r="P87" s="2742"/>
      <c r="Q87" s="2737"/>
      <c r="R87" s="2659"/>
      <c r="S87" s="2659"/>
      <c r="T87" s="2659"/>
      <c r="U87" s="2659"/>
      <c r="V87" s="2659"/>
      <c r="W87" s="2659"/>
      <c r="X87" s="2659"/>
      <c r="Y87" s="2659"/>
      <c r="Z87" s="2659"/>
      <c r="AA87" s="2659"/>
      <c r="AB87" s="2659"/>
      <c r="AC87" s="2659"/>
    </row>
    <row r="88" spans="1:29" s="108" customFormat="1" ht="15" thickTop="1">
      <c r="A88" s="528"/>
      <c r="B88" s="487" t="str">
        <f>B26</f>
        <v>平面位置/可视性</v>
      </c>
      <c r="C88" s="3454" t="s">
        <v>3450</v>
      </c>
      <c r="D88" s="3454" t="s">
        <v>3451</v>
      </c>
      <c r="E88" s="3454" t="s">
        <v>3452</v>
      </c>
      <c r="F88" s="3456" t="s">
        <v>3453</v>
      </c>
      <c r="G88" s="3454" t="s">
        <v>3454</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v>100</v>
      </c>
      <c r="D89" s="485">
        <v>99</v>
      </c>
      <c r="E89" s="485">
        <v>98</v>
      </c>
      <c r="F89" s="485">
        <v>97</v>
      </c>
      <c r="G89" s="485">
        <v>96</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 thickTop="1">
      <c r="A90" s="502"/>
      <c r="B90" s="487" t="str">
        <f>B27</f>
        <v>人流量</v>
      </c>
      <c r="C90" s="3454" t="s">
        <v>3455</v>
      </c>
      <c r="D90" s="3454" t="s">
        <v>3456</v>
      </c>
      <c r="E90" s="3454" t="s">
        <v>3457</v>
      </c>
      <c r="F90" s="3456" t="s">
        <v>3458</v>
      </c>
      <c r="G90" s="3454" t="s">
        <v>3459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99</v>
      </c>
      <c r="E91" s="493">
        <f t="shared" ref="E91:M91" si="21">D91-$K27</f>
        <v>98</v>
      </c>
      <c r="F91" s="493">
        <f t="shared" si="21"/>
        <v>97</v>
      </c>
      <c r="G91" s="493">
        <f t="shared" si="21"/>
        <v>96</v>
      </c>
      <c r="H91" s="493">
        <f t="shared" si="21"/>
        <v>95</v>
      </c>
      <c r="I91" s="493">
        <f t="shared" si="21"/>
        <v>94</v>
      </c>
      <c r="J91" s="493">
        <f t="shared" si="21"/>
        <v>93</v>
      </c>
      <c r="K91" s="493">
        <f t="shared" si="21"/>
        <v>92</v>
      </c>
      <c r="L91" s="493">
        <f t="shared" si="21"/>
        <v>91</v>
      </c>
      <c r="M91" s="493">
        <f t="shared" si="21"/>
        <v>90</v>
      </c>
      <c r="N91" s="2753"/>
      <c r="O91" s="2753"/>
      <c r="P91" s="2743"/>
      <c r="Q91" s="2744"/>
      <c r="R91" s="2745"/>
      <c r="S91" s="2745"/>
      <c r="T91" s="2745"/>
      <c r="U91" s="2745"/>
      <c r="V91" s="2745"/>
      <c r="W91" s="2745"/>
      <c r="X91" s="2745"/>
      <c r="Y91" s="2745"/>
      <c r="Z91" s="2745"/>
      <c r="AA91" s="2745"/>
      <c r="AB91" s="2745"/>
      <c r="AC91" s="2745"/>
    </row>
    <row r="92" spans="1:29" ht="15" thickTop="1">
      <c r="A92" s="483"/>
      <c r="B92" s="487" t="str">
        <f>B28</f>
        <v>楼层</v>
      </c>
      <c r="C92" s="503" t="s">
        <v>3460</v>
      </c>
      <c r="D92" s="3455" t="s">
        <v>3461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v>100</v>
      </c>
      <c r="D93" s="485">
        <v>95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 thickTop="1">
      <c r="A94" s="483"/>
      <c r="B94" s="487" t="str">
        <f>B29</f>
        <v>楼层</v>
      </c>
      <c r="C94" s="503" t="s">
        <v>3489</v>
      </c>
      <c r="D94" s="503" t="s">
        <v>3490</v>
      </c>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v>100</v>
      </c>
      <c r="D95" s="485">
        <v>80</v>
      </c>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28.8">
      <c r="A100" s="476" t="s">
        <v>1694</v>
      </c>
      <c r="B100" s="477" t="s">
        <v>1805</v>
      </c>
      <c r="C100" s="3457" t="s">
        <v>3462</v>
      </c>
      <c r="D100" s="3457" t="s">
        <v>3463</v>
      </c>
      <c r="E100" s="3457" t="s">
        <v>3464</v>
      </c>
      <c r="F100" s="3457" t="s">
        <v>3465</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0(含)-150</v>
      </c>
      <c r="D102" s="527" t="str">
        <f t="shared" ref="D102:L102" si="23">D103&amp;"(含)"&amp;"-"&amp;E103</f>
        <v>150(含)-300</v>
      </c>
      <c r="E102" s="527" t="str">
        <f t="shared" si="23"/>
        <v>300(含)-450</v>
      </c>
      <c r="F102" s="527" t="str">
        <f t="shared" si="23"/>
        <v>450(含)-600</v>
      </c>
      <c r="G102" s="527" t="str">
        <f t="shared" si="23"/>
        <v>600(含)-</v>
      </c>
      <c r="H102" s="527" t="str">
        <f t="shared" si="23"/>
        <v>(含)-</v>
      </c>
      <c r="I102" s="527" t="str">
        <f t="shared" si="23"/>
        <v>(含)-</v>
      </c>
      <c r="J102" s="527" t="str">
        <f t="shared" si="23"/>
        <v>(含)-</v>
      </c>
      <c r="K102" s="527" t="str">
        <f t="shared" si="23"/>
        <v>(含)-</v>
      </c>
      <c r="L102" s="527"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150</v>
      </c>
      <c r="E103" s="544">
        <v>300</v>
      </c>
      <c r="F103" s="544">
        <v>450</v>
      </c>
      <c r="G103" s="544">
        <v>600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v>96</v>
      </c>
      <c r="D104" s="485">
        <v>98</v>
      </c>
      <c r="E104" s="485">
        <v>100</v>
      </c>
      <c r="F104" s="485">
        <v>98</v>
      </c>
      <c r="G104" s="485">
        <v>96</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4" t="s">
        <v>3466</v>
      </c>
      <c r="D105" s="3454" t="s">
        <v>3467</v>
      </c>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54" t="s">
        <v>3468</v>
      </c>
      <c r="D107" s="3454" t="s">
        <v>3469</v>
      </c>
      <c r="E107" s="3454" t="s">
        <v>3470</v>
      </c>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54" t="s">
        <v>3471</v>
      </c>
      <c r="D112" s="3454" t="s">
        <v>3472</v>
      </c>
      <c r="E112" s="3454" t="s">
        <v>3473</v>
      </c>
      <c r="F112" s="3454" t="s">
        <v>3474</v>
      </c>
      <c r="G112" s="3454" t="s">
        <v>3475</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54" t="s">
        <v>3479</v>
      </c>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44">
        <v>0</v>
      </c>
      <c r="D118" s="544">
        <v>150</v>
      </c>
      <c r="E118" s="544">
        <v>300</v>
      </c>
      <c r="F118" s="544">
        <v>450</v>
      </c>
      <c r="G118" s="544">
        <v>600</v>
      </c>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v>96</v>
      </c>
      <c r="D119" s="485">
        <v>98</v>
      </c>
      <c r="E119" s="485">
        <v>100</v>
      </c>
      <c r="F119" s="485">
        <v>98</v>
      </c>
      <c r="G119" s="485">
        <v>96</v>
      </c>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4" t="s">
        <v>3476</v>
      </c>
      <c r="D122" s="3454" t="s">
        <v>3477</v>
      </c>
      <c r="E122" s="3454" t="s">
        <v>3478</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127.35</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4.4">
      <c r="A4" s="355" t="s">
        <v>1769</v>
      </c>
      <c r="B4" s="356"/>
      <c r="C4" s="3713" t="s">
        <v>1770</v>
      </c>
      <c r="D4" s="3714"/>
      <c r="E4" s="3715" t="s">
        <v>1771</v>
      </c>
      <c r="F4" s="3716"/>
      <c r="G4" s="3713" t="s">
        <v>1772</v>
      </c>
      <c r="H4" s="3714"/>
      <c r="I4" s="3713" t="s">
        <v>1773</v>
      </c>
      <c r="J4" s="3714"/>
      <c r="K4" s="559" t="s">
        <v>1774</v>
      </c>
      <c r="L4" s="2713"/>
      <c r="M4" s="2714"/>
      <c r="N4" s="2714"/>
      <c r="O4" s="2714"/>
      <c r="P4" s="3749" t="s">
        <v>1775</v>
      </c>
      <c r="Q4" s="3750"/>
      <c r="R4" s="3753" t="s">
        <v>1771</v>
      </c>
      <c r="S4" s="3754"/>
      <c r="T4" s="3753" t="s">
        <v>1772</v>
      </c>
      <c r="U4" s="3754"/>
      <c r="V4" s="3755" t="s">
        <v>1773</v>
      </c>
      <c r="W4" s="3755"/>
      <c r="X4" s="1956"/>
      <c r="Y4" s="3753" t="s">
        <v>1775</v>
      </c>
      <c r="Z4" s="3754"/>
      <c r="AA4" s="3757" t="s">
        <v>1771</v>
      </c>
      <c r="AB4" s="3757" t="s">
        <v>1772</v>
      </c>
      <c r="AC4" s="3746" t="s">
        <v>1773</v>
      </c>
    </row>
    <row r="5" spans="1:29">
      <c r="A5" s="358"/>
      <c r="B5" s="359"/>
      <c r="C5" s="3732" t="s">
        <v>1673</v>
      </c>
      <c r="D5" s="3733"/>
      <c r="E5" s="3739" t="s">
        <v>1674</v>
      </c>
      <c r="F5" s="3740"/>
      <c r="G5" s="3732" t="s">
        <v>1675</v>
      </c>
      <c r="H5" s="3733"/>
      <c r="I5" s="3732" t="s">
        <v>1676</v>
      </c>
      <c r="J5" s="3733"/>
      <c r="K5" s="559"/>
      <c r="L5" s="2713"/>
      <c r="M5" s="2714"/>
      <c r="N5" s="2714"/>
      <c r="O5" s="2714"/>
      <c r="P5" s="3751"/>
      <c r="Q5" s="3720"/>
      <c r="R5" s="3725"/>
      <c r="S5" s="3726"/>
      <c r="T5" s="3725"/>
      <c r="U5" s="3726"/>
      <c r="V5" s="3729"/>
      <c r="W5" s="3729"/>
      <c r="X5" s="1353"/>
      <c r="Y5" s="3725"/>
      <c r="Z5" s="3726"/>
      <c r="AA5" s="3711"/>
      <c r="AB5" s="3711"/>
      <c r="AC5" s="3747"/>
    </row>
    <row r="6" spans="1:29" ht="15" thickBot="1">
      <c r="A6" s="360"/>
      <c r="B6" s="361"/>
      <c r="C6" s="3730" t="s">
        <v>1677</v>
      </c>
      <c r="D6" s="3731"/>
      <c r="E6" s="3737" t="s">
        <v>1677</v>
      </c>
      <c r="F6" s="3738"/>
      <c r="G6" s="3730" t="s">
        <v>1677</v>
      </c>
      <c r="H6" s="3731"/>
      <c r="I6" s="3730" t="s">
        <v>1677</v>
      </c>
      <c r="J6" s="3731"/>
      <c r="K6" s="559" t="s">
        <v>1678</v>
      </c>
      <c r="L6" s="2713"/>
      <c r="M6" s="2714"/>
      <c r="N6" s="2714"/>
      <c r="O6" s="2714"/>
      <c r="P6" s="3752"/>
      <c r="Q6" s="3722"/>
      <c r="R6" s="3725"/>
      <c r="S6" s="3726"/>
      <c r="T6" s="3727"/>
      <c r="U6" s="3728"/>
      <c r="V6" s="3729"/>
      <c r="W6" s="3729"/>
      <c r="X6" s="1353"/>
      <c r="Y6" s="3727"/>
      <c r="Z6" s="3728"/>
      <c r="AA6" s="3712"/>
      <c r="AB6" s="3712"/>
      <c r="AC6" s="3748"/>
    </row>
    <row r="7" spans="1:29" s="108" customFormat="1" ht="15" thickBot="1">
      <c r="A7" s="362" t="s">
        <v>1679</v>
      </c>
      <c r="B7" s="363"/>
      <c r="C7" s="364">
        <f>'数据-取费表'!B2</f>
        <v>45491</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56" t="s">
        <v>1680</v>
      </c>
      <c r="Q7" s="3736"/>
      <c r="R7" s="699" t="s">
        <v>14</v>
      </c>
      <c r="S7" s="700">
        <f t="shared" ref="S7:S15" si="0">F7</f>
        <v>0</v>
      </c>
      <c r="T7" s="699" t="s">
        <v>14</v>
      </c>
      <c r="U7" s="700">
        <f t="shared" ref="U7:U15" si="1">H7</f>
        <v>0</v>
      </c>
      <c r="V7" s="699" t="s">
        <v>14</v>
      </c>
      <c r="W7" s="700">
        <f t="shared" ref="W7:W15" si="2">J7</f>
        <v>0</v>
      </c>
      <c r="X7" s="701"/>
      <c r="Y7" s="3734" t="s">
        <v>1680</v>
      </c>
      <c r="Z7" s="3735"/>
      <c r="AA7" s="702" t="e">
        <f>D7/F7</f>
        <v>#DIV/0!</v>
      </c>
      <c r="AB7" s="702" t="e">
        <f>D7/H7</f>
        <v>#DIV/0!</v>
      </c>
      <c r="AC7" s="1957"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56" t="s">
        <v>1683</v>
      </c>
      <c r="Q8" s="3735"/>
      <c r="R8" s="699" t="s">
        <v>14</v>
      </c>
      <c r="S8" s="700">
        <f t="shared" si="0"/>
        <v>100</v>
      </c>
      <c r="T8" s="699" t="s">
        <v>14</v>
      </c>
      <c r="U8" s="700">
        <f t="shared" si="1"/>
        <v>100</v>
      </c>
      <c r="V8" s="699" t="s">
        <v>14</v>
      </c>
      <c r="W8" s="700">
        <f t="shared" si="2"/>
        <v>100</v>
      </c>
      <c r="X8" s="701"/>
      <c r="Y8" s="3734" t="s">
        <v>1683</v>
      </c>
      <c r="Z8" s="3735"/>
      <c r="AA8" s="702">
        <f t="shared" ref="AA8:AA47" si="3">D8/F8</f>
        <v>1</v>
      </c>
      <c r="AB8" s="702">
        <f t="shared" ref="AB8:AB47" si="4">D8/H8</f>
        <v>1</v>
      </c>
      <c r="AC8" s="1957">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9" t="s">
        <v>1686</v>
      </c>
      <c r="Q9" s="1341" t="str">
        <f t="shared" ref="Q9:Q15" si="6">B9</f>
        <v>用途</v>
      </c>
      <c r="R9" s="699" t="s">
        <v>14</v>
      </c>
      <c r="S9" s="700">
        <f t="shared" si="0"/>
        <v>100</v>
      </c>
      <c r="T9" s="699" t="s">
        <v>14</v>
      </c>
      <c r="U9" s="700">
        <f t="shared" si="1"/>
        <v>100</v>
      </c>
      <c r="V9" s="699" t="s">
        <v>14</v>
      </c>
      <c r="W9" s="700">
        <f t="shared" si="2"/>
        <v>100</v>
      </c>
      <c r="X9" s="701"/>
      <c r="Y9" s="3554" t="s">
        <v>1687</v>
      </c>
      <c r="Z9" s="52" t="str">
        <f t="shared" ref="Z9:Z15" si="7">Q9</f>
        <v>用途</v>
      </c>
      <c r="AA9" s="702">
        <f t="shared" si="3"/>
        <v>1</v>
      </c>
      <c r="AB9" s="702">
        <f t="shared" si="4"/>
        <v>1</v>
      </c>
      <c r="AC9" s="1957">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9"/>
      <c r="Q10" s="1341" t="str">
        <f t="shared" si="6"/>
        <v>土地使用年限（年）</v>
      </c>
      <c r="R10" s="699" t="s">
        <v>14</v>
      </c>
      <c r="S10" s="700">
        <f t="shared" si="0"/>
        <v>100</v>
      </c>
      <c r="T10" s="699" t="s">
        <v>14</v>
      </c>
      <c r="U10" s="700">
        <f t="shared" si="1"/>
        <v>100</v>
      </c>
      <c r="V10" s="699" t="s">
        <v>14</v>
      </c>
      <c r="W10" s="700">
        <f t="shared" si="2"/>
        <v>100</v>
      </c>
      <c r="X10" s="701"/>
      <c r="Y10" s="3554"/>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9"/>
      <c r="Q11" s="1341" t="str">
        <f t="shared" si="6"/>
        <v>容积率</v>
      </c>
      <c r="R11" s="699" t="s">
        <v>14</v>
      </c>
      <c r="S11" s="700">
        <f t="shared" si="0"/>
        <v>100</v>
      </c>
      <c r="T11" s="699" t="s">
        <v>14</v>
      </c>
      <c r="U11" s="700">
        <f t="shared" si="1"/>
        <v>100</v>
      </c>
      <c r="V11" s="699" t="s">
        <v>14</v>
      </c>
      <c r="W11" s="700">
        <f t="shared" si="2"/>
        <v>100</v>
      </c>
      <c r="X11" s="701"/>
      <c r="Y11" s="3554"/>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09"/>
      <c r="Q12" s="1341">
        <f t="shared" si="6"/>
        <v>111</v>
      </c>
      <c r="R12" s="699" t="s">
        <v>14</v>
      </c>
      <c r="S12" s="700">
        <f t="shared" si="0"/>
        <v>100</v>
      </c>
      <c r="T12" s="699" t="s">
        <v>14</v>
      </c>
      <c r="U12" s="700">
        <f t="shared" si="1"/>
        <v>100</v>
      </c>
      <c r="V12" s="699" t="s">
        <v>14</v>
      </c>
      <c r="W12" s="700">
        <f t="shared" si="2"/>
        <v>100</v>
      </c>
      <c r="X12" s="701"/>
      <c r="Y12" s="3554"/>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09"/>
      <c r="Q13" s="1341">
        <f t="shared" si="6"/>
        <v>111</v>
      </c>
      <c r="R13" s="699" t="s">
        <v>14</v>
      </c>
      <c r="S13" s="700">
        <f t="shared" si="0"/>
        <v>100</v>
      </c>
      <c r="T13" s="699" t="s">
        <v>14</v>
      </c>
      <c r="U13" s="700">
        <f t="shared" si="1"/>
        <v>100</v>
      </c>
      <c r="V13" s="699" t="s">
        <v>14</v>
      </c>
      <c r="W13" s="700">
        <f t="shared" si="2"/>
        <v>100</v>
      </c>
      <c r="X13" s="701"/>
      <c r="Y13" s="3554"/>
      <c r="Z13" s="52">
        <f t="shared" si="7"/>
        <v>111</v>
      </c>
      <c r="AA13" s="702">
        <f t="shared" si="3"/>
        <v>1</v>
      </c>
      <c r="AB13" s="702">
        <f t="shared" si="4"/>
        <v>1</v>
      </c>
      <c r="AC13" s="1957">
        <f t="shared" si="5"/>
        <v>1</v>
      </c>
    </row>
    <row r="14" spans="1:29" ht="15.6" thickBot="1">
      <c r="A14" s="387"/>
      <c r="B14" s="1893">
        <v>111</v>
      </c>
      <c r="C14" s="388"/>
      <c r="D14" s="389">
        <v>100</v>
      </c>
      <c r="E14" s="574"/>
      <c r="F14" s="389">
        <f>SUMIF(75:75,E14,76:76)-SUMIF(75:75,C14,76:76)+100</f>
        <v>100</v>
      </c>
      <c r="G14" s="1958"/>
      <c r="H14" s="389">
        <f>SUMIF(75:75,G14,76:76)-SUMIF(75:75,C14,76:76)+100</f>
        <v>100</v>
      </c>
      <c r="I14" s="383"/>
      <c r="J14" s="389">
        <f>SUMIF(75:75,I14,76:76)-SUMIF(75:75,C14,76:76)+100</f>
        <v>100</v>
      </c>
      <c r="K14" s="562"/>
      <c r="L14" s="2720"/>
      <c r="M14" s="2714"/>
      <c r="N14" s="2714"/>
      <c r="O14" s="2714"/>
      <c r="P14" s="3709"/>
      <c r="Q14" s="1341">
        <f t="shared" si="6"/>
        <v>111</v>
      </c>
      <c r="R14" s="699" t="s">
        <v>14</v>
      </c>
      <c r="S14" s="700">
        <f t="shared" si="0"/>
        <v>100</v>
      </c>
      <c r="T14" s="699" t="s">
        <v>14</v>
      </c>
      <c r="U14" s="700">
        <f t="shared" si="1"/>
        <v>100</v>
      </c>
      <c r="V14" s="699" t="s">
        <v>14</v>
      </c>
      <c r="W14" s="700">
        <f t="shared" si="2"/>
        <v>100</v>
      </c>
      <c r="X14" s="701"/>
      <c r="Y14" s="3554"/>
      <c r="Z14" s="52">
        <f t="shared" si="7"/>
        <v>111</v>
      </c>
      <c r="AA14" s="702">
        <f t="shared" si="3"/>
        <v>1</v>
      </c>
      <c r="AB14" s="702">
        <f t="shared" si="4"/>
        <v>1</v>
      </c>
      <c r="AC14" s="1957">
        <f t="shared" si="5"/>
        <v>1</v>
      </c>
    </row>
    <row r="15" spans="1:29" ht="69">
      <c r="A15" s="391" t="s">
        <v>1690</v>
      </c>
      <c r="B15" s="575"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6"/>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82.8">
      <c r="A17" s="379"/>
      <c r="B17" s="577"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78"/>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1.4">
      <c r="A19" s="379"/>
      <c r="B19" s="577"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78"/>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7.6">
      <c r="A21" s="379"/>
      <c r="B21" s="579"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79"/>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55.2">
      <c r="A23" s="379"/>
      <c r="B23" s="577"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79"/>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8.8">
      <c r="A25" s="358"/>
      <c r="B25" s="577"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78"/>
      <c r="C26" s="580"/>
      <c r="D26" s="386"/>
      <c r="E26" s="565"/>
      <c r="F26" s="386"/>
      <c r="G26" s="580"/>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78" t="s">
        <v>1783</v>
      </c>
      <c r="C27" s="580"/>
      <c r="D27" s="386">
        <v>100</v>
      </c>
      <c r="E27" s="565"/>
      <c r="F27" s="386">
        <f>SUMIF(89:89,E27,90:90)-SUMIF(89:89,C27,90:90)+100</f>
        <v>100</v>
      </c>
      <c r="G27" s="580"/>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7"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6" thickBot="1">
      <c r="A32" s="387"/>
      <c r="B32" s="581">
        <v>111</v>
      </c>
      <c r="C32" s="1907"/>
      <c r="D32" s="389">
        <v>100</v>
      </c>
      <c r="E32" s="574"/>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28.8">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6"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4.4">
      <c r="A48" s="430" t="s">
        <v>1708</v>
      </c>
      <c r="B48" s="431"/>
      <c r="C48" s="1152" t="s">
        <v>0</v>
      </c>
      <c r="D48" s="1153"/>
      <c r="E48" s="1154"/>
      <c r="F48" s="1155"/>
      <c r="G48" s="1156"/>
      <c r="H48" s="1157"/>
      <c r="I48" s="1154"/>
      <c r="J48" s="436"/>
      <c r="K48" s="712"/>
      <c r="L48" s="2722"/>
      <c r="M48" s="2714"/>
      <c r="N48" s="2714"/>
      <c r="O48" s="2714"/>
      <c r="P48" s="3709" t="str">
        <f>A48</f>
        <v>成交单价（元/平方米）</v>
      </c>
      <c r="Q48" s="3698"/>
      <c r="R48" s="3699">
        <f>E48</f>
        <v>0</v>
      </c>
      <c r="S48" s="3699"/>
      <c r="T48" s="3699">
        <f>G48</f>
        <v>0</v>
      </c>
      <c r="U48" s="3699"/>
      <c r="V48" s="3699">
        <f>I48</f>
        <v>0</v>
      </c>
      <c r="W48" s="3699"/>
      <c r="X48" s="397"/>
      <c r="Y48" s="710"/>
      <c r="Z48" s="397"/>
      <c r="AA48" s="397"/>
      <c r="AB48" s="397"/>
      <c r="AC48" s="576"/>
    </row>
    <row r="49" spans="1:29" ht="15" thickBot="1">
      <c r="A49" s="437" t="s">
        <v>1793</v>
      </c>
      <c r="B49" s="438"/>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6"/>
    </row>
    <row r="50" spans="1:29" ht="15" thickBot="1">
      <c r="A50" s="441" t="s">
        <v>1794</v>
      </c>
      <c r="B50" s="442"/>
      <c r="C50" s="1161" t="e">
        <f>R50</f>
        <v>#DIV/0!</v>
      </c>
      <c r="D50" s="1161"/>
      <c r="E50" s="1161"/>
      <c r="F50" s="1161"/>
      <c r="G50" s="1161"/>
      <c r="H50" s="1161"/>
      <c r="I50" s="1161"/>
      <c r="J50" s="443"/>
      <c r="K50" s="713"/>
      <c r="L50" s="2722"/>
      <c r="M50" s="2714"/>
      <c r="N50" s="2714"/>
      <c r="O50" s="2714"/>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6" t="s">
        <v>1799</v>
      </c>
      <c r="D83" s="606" t="s">
        <v>1800</v>
      </c>
      <c r="E83" s="606" t="s">
        <v>1801</v>
      </c>
      <c r="F83" s="606" t="s">
        <v>1802</v>
      </c>
      <c r="G83" s="606"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6"/>
      <c r="I84" s="606"/>
      <c r="J84" s="606"/>
      <c r="K84" s="606"/>
      <c r="L84" s="606"/>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2"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127.35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4.4">
      <c r="A4" s="355" t="s">
        <v>1769</v>
      </c>
      <c r="B4" s="356"/>
      <c r="C4" s="3713" t="s">
        <v>1770</v>
      </c>
      <c r="D4" s="3714"/>
      <c r="E4" s="3715" t="s">
        <v>1771</v>
      </c>
      <c r="F4" s="3716"/>
      <c r="G4" s="3713" t="s">
        <v>1772</v>
      </c>
      <c r="H4" s="3714"/>
      <c r="I4" s="3713" t="s">
        <v>1773</v>
      </c>
      <c r="J4" s="3714"/>
      <c r="K4" s="559" t="s">
        <v>1774</v>
      </c>
      <c r="L4" s="911"/>
      <c r="M4" s="912"/>
      <c r="N4" s="912"/>
      <c r="O4" s="912"/>
      <c r="P4" s="3717" t="s">
        <v>1775</v>
      </c>
      <c r="Q4" s="3718"/>
      <c r="R4" s="3723" t="s">
        <v>1771</v>
      </c>
      <c r="S4" s="3724"/>
      <c r="T4" s="3723" t="s">
        <v>1772</v>
      </c>
      <c r="U4" s="3724"/>
      <c r="V4" s="3729" t="s">
        <v>1773</v>
      </c>
      <c r="W4" s="3729"/>
      <c r="X4" s="1353"/>
      <c r="Y4" s="3723" t="s">
        <v>1775</v>
      </c>
      <c r="Z4" s="3724"/>
      <c r="AA4" s="3710" t="s">
        <v>1771</v>
      </c>
      <c r="AB4" s="3711" t="s">
        <v>1772</v>
      </c>
      <c r="AC4" s="3710" t="s">
        <v>1773</v>
      </c>
    </row>
    <row r="5" spans="1:29">
      <c r="A5" s="358"/>
      <c r="B5" s="359"/>
      <c r="C5" s="3732" t="s">
        <v>1673</v>
      </c>
      <c r="D5" s="3733"/>
      <c r="E5" s="3739" t="s">
        <v>1674</v>
      </c>
      <c r="F5" s="3740"/>
      <c r="G5" s="3732" t="s">
        <v>1675</v>
      </c>
      <c r="H5" s="3733"/>
      <c r="I5" s="3732" t="s">
        <v>1676</v>
      </c>
      <c r="J5" s="3733"/>
      <c r="K5" s="559"/>
      <c r="L5" s="911"/>
      <c r="M5" s="912"/>
      <c r="N5" s="912"/>
      <c r="O5" s="912"/>
      <c r="P5" s="3719"/>
      <c r="Q5" s="3720"/>
      <c r="R5" s="3725"/>
      <c r="S5" s="3726"/>
      <c r="T5" s="3725"/>
      <c r="U5" s="3726"/>
      <c r="V5" s="3729"/>
      <c r="W5" s="3729"/>
      <c r="X5" s="1353"/>
      <c r="Y5" s="3725"/>
      <c r="Z5" s="3726"/>
      <c r="AA5" s="3711"/>
      <c r="AB5" s="3711"/>
      <c r="AC5" s="3711"/>
    </row>
    <row r="6" spans="1:29" ht="15" thickBot="1">
      <c r="A6" s="360"/>
      <c r="B6" s="361"/>
      <c r="C6" s="3730" t="s">
        <v>1677</v>
      </c>
      <c r="D6" s="3731"/>
      <c r="E6" s="3737" t="s">
        <v>1677</v>
      </c>
      <c r="F6" s="3738"/>
      <c r="G6" s="3730" t="s">
        <v>1677</v>
      </c>
      <c r="H6" s="3731"/>
      <c r="I6" s="3730" t="s">
        <v>1677</v>
      </c>
      <c r="J6" s="3731"/>
      <c r="K6" s="559" t="s">
        <v>1678</v>
      </c>
      <c r="L6" s="911"/>
      <c r="M6" s="912"/>
      <c r="N6" s="912"/>
      <c r="O6" s="912"/>
      <c r="P6" s="3721"/>
      <c r="Q6" s="3722"/>
      <c r="R6" s="3725"/>
      <c r="S6" s="3726"/>
      <c r="T6" s="3727"/>
      <c r="U6" s="3728"/>
      <c r="V6" s="3729"/>
      <c r="W6" s="3729"/>
      <c r="X6" s="1353"/>
      <c r="Y6" s="3727"/>
      <c r="Z6" s="3728"/>
      <c r="AA6" s="3712"/>
      <c r="AB6" s="3712"/>
      <c r="AC6" s="3712"/>
    </row>
    <row r="7" spans="1:29" s="108" customFormat="1" ht="15" thickBot="1">
      <c r="A7" s="362" t="s">
        <v>1679</v>
      </c>
      <c r="B7" s="363"/>
      <c r="C7" s="364">
        <f>'数据-取费表'!B2</f>
        <v>45491</v>
      </c>
      <c r="D7" s="365">
        <v>100</v>
      </c>
      <c r="E7" s="366"/>
      <c r="F7" s="367">
        <f>SUMIF(52:52,YEAR(E7)&amp;"-"&amp;MONTH(E7),53:53)</f>
        <v>0</v>
      </c>
      <c r="G7" s="366"/>
      <c r="H7" s="365">
        <f>SUMIF(52:52,YEAR(G7)&amp;"-"&amp;MONTH(G7),53:53)</f>
        <v>0</v>
      </c>
      <c r="I7" s="366"/>
      <c r="J7" s="365">
        <f>SUMIF(52:52,YEAR(I7)&amp;"-"&amp;MONTH(I7),53:53)</f>
        <v>0</v>
      </c>
      <c r="K7" s="560"/>
      <c r="L7" s="913"/>
      <c r="M7" s="914"/>
      <c r="N7" s="914"/>
      <c r="O7" s="914"/>
      <c r="P7" s="3734" t="s">
        <v>1680</v>
      </c>
      <c r="Q7" s="3736"/>
      <c r="R7" s="699" t="s">
        <v>14</v>
      </c>
      <c r="S7" s="700">
        <f t="shared" ref="S7:S15" si="0">F7</f>
        <v>0</v>
      </c>
      <c r="T7" s="699" t="s">
        <v>14</v>
      </c>
      <c r="U7" s="700">
        <f t="shared" ref="U7:U15" si="1">H7</f>
        <v>0</v>
      </c>
      <c r="V7" s="699" t="s">
        <v>14</v>
      </c>
      <c r="W7" s="700">
        <f t="shared" ref="W7:W15" si="2">J7</f>
        <v>0</v>
      </c>
      <c r="X7" s="701"/>
      <c r="Y7" s="3734" t="s">
        <v>1680</v>
      </c>
      <c r="Z7" s="3735"/>
      <c r="AA7" s="702" t="e">
        <f>D7/F7</f>
        <v>#DIV/0!</v>
      </c>
      <c r="AB7" s="702" t="e">
        <f>D7/H7</f>
        <v>#DIV/0!</v>
      </c>
      <c r="AC7" s="702"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34" t="s">
        <v>1683</v>
      </c>
      <c r="Q8" s="3735"/>
      <c r="R8" s="699" t="s">
        <v>14</v>
      </c>
      <c r="S8" s="700">
        <f t="shared" si="0"/>
        <v>100</v>
      </c>
      <c r="T8" s="699" t="s">
        <v>14</v>
      </c>
      <c r="U8" s="700">
        <f t="shared" si="1"/>
        <v>100</v>
      </c>
      <c r="V8" s="699" t="s">
        <v>14</v>
      </c>
      <c r="W8" s="700">
        <f t="shared" si="2"/>
        <v>100</v>
      </c>
      <c r="X8" s="701"/>
      <c r="Y8" s="3734" t="s">
        <v>1683</v>
      </c>
      <c r="Z8" s="3735"/>
      <c r="AA8" s="702">
        <f t="shared" ref="AA8:AA40" si="3">D8/F8</f>
        <v>1</v>
      </c>
      <c r="AB8" s="702">
        <f t="shared" ref="AB8:AB40" si="4">D8/H8</f>
        <v>1</v>
      </c>
      <c r="AC8" s="702">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554" t="s">
        <v>1687</v>
      </c>
      <c r="Z9" s="52" t="str">
        <f t="shared" ref="Z9:Z15" si="7">Q9</f>
        <v>用途</v>
      </c>
      <c r="AA9" s="702">
        <f t="shared" si="3"/>
        <v>1</v>
      </c>
      <c r="AB9" s="702">
        <f t="shared" si="4"/>
        <v>1</v>
      </c>
      <c r="AC9" s="702">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554"/>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554"/>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554"/>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554"/>
      <c r="Z13" s="52">
        <f t="shared" si="7"/>
        <v>111</v>
      </c>
      <c r="AA13" s="702">
        <f t="shared" si="3"/>
        <v>1</v>
      </c>
      <c r="AB13" s="702">
        <f t="shared" si="4"/>
        <v>1</v>
      </c>
      <c r="AC13" s="702">
        <f t="shared" si="5"/>
        <v>1</v>
      </c>
    </row>
    <row r="14" spans="1:29" ht="15.6"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554"/>
      <c r="Z14" s="52">
        <f t="shared" si="7"/>
        <v>111</v>
      </c>
      <c r="AA14" s="702">
        <f t="shared" si="3"/>
        <v>1</v>
      </c>
      <c r="AB14" s="702">
        <f t="shared" si="4"/>
        <v>1</v>
      </c>
      <c r="AC14" s="702">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96.6">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1.4">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41.4">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82.8">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6"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30">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58"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6"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4.4">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 thickBot="1">
      <c r="A42" s="437" t="s">
        <v>1793</v>
      </c>
      <c r="B42" s="438"/>
      <c r="C42" s="1158" t="e">
        <f>R43</f>
        <v>#DIV/0!</v>
      </c>
      <c r="D42" s="2315" t="s">
        <v>2138</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2.2" thickBot="1">
      <c r="A51" s="692" t="s">
        <v>1798</v>
      </c>
      <c r="B51" s="688"/>
      <c r="C51" s="693"/>
      <c r="D51" s="693"/>
      <c r="E51" s="693"/>
      <c r="F51" s="694"/>
      <c r="G51" s="694"/>
      <c r="H51" s="693"/>
      <c r="I51" s="693"/>
      <c r="J51" s="693"/>
      <c r="K51" s="939"/>
      <c r="L51" s="940"/>
      <c r="M51" s="938"/>
      <c r="N51" s="938"/>
      <c r="O51" s="938"/>
      <c r="P51" s="452"/>
      <c r="Q51" s="453"/>
    </row>
    <row r="52" spans="1:17" s="457" customFormat="1" ht="14.4">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c r="A53" s="458"/>
      <c r="B53" s="459"/>
      <c r="C53" s="1181">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0"/>
      <c r="O55" s="930"/>
      <c r="P55" s="475"/>
      <c r="Q55" s="453"/>
    </row>
    <row r="56" spans="1:17" s="108" customFormat="1" ht="14.4" thickBot="1">
      <c r="A56" s="470"/>
      <c r="B56" s="459"/>
      <c r="C56" s="585">
        <v>100</v>
      </c>
      <c r="D56" s="461"/>
      <c r="E56" s="461"/>
      <c r="F56" s="461"/>
      <c r="G56" s="461"/>
      <c r="H56" s="461"/>
      <c r="I56" s="461"/>
      <c r="J56" s="461"/>
      <c r="K56" s="461"/>
      <c r="L56" s="461"/>
      <c r="M56" s="463"/>
      <c r="N56" s="930"/>
      <c r="O56" s="930"/>
      <c r="P56" s="453"/>
      <c r="Q56" s="453"/>
    </row>
    <row r="57" spans="1:17" ht="14.4">
      <c r="A57" s="476" t="s">
        <v>1719</v>
      </c>
      <c r="B57" s="477" t="s">
        <v>1685</v>
      </c>
      <c r="C57" s="478">
        <f>C9</f>
        <v>0</v>
      </c>
      <c r="D57" s="479"/>
      <c r="E57" s="479"/>
      <c r="F57" s="479"/>
      <c r="G57" s="479"/>
      <c r="H57" s="479"/>
      <c r="I57" s="479"/>
      <c r="J57" s="479"/>
      <c r="K57" s="480"/>
      <c r="L57" s="481"/>
      <c r="M57" s="482"/>
      <c r="N57" s="931"/>
      <c r="O57" s="931"/>
      <c r="P57" s="42"/>
      <c r="Q57" s="453"/>
    </row>
    <row r="58" spans="1:17" ht="14.4" thickBot="1">
      <c r="A58" s="483"/>
      <c r="B58" s="484"/>
      <c r="C58" s="485">
        <v>100</v>
      </c>
      <c r="D58" s="485"/>
      <c r="E58" s="485"/>
      <c r="F58" s="485"/>
      <c r="G58" s="485"/>
      <c r="H58" s="485"/>
      <c r="I58" s="485"/>
      <c r="J58" s="485"/>
      <c r="K58" s="485"/>
      <c r="L58" s="485"/>
      <c r="M58" s="486"/>
      <c r="N58" s="932"/>
      <c r="O58" s="932"/>
      <c r="P58" s="42"/>
      <c r="Q58" s="453"/>
    </row>
    <row r="59" spans="1:17" ht="29.4" thickTop="1">
      <c r="A59" s="483"/>
      <c r="B59" s="487" t="s">
        <v>1688</v>
      </c>
      <c r="C59" s="532"/>
      <c r="D59" s="532"/>
      <c r="E59" s="532"/>
      <c r="F59" s="532"/>
      <c r="G59" s="532"/>
      <c r="H59" s="532"/>
      <c r="I59" s="532"/>
      <c r="J59" s="532"/>
      <c r="K59" s="533"/>
      <c r="L59" s="534"/>
      <c r="M59" s="535"/>
      <c r="N59" s="931"/>
      <c r="O59" s="931"/>
      <c r="P59" s="42"/>
      <c r="Q59" s="453"/>
    </row>
    <row r="60" spans="1:17" ht="14.4" thickBot="1">
      <c r="A60" s="483"/>
      <c r="B60" s="492"/>
      <c r="C60" s="485"/>
      <c r="D60" s="485"/>
      <c r="E60" s="485"/>
      <c r="F60" s="485"/>
      <c r="G60" s="485"/>
      <c r="H60" s="485"/>
      <c r="I60" s="485"/>
      <c r="J60" s="485"/>
      <c r="K60" s="485"/>
      <c r="L60" s="485"/>
      <c r="M60" s="486"/>
      <c r="N60" s="932"/>
      <c r="O60" s="932"/>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c r="A62" s="483"/>
      <c r="B62" s="497"/>
      <c r="C62" s="498">
        <v>0</v>
      </c>
      <c r="D62" s="498">
        <v>2</v>
      </c>
      <c r="E62" s="498"/>
      <c r="F62" s="498"/>
      <c r="G62" s="498"/>
      <c r="H62" s="498"/>
      <c r="I62" s="498"/>
      <c r="J62" s="498"/>
      <c r="K62" s="499"/>
      <c r="L62" s="500"/>
      <c r="M62" s="501"/>
      <c r="N62" s="931"/>
      <c r="O62" s="931"/>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4.4" thickTop="1">
      <c r="A64" s="502"/>
      <c r="B64" s="487">
        <f>B12</f>
        <v>111</v>
      </c>
      <c r="C64" s="503"/>
      <c r="D64" s="503"/>
      <c r="E64" s="503"/>
      <c r="F64" s="503"/>
      <c r="G64" s="503"/>
      <c r="H64" s="504"/>
      <c r="I64" s="504"/>
      <c r="J64" s="504"/>
      <c r="K64" s="504"/>
      <c r="L64" s="505"/>
      <c r="M64" s="506"/>
      <c r="N64" s="933"/>
      <c r="O64" s="933"/>
      <c r="P64" s="507"/>
      <c r="Q64" s="508"/>
    </row>
    <row r="65" spans="1:17" s="422" customFormat="1" ht="14.4" thickBot="1">
      <c r="A65" s="502"/>
      <c r="B65" s="492"/>
      <c r="C65" s="509"/>
      <c r="D65" s="485"/>
      <c r="E65" s="485"/>
      <c r="F65" s="485"/>
      <c r="G65" s="485"/>
      <c r="H65" s="485"/>
      <c r="I65" s="485"/>
      <c r="J65" s="485"/>
      <c r="K65" s="485"/>
      <c r="L65" s="485"/>
      <c r="M65" s="486"/>
      <c r="N65" s="932"/>
      <c r="O65" s="932"/>
      <c r="P65" s="507"/>
      <c r="Q65" s="508"/>
    </row>
    <row r="66" spans="1:17" s="422" customFormat="1" ht="14.4" thickTop="1">
      <c r="A66" s="502"/>
      <c r="B66" s="487">
        <f>B13</f>
        <v>111</v>
      </c>
      <c r="C66" s="503"/>
      <c r="D66" s="503"/>
      <c r="E66" s="503"/>
      <c r="F66" s="503"/>
      <c r="G66" s="503"/>
      <c r="H66" s="504"/>
      <c r="I66" s="504"/>
      <c r="J66" s="504"/>
      <c r="K66" s="504"/>
      <c r="L66" s="505"/>
      <c r="M66" s="506"/>
      <c r="N66" s="933"/>
      <c r="O66" s="933"/>
      <c r="P66" s="421"/>
      <c r="Q66" s="510"/>
    </row>
    <row r="67" spans="1:17" s="422" customFormat="1" ht="14.4" thickBot="1">
      <c r="A67" s="502"/>
      <c r="B67" s="492"/>
      <c r="C67" s="509"/>
      <c r="D67" s="485"/>
      <c r="E67" s="485"/>
      <c r="F67" s="485"/>
      <c r="G67" s="509"/>
      <c r="H67" s="511"/>
      <c r="I67" s="511"/>
      <c r="J67" s="511"/>
      <c r="K67" s="511"/>
      <c r="L67" s="511"/>
      <c r="M67" s="512"/>
      <c r="N67" s="933"/>
      <c r="O67" s="933"/>
      <c r="P67" s="507"/>
      <c r="Q67" s="508"/>
    </row>
    <row r="68" spans="1:17" s="422" customFormat="1" ht="14.4" thickTop="1">
      <c r="A68" s="502"/>
      <c r="B68" s="495">
        <f>B14</f>
        <v>111</v>
      </c>
      <c r="C68" s="472"/>
      <c r="D68" s="472"/>
      <c r="E68" s="472"/>
      <c r="F68" s="472"/>
      <c r="G68" s="472"/>
      <c r="H68" s="513"/>
      <c r="I68" s="513"/>
      <c r="J68" s="513"/>
      <c r="K68" s="513"/>
      <c r="L68" s="514"/>
      <c r="M68" s="515"/>
      <c r="N68" s="933"/>
      <c r="O68" s="933"/>
      <c r="P68" s="516"/>
      <c r="Q68" s="508"/>
    </row>
    <row r="69" spans="1:17" s="422" customFormat="1" ht="14.4" thickBot="1">
      <c r="A69" s="517"/>
      <c r="B69" s="518"/>
      <c r="C69" s="519"/>
      <c r="D69" s="519"/>
      <c r="E69" s="519"/>
      <c r="F69" s="519"/>
      <c r="G69" s="519"/>
      <c r="H69" s="520"/>
      <c r="I69" s="520"/>
      <c r="J69" s="520"/>
      <c r="K69" s="520"/>
      <c r="L69" s="520"/>
      <c r="M69" s="521"/>
      <c r="N69" s="933"/>
      <c r="O69" s="933"/>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 thickTop="1">
      <c r="A76" s="483"/>
      <c r="B76" s="495" t="s">
        <v>1813</v>
      </c>
      <c r="C76" s="606" t="s">
        <v>1799</v>
      </c>
      <c r="D76" s="606" t="s">
        <v>1800</v>
      </c>
      <c r="E76" s="606" t="s">
        <v>1801</v>
      </c>
      <c r="F76" s="606" t="s">
        <v>1802</v>
      </c>
      <c r="G76" s="606" t="s">
        <v>1803</v>
      </c>
      <c r="H76" s="488"/>
      <c r="I76" s="488"/>
      <c r="J76" s="488"/>
      <c r="K76" s="488"/>
      <c r="L76" s="488"/>
      <c r="M76" s="1127"/>
      <c r="N76" s="932"/>
      <c r="O76" s="932"/>
      <c r="P76" s="42"/>
      <c r="Q76" s="453"/>
    </row>
    <row r="77" spans="1:17" ht="14.4" thickBot="1">
      <c r="A77" s="483"/>
      <c r="B77" s="495"/>
      <c r="C77" s="493">
        <v>100</v>
      </c>
      <c r="D77" s="493">
        <f>C77-$K21</f>
        <v>100</v>
      </c>
      <c r="E77" s="493">
        <f>D77-$K21</f>
        <v>100</v>
      </c>
      <c r="F77" s="493">
        <f>E77-$K21</f>
        <v>100</v>
      </c>
      <c r="G77" s="493">
        <f>F77-$K21</f>
        <v>100</v>
      </c>
      <c r="H77" s="606"/>
      <c r="I77" s="606"/>
      <c r="J77" s="606"/>
      <c r="K77" s="606"/>
      <c r="L77" s="606"/>
      <c r="M77" s="401"/>
      <c r="N77" s="932"/>
      <c r="O77" s="932"/>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4.4" thickTop="1">
      <c r="A80" s="528"/>
      <c r="B80" s="487">
        <f>B25</f>
        <v>111</v>
      </c>
      <c r="C80" s="503"/>
      <c r="D80" s="503"/>
      <c r="E80" s="503"/>
      <c r="F80" s="503"/>
      <c r="G80" s="503"/>
      <c r="H80" s="503"/>
      <c r="I80" s="503"/>
      <c r="J80" s="503"/>
      <c r="K80" s="503"/>
      <c r="L80" s="529"/>
      <c r="M80" s="530"/>
      <c r="N80" s="930"/>
      <c r="O80" s="930"/>
      <c r="P80" s="42"/>
      <c r="Q80" s="453"/>
    </row>
    <row r="81" spans="1:17" s="108" customFormat="1" ht="14.4" thickBot="1">
      <c r="A81" s="528"/>
      <c r="B81" s="492"/>
      <c r="C81" s="509"/>
      <c r="D81" s="485"/>
      <c r="E81" s="485"/>
      <c r="F81" s="485"/>
      <c r="G81" s="485"/>
      <c r="H81" s="485"/>
      <c r="I81" s="485"/>
      <c r="J81" s="485"/>
      <c r="K81" s="485"/>
      <c r="L81" s="485"/>
      <c r="M81" s="486"/>
      <c r="N81" s="932"/>
      <c r="O81" s="932"/>
      <c r="P81" s="42"/>
      <c r="Q81" s="453"/>
    </row>
    <row r="82" spans="1:17" s="108" customFormat="1" ht="14.4" thickTop="1">
      <c r="A82" s="528"/>
      <c r="B82" s="487">
        <f>B26</f>
        <v>111</v>
      </c>
      <c r="C82" s="503"/>
      <c r="D82" s="503"/>
      <c r="E82" s="503"/>
      <c r="F82" s="503"/>
      <c r="G82" s="503"/>
      <c r="H82" s="503"/>
      <c r="I82" s="503"/>
      <c r="J82" s="503"/>
      <c r="K82" s="503"/>
      <c r="L82" s="529"/>
      <c r="M82" s="530"/>
      <c r="N82" s="930"/>
      <c r="O82" s="930"/>
      <c r="P82" s="42"/>
      <c r="Q82" s="453"/>
    </row>
    <row r="83" spans="1:17" s="108" customFormat="1" ht="14.4" thickBot="1">
      <c r="A83" s="528"/>
      <c r="B83" s="492"/>
      <c r="C83" s="509"/>
      <c r="D83" s="485"/>
      <c r="E83" s="485"/>
      <c r="F83" s="485"/>
      <c r="G83" s="485"/>
      <c r="H83" s="485"/>
      <c r="I83" s="485"/>
      <c r="J83" s="485"/>
      <c r="K83" s="485"/>
      <c r="L83" s="485"/>
      <c r="M83" s="486"/>
      <c r="N83" s="932"/>
      <c r="O83" s="932"/>
      <c r="P83" s="42"/>
      <c r="Q83" s="453"/>
    </row>
    <row r="84" spans="1:17" s="422" customFormat="1" ht="14.4" thickTop="1">
      <c r="A84" s="502"/>
      <c r="B84" s="487">
        <f>B27</f>
        <v>111</v>
      </c>
      <c r="C84" s="503"/>
      <c r="D84" s="503"/>
      <c r="E84" s="503"/>
      <c r="F84" s="503"/>
      <c r="G84" s="503"/>
      <c r="H84" s="503"/>
      <c r="I84" s="503"/>
      <c r="J84" s="503"/>
      <c r="K84" s="503"/>
      <c r="L84" s="529"/>
      <c r="M84" s="530"/>
      <c r="N84" s="933"/>
      <c r="O84" s="933"/>
      <c r="P84" s="507"/>
      <c r="Q84" s="508"/>
    </row>
    <row r="85" spans="1:17" s="422" customFormat="1" ht="14.4" thickBot="1">
      <c r="A85" s="502"/>
      <c r="B85" s="492"/>
      <c r="C85" s="509"/>
      <c r="D85" s="485"/>
      <c r="E85" s="485"/>
      <c r="F85" s="485"/>
      <c r="G85" s="485"/>
      <c r="H85" s="485"/>
      <c r="I85" s="485"/>
      <c r="J85" s="485"/>
      <c r="K85" s="485"/>
      <c r="L85" s="485"/>
      <c r="M85" s="486"/>
      <c r="N85" s="933"/>
      <c r="O85" s="933"/>
      <c r="P85" s="507"/>
      <c r="Q85" s="508"/>
    </row>
    <row r="86" spans="1:17" ht="14.4" thickTop="1">
      <c r="A86" s="483"/>
      <c r="B86" s="495">
        <f>B28</f>
        <v>111</v>
      </c>
      <c r="C86" s="472"/>
      <c r="D86" s="472"/>
      <c r="E86" s="472"/>
      <c r="F86" s="472"/>
      <c r="G86" s="536"/>
      <c r="H86" s="536"/>
      <c r="I86" s="536"/>
      <c r="J86" s="536"/>
      <c r="K86" s="537"/>
      <c r="L86" s="538"/>
      <c r="M86" s="539"/>
      <c r="N86" s="931"/>
      <c r="O86" s="931"/>
      <c r="P86" s="42"/>
      <c r="Q86" s="453"/>
    </row>
    <row r="87" spans="1:17" ht="14.4" thickBot="1">
      <c r="A87" s="1926"/>
      <c r="B87" s="518"/>
      <c r="C87" s="519"/>
      <c r="D87" s="519"/>
      <c r="E87" s="519"/>
      <c r="F87" s="519"/>
      <c r="G87" s="540"/>
      <c r="H87" s="540"/>
      <c r="I87" s="540"/>
      <c r="J87" s="540"/>
      <c r="K87" s="540"/>
      <c r="L87" s="540"/>
      <c r="M87" s="541"/>
      <c r="N87" s="932"/>
      <c r="O87" s="932"/>
      <c r="P87" s="42"/>
      <c r="Q87" s="453"/>
    </row>
    <row r="88" spans="1:17" ht="14.4">
      <c r="A88" s="476" t="s">
        <v>1694</v>
      </c>
      <c r="B88" s="477" t="s">
        <v>1736</v>
      </c>
      <c r="C88" s="479"/>
      <c r="D88" s="479"/>
      <c r="E88" s="479"/>
      <c r="F88" s="479"/>
      <c r="G88" s="479"/>
      <c r="H88" s="479"/>
      <c r="I88" s="479"/>
      <c r="J88" s="479"/>
      <c r="K88" s="480"/>
      <c r="L88" s="481"/>
      <c r="M88" s="482"/>
      <c r="N88" s="931"/>
      <c r="O88" s="931"/>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4.4"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0"/>
      <c r="J98" s="570"/>
      <c r="K98" s="571"/>
      <c r="L98" s="572"/>
      <c r="M98" s="573"/>
      <c r="N98" s="931"/>
      <c r="O98" s="931"/>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29.4" thickTop="1">
      <c r="A106" s="548"/>
      <c r="B106" s="582" t="s">
        <v>1830</v>
      </c>
      <c r="C106" s="527" t="s">
        <v>1721</v>
      </c>
      <c r="D106" s="527" t="s">
        <v>1722</v>
      </c>
      <c r="E106" s="527" t="s">
        <v>1723</v>
      </c>
      <c r="F106" s="527" t="s">
        <v>1724</v>
      </c>
      <c r="G106" s="527" t="s">
        <v>1725</v>
      </c>
      <c r="H106" s="488"/>
      <c r="I106" s="488"/>
      <c r="J106" s="488"/>
      <c r="K106" s="489"/>
      <c r="L106" s="490"/>
      <c r="M106" s="491"/>
      <c r="N106" s="932"/>
      <c r="O106" s="932"/>
      <c r="P106" s="583"/>
      <c r="Q106" s="584"/>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4.4"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4.4" thickBot="1">
      <c r="A109" s="502"/>
      <c r="B109" s="484"/>
      <c r="C109" s="509"/>
      <c r="D109" s="485"/>
      <c r="E109" s="485"/>
      <c r="F109" s="485"/>
      <c r="G109" s="509"/>
      <c r="H109" s="511"/>
      <c r="I109" s="511"/>
      <c r="J109" s="511"/>
      <c r="K109" s="511"/>
      <c r="L109" s="511"/>
      <c r="M109" s="512"/>
      <c r="N109" s="933"/>
      <c r="O109" s="933"/>
      <c r="P109" s="507"/>
      <c r="Q109" s="508"/>
    </row>
    <row r="110" spans="1:17" ht="14.4" thickTop="1">
      <c r="A110" s="548"/>
      <c r="B110" s="487">
        <f>B39</f>
        <v>111</v>
      </c>
      <c r="C110" s="503"/>
      <c r="D110" s="503"/>
      <c r="E110" s="503"/>
      <c r="F110" s="503"/>
      <c r="G110" s="503"/>
      <c r="H110" s="504"/>
      <c r="I110" s="504"/>
      <c r="J110" s="504"/>
      <c r="K110" s="504"/>
      <c r="L110" s="505"/>
      <c r="M110" s="506"/>
      <c r="N110" s="931"/>
      <c r="O110" s="931"/>
      <c r="P110" s="42"/>
      <c r="Q110" s="453"/>
    </row>
    <row r="111" spans="1:17" ht="14.4" thickBot="1">
      <c r="A111" s="483"/>
      <c r="B111" s="492"/>
      <c r="C111" s="509"/>
      <c r="D111" s="485"/>
      <c r="E111" s="485"/>
      <c r="F111" s="485"/>
      <c r="G111" s="509"/>
      <c r="H111" s="511"/>
      <c r="I111" s="511"/>
      <c r="J111" s="511"/>
      <c r="K111" s="511"/>
      <c r="L111" s="511"/>
      <c r="M111" s="512"/>
      <c r="N111" s="932"/>
      <c r="O111" s="932"/>
      <c r="P111" s="42"/>
      <c r="Q111" s="453"/>
    </row>
    <row r="112" spans="1:17" ht="14.4" thickTop="1">
      <c r="A112" s="548"/>
      <c r="B112" s="495">
        <f>B40</f>
        <v>111</v>
      </c>
      <c r="C112" s="472"/>
      <c r="D112" s="472"/>
      <c r="E112" s="472"/>
      <c r="F112" s="472"/>
      <c r="G112" s="536"/>
      <c r="H112" s="536"/>
      <c r="I112" s="536"/>
      <c r="J112" s="536"/>
      <c r="K112" s="472"/>
      <c r="L112" s="473"/>
      <c r="M112" s="539"/>
      <c r="N112" s="931"/>
      <c r="O112" s="931"/>
      <c r="P112" s="42"/>
      <c r="Q112" s="453"/>
    </row>
    <row r="113" spans="1:17" ht="14.4"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1831</v>
      </c>
      <c r="B1" s="1221" t="s">
        <v>3335</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4.4">
      <c r="A4" s="355" t="s">
        <v>1769</v>
      </c>
      <c r="B4" s="356"/>
      <c r="C4" s="3713" t="s">
        <v>1770</v>
      </c>
      <c r="D4" s="3714"/>
      <c r="E4" s="3715" t="s">
        <v>1771</v>
      </c>
      <c r="F4" s="3716"/>
      <c r="G4" s="3713" t="s">
        <v>1772</v>
      </c>
      <c r="H4" s="3714"/>
      <c r="I4" s="3713" t="s">
        <v>1773</v>
      </c>
      <c r="J4" s="3714"/>
      <c r="K4" s="559" t="s">
        <v>1774</v>
      </c>
      <c r="L4" s="2713"/>
      <c r="M4" s="2714"/>
      <c r="N4" s="2714"/>
      <c r="O4" s="2714"/>
      <c r="P4" s="3717" t="s">
        <v>1775</v>
      </c>
      <c r="Q4" s="3718"/>
      <c r="R4" s="3723" t="s">
        <v>1771</v>
      </c>
      <c r="S4" s="3724"/>
      <c r="T4" s="3723" t="s">
        <v>1772</v>
      </c>
      <c r="U4" s="3724"/>
      <c r="V4" s="3729" t="s">
        <v>1773</v>
      </c>
      <c r="W4" s="3729"/>
      <c r="X4" s="1353"/>
      <c r="Y4" s="3723" t="s">
        <v>1775</v>
      </c>
      <c r="Z4" s="3724"/>
      <c r="AA4" s="3710" t="s">
        <v>1771</v>
      </c>
      <c r="AB4" s="3711" t="s">
        <v>1772</v>
      </c>
      <c r="AC4" s="3710" t="s">
        <v>1773</v>
      </c>
    </row>
    <row r="5" spans="1:29">
      <c r="A5" s="358"/>
      <c r="B5" s="359"/>
      <c r="C5" s="3732" t="s">
        <v>1673</v>
      </c>
      <c r="D5" s="3733"/>
      <c r="E5" s="3739" t="s">
        <v>1674</v>
      </c>
      <c r="F5" s="3740"/>
      <c r="G5" s="3732" t="s">
        <v>1675</v>
      </c>
      <c r="H5" s="3733"/>
      <c r="I5" s="3732" t="s">
        <v>1676</v>
      </c>
      <c r="J5" s="3733"/>
      <c r="K5" s="559"/>
      <c r="L5" s="2713"/>
      <c r="M5" s="2714"/>
      <c r="N5" s="2714"/>
      <c r="O5" s="2714"/>
      <c r="P5" s="3719"/>
      <c r="Q5" s="3720"/>
      <c r="R5" s="3725"/>
      <c r="S5" s="3726"/>
      <c r="T5" s="3725"/>
      <c r="U5" s="3726"/>
      <c r="V5" s="3729"/>
      <c r="W5" s="3729"/>
      <c r="X5" s="1353"/>
      <c r="Y5" s="3725"/>
      <c r="Z5" s="3726"/>
      <c r="AA5" s="3711"/>
      <c r="AB5" s="3711"/>
      <c r="AC5" s="3711"/>
    </row>
    <row r="6" spans="1:29" ht="15" thickBot="1">
      <c r="A6" s="360"/>
      <c r="B6" s="361"/>
      <c r="C6" s="3730" t="s">
        <v>1677</v>
      </c>
      <c r="D6" s="3731"/>
      <c r="E6" s="3737" t="s">
        <v>1677</v>
      </c>
      <c r="F6" s="3738"/>
      <c r="G6" s="3730" t="s">
        <v>1677</v>
      </c>
      <c r="H6" s="3731"/>
      <c r="I6" s="3730" t="s">
        <v>1677</v>
      </c>
      <c r="J6" s="3731"/>
      <c r="K6" s="559" t="s">
        <v>1678</v>
      </c>
      <c r="L6" s="2713"/>
      <c r="M6" s="2714"/>
      <c r="N6" s="2714"/>
      <c r="O6" s="2714"/>
      <c r="P6" s="3721"/>
      <c r="Q6" s="3722"/>
      <c r="R6" s="3725"/>
      <c r="S6" s="3726"/>
      <c r="T6" s="3727"/>
      <c r="U6" s="3728"/>
      <c r="V6" s="3729"/>
      <c r="W6" s="3729"/>
      <c r="X6" s="1353"/>
      <c r="Y6" s="3727"/>
      <c r="Z6" s="3728"/>
      <c r="AA6" s="3712"/>
      <c r="AB6" s="3712"/>
      <c r="AC6" s="3712"/>
    </row>
    <row r="7" spans="1:29" s="108" customFormat="1" ht="15" thickBot="1">
      <c r="A7" s="362" t="s">
        <v>1679</v>
      </c>
      <c r="B7" s="363"/>
      <c r="C7" s="364">
        <f>'数据-取费表'!B2</f>
        <v>45491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34" t="s">
        <v>1680</v>
      </c>
      <c r="Q7" s="3736"/>
      <c r="R7" s="699" t="s">
        <v>14</v>
      </c>
      <c r="S7" s="700">
        <f t="shared" ref="S7:S14" si="0">F7</f>
        <v>0</v>
      </c>
      <c r="T7" s="699" t="s">
        <v>14</v>
      </c>
      <c r="U7" s="700">
        <f t="shared" ref="U7:U14" si="1">H7</f>
        <v>0</v>
      </c>
      <c r="V7" s="699" t="s">
        <v>14</v>
      </c>
      <c r="W7" s="700">
        <f t="shared" ref="W7:W14" si="2">J7</f>
        <v>0</v>
      </c>
      <c r="X7" s="701"/>
      <c r="Y7" s="3734" t="s">
        <v>1680</v>
      </c>
      <c r="Z7" s="3735"/>
      <c r="AA7" s="702" t="e">
        <f>D7/F7</f>
        <v>#DIV/0!</v>
      </c>
      <c r="AB7" s="702" t="e">
        <f>D7/H7</f>
        <v>#DIV/0!</v>
      </c>
      <c r="AC7" s="702"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34" t="s">
        <v>1683</v>
      </c>
      <c r="Q8" s="3735"/>
      <c r="R8" s="699" t="s">
        <v>14</v>
      </c>
      <c r="S8" s="700">
        <f t="shared" si="0"/>
        <v>100</v>
      </c>
      <c r="T8" s="699" t="s">
        <v>14</v>
      </c>
      <c r="U8" s="700">
        <f t="shared" si="1"/>
        <v>100</v>
      </c>
      <c r="V8" s="699" t="s">
        <v>14</v>
      </c>
      <c r="W8" s="700">
        <f t="shared" si="2"/>
        <v>100</v>
      </c>
      <c r="X8" s="701"/>
      <c r="Y8" s="3734" t="s">
        <v>1683</v>
      </c>
      <c r="Z8" s="3735"/>
      <c r="AA8" s="702">
        <f t="shared" ref="AA8:AA36" si="3">D8/F8</f>
        <v>1</v>
      </c>
      <c r="AB8" s="702">
        <f t="shared" ref="AB8:AB36" si="4">D8/H8</f>
        <v>1</v>
      </c>
      <c r="AC8" s="702">
        <f t="shared" ref="AC8:AC36" si="5">D8/J8</f>
        <v>1</v>
      </c>
    </row>
    <row r="9" spans="1:29" s="108" customFormat="1" ht="14.4">
      <c r="A9" s="60" t="s">
        <v>1684</v>
      </c>
      <c r="B9" s="586"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554" t="s">
        <v>1687</v>
      </c>
      <c r="Z9" s="52" t="str">
        <f t="shared" ref="Z9:Z14" si="7">Q9</f>
        <v>用途</v>
      </c>
      <c r="AA9" s="702">
        <f t="shared" si="3"/>
        <v>1</v>
      </c>
      <c r="AB9" s="702">
        <f t="shared" si="4"/>
        <v>1</v>
      </c>
      <c r="AC9" s="702">
        <f t="shared" si="5"/>
        <v>1</v>
      </c>
    </row>
    <row r="10" spans="1:29" s="378" customFormat="1" ht="28.8">
      <c r="A10" s="587"/>
      <c r="B10" s="588"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554"/>
      <c r="Z10" s="52" t="str">
        <f t="shared" si="7"/>
        <v>土地使用年限（年）</v>
      </c>
      <c r="AA10" s="702">
        <f t="shared" si="3"/>
        <v>1</v>
      </c>
      <c r="AB10" s="702">
        <f t="shared" si="4"/>
        <v>1</v>
      </c>
      <c r="AC10" s="702">
        <f t="shared" si="5"/>
        <v>1</v>
      </c>
    </row>
    <row r="11" spans="1:29" ht="15">
      <c r="A11" s="589"/>
      <c r="B11" s="590">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554"/>
      <c r="Z11" s="52">
        <f t="shared" si="7"/>
        <v>111</v>
      </c>
      <c r="AA11" s="702">
        <f t="shared" si="3"/>
        <v>1</v>
      </c>
      <c r="AB11" s="702">
        <f t="shared" si="4"/>
        <v>1</v>
      </c>
      <c r="AC11" s="702">
        <f t="shared" si="5"/>
        <v>1</v>
      </c>
    </row>
    <row r="12" spans="1:29" s="108" customFormat="1" ht="15">
      <c r="A12" s="591"/>
      <c r="B12" s="590">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554"/>
      <c r="Z12" s="52">
        <f t="shared" si="7"/>
        <v>111</v>
      </c>
      <c r="AA12" s="702">
        <f>D12/F12</f>
        <v>1</v>
      </c>
      <c r="AB12" s="702">
        <f>D12/H12</f>
        <v>1</v>
      </c>
      <c r="AC12" s="702">
        <f>D12/J12</f>
        <v>1</v>
      </c>
    </row>
    <row r="13" spans="1:29" ht="15.6" thickBot="1">
      <c r="A13" s="592"/>
      <c r="B13" s="590">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554"/>
      <c r="Z13" s="52">
        <f t="shared" si="7"/>
        <v>111</v>
      </c>
      <c r="AA13" s="702">
        <f t="shared" si="3"/>
        <v>1</v>
      </c>
      <c r="AB13" s="702">
        <f t="shared" si="4"/>
        <v>1</v>
      </c>
      <c r="AC13" s="702">
        <f t="shared" si="5"/>
        <v>1</v>
      </c>
    </row>
    <row r="14" spans="1:29" ht="96.6">
      <c r="A14" s="355" t="s">
        <v>1690</v>
      </c>
      <c r="B14" s="575"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3"/>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1.4">
      <c r="A16" s="358"/>
      <c r="B16" s="577"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78"/>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41.4">
      <c r="A18" s="358"/>
      <c r="B18" s="579"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79"/>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5.2">
      <c r="A20" s="358"/>
      <c r="B20" s="577"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78"/>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7"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4">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4">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6" thickBot="1">
      <c r="A25" s="595"/>
      <c r="B25" s="581">
        <v>111</v>
      </c>
      <c r="C25" s="388"/>
      <c r="D25" s="596">
        <v>100</v>
      </c>
      <c r="E25" s="574"/>
      <c r="F25" s="597">
        <f>SUMIF(77:77,E25,78:78)-SUMIF(77:77,C25,78:78)+100</f>
        <v>100</v>
      </c>
      <c r="G25" s="574"/>
      <c r="H25" s="596">
        <f>SUMIF(77:77,G25,78:78)-SUMIF(77:77,C25,78:78)+100</f>
        <v>100</v>
      </c>
      <c r="I25" s="574"/>
      <c r="J25" s="596">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30">
      <c r="A26" s="598"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599"/>
      <c r="B27" s="600" t="s">
        <v>1837</v>
      </c>
      <c r="C27" s="601"/>
      <c r="D27" s="127">
        <v>100</v>
      </c>
      <c r="E27" s="601"/>
      <c r="F27" s="412">
        <f>SUMIF(81:81,E27,82:82)-SUMIF(81:81,C27,82:82)+100</f>
        <v>100</v>
      </c>
      <c r="G27" s="601"/>
      <c r="H27" s="386">
        <f>SUMIF(81:81,G27,82:82)-SUMIF(81:81,C27,82:82)+100</f>
        <v>100</v>
      </c>
      <c r="I27" s="601"/>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2"/>
      <c r="B28" s="600"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2"/>
      <c r="B29" s="600"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2"/>
      <c r="B30" s="600" t="s">
        <v>1840</v>
      </c>
      <c r="C30" s="603"/>
      <c r="D30" s="386">
        <v>100</v>
      </c>
      <c r="E30" s="603"/>
      <c r="F30" s="412">
        <f>SUMIF(88:88,E30,89:89)-SUMIF(88:88,C30,89:89)+100</f>
        <v>100</v>
      </c>
      <c r="G30" s="603"/>
      <c r="H30" s="386">
        <f>SUMIF(88:88,E30,89:89)-SUMIF(88:88,C30,89:89)+100</f>
        <v>100</v>
      </c>
      <c r="I30" s="603"/>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4"/>
      <c r="B31" s="600"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2"/>
      <c r="B32" s="600"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2"/>
      <c r="B33" s="600"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2"/>
      <c r="B34" s="594">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599"/>
      <c r="B35" s="594">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6" thickBot="1">
      <c r="A36" s="605"/>
      <c r="B36" s="581">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4.4">
      <c r="A37" s="430" t="s">
        <v>1844</v>
      </c>
      <c r="B37" s="1971" t="s">
        <v>3355</v>
      </c>
      <c r="C37" s="1152" t="s">
        <v>0</v>
      </c>
      <c r="D37" s="1153"/>
      <c r="E37" s="1154"/>
      <c r="F37" s="1155"/>
      <c r="G37" s="1156"/>
      <c r="H37" s="1157"/>
      <c r="I37" s="1154"/>
      <c r="J37" s="1157"/>
      <c r="K37" s="567"/>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 thickBot="1">
      <c r="A38" s="437" t="s">
        <v>1845</v>
      </c>
      <c r="B38" s="438"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 thickBot="1">
      <c r="A39" s="441" t="s">
        <v>1846</v>
      </c>
      <c r="B39" s="442"/>
      <c r="C39" s="1161" t="e">
        <f>R39</f>
        <v>#DIV/0!</v>
      </c>
      <c r="D39" s="1161"/>
      <c r="E39" s="1161"/>
      <c r="F39" s="1161"/>
      <c r="G39" s="1161"/>
      <c r="H39" s="1161"/>
      <c r="I39" s="1161"/>
      <c r="J39" s="1161"/>
      <c r="K39" s="568"/>
      <c r="L39" s="2722"/>
      <c r="M39" s="2723"/>
      <c r="N39" s="2723"/>
      <c r="O39" s="2723"/>
      <c r="P39" s="3695" t="str">
        <f>A39</f>
        <v>估价对象XX用房的比较价值（楼面单价，元/平方米）</v>
      </c>
      <c r="Q39" s="3696"/>
      <c r="R39" s="3759" t="e">
        <f>IF(F1="售价",ROUND(IF(D38="简单平均",AVERAGE(R38:W38),R38*F38+T38*H38+V38*J38),0),ROUND(IF(D38="简单平均",AVERAGE(R38:V38),R38*F38+T38*H38+V38*J38),1))</f>
        <v>#DIV/0!</v>
      </c>
      <c r="S39" s="3759"/>
      <c r="T39" s="3759"/>
      <c r="U39" s="3759"/>
      <c r="V39" s="3759"/>
      <c r="W39" s="3759"/>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5">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6">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6" t="s">
        <v>1799</v>
      </c>
      <c r="D67" s="606" t="s">
        <v>1800</v>
      </c>
      <c r="E67" s="606" t="s">
        <v>1801</v>
      </c>
      <c r="F67" s="606" t="s">
        <v>1802</v>
      </c>
      <c r="G67" s="606"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6"/>
      <c r="I68" s="606"/>
      <c r="J68" s="606"/>
      <c r="K68" s="606"/>
      <c r="L68" s="606"/>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7"/>
      <c r="D81" s="607"/>
      <c r="E81" s="607"/>
      <c r="F81" s="607"/>
      <c r="G81" s="607"/>
      <c r="H81" s="607"/>
      <c r="I81" s="607"/>
      <c r="J81" s="607"/>
      <c r="K81" s="608"/>
      <c r="L81" s="609"/>
      <c r="M81" s="610"/>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2">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1831</v>
      </c>
      <c r="B1" s="1221" t="s">
        <v>3336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4.4">
      <c r="A4" s="355" t="s">
        <v>1769</v>
      </c>
      <c r="B4" s="356"/>
      <c r="C4" s="3713" t="s">
        <v>1770</v>
      </c>
      <c r="D4" s="3714"/>
      <c r="E4" s="3715" t="s">
        <v>1771</v>
      </c>
      <c r="F4" s="3716"/>
      <c r="G4" s="3713" t="s">
        <v>1772</v>
      </c>
      <c r="H4" s="3714"/>
      <c r="I4" s="3713" t="s">
        <v>1773</v>
      </c>
      <c r="J4" s="3714"/>
      <c r="K4" s="559" t="s">
        <v>1774</v>
      </c>
      <c r="L4" s="2713"/>
      <c r="M4" s="2714"/>
      <c r="N4" s="2714"/>
      <c r="O4" s="2714"/>
      <c r="P4" s="3717" t="s">
        <v>1775</v>
      </c>
      <c r="Q4" s="3718"/>
      <c r="R4" s="3723" t="s">
        <v>1771</v>
      </c>
      <c r="S4" s="3724"/>
      <c r="T4" s="3723" t="s">
        <v>1772</v>
      </c>
      <c r="U4" s="3724"/>
      <c r="V4" s="3729" t="s">
        <v>1773</v>
      </c>
      <c r="W4" s="3729"/>
      <c r="X4" s="1353"/>
      <c r="Y4" s="3723" t="s">
        <v>1775</v>
      </c>
      <c r="Z4" s="3724"/>
      <c r="AA4" s="3710" t="s">
        <v>1771</v>
      </c>
      <c r="AB4" s="3711" t="s">
        <v>1772</v>
      </c>
      <c r="AC4" s="3710" t="s">
        <v>1773</v>
      </c>
    </row>
    <row r="5" spans="1:29">
      <c r="A5" s="358"/>
      <c r="B5" s="359"/>
      <c r="C5" s="3732" t="s">
        <v>1673</v>
      </c>
      <c r="D5" s="3733"/>
      <c r="E5" s="3739" t="s">
        <v>1674</v>
      </c>
      <c r="F5" s="3740"/>
      <c r="G5" s="3732" t="s">
        <v>1675</v>
      </c>
      <c r="H5" s="3733"/>
      <c r="I5" s="3732" t="s">
        <v>1676</v>
      </c>
      <c r="J5" s="3733"/>
      <c r="K5" s="559"/>
      <c r="L5" s="2713"/>
      <c r="M5" s="2714"/>
      <c r="N5" s="2714"/>
      <c r="O5" s="2714"/>
      <c r="P5" s="3719"/>
      <c r="Q5" s="3720"/>
      <c r="R5" s="3725"/>
      <c r="S5" s="3726"/>
      <c r="T5" s="3725"/>
      <c r="U5" s="3726"/>
      <c r="V5" s="3729"/>
      <c r="W5" s="3729"/>
      <c r="X5" s="1353"/>
      <c r="Y5" s="3725"/>
      <c r="Z5" s="3726"/>
      <c r="AA5" s="3711"/>
      <c r="AB5" s="3711"/>
      <c r="AC5" s="3711"/>
    </row>
    <row r="6" spans="1:29" ht="15" thickBot="1">
      <c r="A6" s="360"/>
      <c r="B6" s="361"/>
      <c r="C6" s="3730" t="s">
        <v>1677</v>
      </c>
      <c r="D6" s="3731"/>
      <c r="E6" s="3737" t="s">
        <v>1677</v>
      </c>
      <c r="F6" s="3738"/>
      <c r="G6" s="3730" t="s">
        <v>1677</v>
      </c>
      <c r="H6" s="3731"/>
      <c r="I6" s="3730" t="s">
        <v>1677</v>
      </c>
      <c r="J6" s="3731"/>
      <c r="K6" s="559" t="s">
        <v>1678</v>
      </c>
      <c r="L6" s="2713"/>
      <c r="M6" s="2714"/>
      <c r="N6" s="2714"/>
      <c r="O6" s="2714"/>
      <c r="P6" s="3721"/>
      <c r="Q6" s="3722"/>
      <c r="R6" s="3725"/>
      <c r="S6" s="3726"/>
      <c r="T6" s="3727"/>
      <c r="U6" s="3728"/>
      <c r="V6" s="3729"/>
      <c r="W6" s="3729"/>
      <c r="X6" s="1353"/>
      <c r="Y6" s="3727"/>
      <c r="Z6" s="3728"/>
      <c r="AA6" s="3712"/>
      <c r="AB6" s="3712"/>
      <c r="AC6" s="3712"/>
    </row>
    <row r="7" spans="1:29" s="108" customFormat="1" ht="15" thickBot="1">
      <c r="A7" s="362" t="s">
        <v>1679</v>
      </c>
      <c r="B7" s="363"/>
      <c r="C7" s="364">
        <f>'数据-取费表'!B2</f>
        <v>45491</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34" t="s">
        <v>1680</v>
      </c>
      <c r="Q7" s="3736"/>
      <c r="R7" s="699" t="s">
        <v>14</v>
      </c>
      <c r="S7" s="700">
        <f t="shared" ref="S7:S14" si="0">F7</f>
        <v>0</v>
      </c>
      <c r="T7" s="699" t="s">
        <v>14</v>
      </c>
      <c r="U7" s="700">
        <f t="shared" ref="U7:U14" si="1">H7</f>
        <v>0</v>
      </c>
      <c r="V7" s="699" t="s">
        <v>14</v>
      </c>
      <c r="W7" s="700">
        <f t="shared" ref="W7:W14" si="2">J7</f>
        <v>0</v>
      </c>
      <c r="X7" s="701"/>
      <c r="Y7" s="3734" t="s">
        <v>1680</v>
      </c>
      <c r="Z7" s="3735"/>
      <c r="AA7" s="702" t="e">
        <f>D7/F7</f>
        <v>#DIV/0!</v>
      </c>
      <c r="AB7" s="702" t="e">
        <f>D7/H7</f>
        <v>#DIV/0!</v>
      </c>
      <c r="AC7" s="702"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34" t="s">
        <v>1683</v>
      </c>
      <c r="Q8" s="3735"/>
      <c r="R8" s="699" t="s">
        <v>14</v>
      </c>
      <c r="S8" s="700">
        <f t="shared" si="0"/>
        <v>100</v>
      </c>
      <c r="T8" s="699" t="s">
        <v>14</v>
      </c>
      <c r="U8" s="700">
        <f t="shared" si="1"/>
        <v>100</v>
      </c>
      <c r="V8" s="699" t="s">
        <v>14</v>
      </c>
      <c r="W8" s="700">
        <f t="shared" si="2"/>
        <v>100</v>
      </c>
      <c r="X8" s="701"/>
      <c r="Y8" s="3734" t="s">
        <v>1683</v>
      </c>
      <c r="Z8" s="3735"/>
      <c r="AA8" s="702">
        <f t="shared" ref="AA8:AA34" si="3">D8/F8</f>
        <v>1</v>
      </c>
      <c r="AB8" s="702">
        <f t="shared" ref="AB8:AB34" si="4">D8/H8</f>
        <v>1</v>
      </c>
      <c r="AC8" s="702">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554" t="s">
        <v>1687</v>
      </c>
      <c r="Z9" s="52" t="str">
        <f t="shared" ref="Z9:Z14" si="7">Q9</f>
        <v>用途</v>
      </c>
      <c r="AA9" s="702">
        <f t="shared" si="3"/>
        <v>1</v>
      </c>
      <c r="AB9" s="702">
        <f t="shared" si="4"/>
        <v>1</v>
      </c>
      <c r="AC9" s="702">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554"/>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554"/>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554"/>
      <c r="Z12" s="52">
        <f t="shared" si="7"/>
        <v>111</v>
      </c>
      <c r="AA12" s="702">
        <f>D12/F12</f>
        <v>1</v>
      </c>
      <c r="AB12" s="702">
        <f>D12/H12</f>
        <v>1</v>
      </c>
      <c r="AC12" s="702">
        <f>D12/J12</f>
        <v>1</v>
      </c>
    </row>
    <row r="13" spans="1:29" ht="15.6"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554"/>
      <c r="Z13" s="52">
        <f t="shared" si="7"/>
        <v>111</v>
      </c>
      <c r="AA13" s="702">
        <f t="shared" si="3"/>
        <v>1</v>
      </c>
      <c r="AB13" s="702">
        <f t="shared" si="4"/>
        <v>1</v>
      </c>
      <c r="AC13" s="702">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1.4">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41.4">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5.2">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6" thickBot="1">
      <c r="A25" s="382"/>
      <c r="B25" s="1891">
        <v>111</v>
      </c>
      <c r="C25" s="1974"/>
      <c r="D25" s="611">
        <v>100</v>
      </c>
      <c r="E25" s="1974"/>
      <c r="F25" s="612">
        <f>SUMIF(75:75,E25,76:76)-SUMIF(75:75,C25,76:76)+100</f>
        <v>100</v>
      </c>
      <c r="G25" s="1974"/>
      <c r="H25" s="611">
        <f>SUMIF(75:75,G25,76:76)-SUMIF(75:75,C25,76:76)+100</f>
        <v>100</v>
      </c>
      <c r="I25" s="1974"/>
      <c r="J25" s="611">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30">
      <c r="A26" s="417" t="s">
        <v>1694</v>
      </c>
      <c r="B26" s="63" t="s">
        <v>1838</v>
      </c>
      <c r="C26" s="1965"/>
      <c r="D26" s="418">
        <v>100</v>
      </c>
      <c r="E26" s="1965"/>
      <c r="F26" s="613">
        <f>SUMIF(77:77,E26,78:78)-SUMIF(77:77,C26,78:78)+100</f>
        <v>100</v>
      </c>
      <c r="G26" s="1965"/>
      <c r="H26" s="418">
        <f>SUMIF(77:77,G26,78:78)-SUMIF(77:77,C26,78:78)+100</f>
        <v>100</v>
      </c>
      <c r="I26" s="1965"/>
      <c r="J26" s="418">
        <f>SUMIF(77:77,I26,78:78)-SUMIF(77:77,C26,78:78)+100</f>
        <v>100</v>
      </c>
      <c r="K26" s="561"/>
      <c r="L26" s="2720"/>
      <c r="M26" s="2714"/>
      <c r="N26" s="2714"/>
      <c r="O26" s="2772"/>
      <c r="P26" s="375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3"/>
      <c r="D29" s="386">
        <v>100</v>
      </c>
      <c r="E29" s="603"/>
      <c r="F29" s="412">
        <f>SUMIF(84:84,E29,85:85)-SUMIF(84:84,C29,85:85)+100</f>
        <v>100</v>
      </c>
      <c r="G29" s="603"/>
      <c r="H29" s="386">
        <f>SUMIF(84:84,G29,85:85)-SUMIF(84:84,C29,85:85)+100</f>
        <v>100</v>
      </c>
      <c r="I29" s="603"/>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3"/>
      <c r="D31" s="127">
        <v>100</v>
      </c>
      <c r="E31" s="603"/>
      <c r="F31" s="412">
        <f>SUMIF(89:89,E31,90:90)-SUMIF(89:89,C31,90:90)+100</f>
        <v>100</v>
      </c>
      <c r="G31" s="603"/>
      <c r="H31" s="386">
        <f>SUMIF(89:89,G31,90:90)-SUMIF(89:89,C31,90:90)+100</f>
        <v>100</v>
      </c>
      <c r="I31" s="603"/>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6"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4.4">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 thickBot="1">
      <c r="A36" s="437" t="s">
        <v>1793</v>
      </c>
      <c r="B36" s="438"/>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59" t="e">
        <f>IF(F1="售价",ROUND(IF(D36="简单平均",AVERAGE(R36:W36),R36*F36+T36*H36+V36*J36),0),ROUND(IF(D36="简单平均",AVERAGE(R36:V36),R36*F36+T36*H36+V36*J36),1))</f>
        <v>#DIV/0!</v>
      </c>
      <c r="S37" s="3759"/>
      <c r="T37" s="3759"/>
      <c r="U37" s="3759"/>
      <c r="V37" s="3759"/>
      <c r="W37" s="3759"/>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5">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6">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6" t="s">
        <v>1799</v>
      </c>
      <c r="D65" s="606" t="s">
        <v>1800</v>
      </c>
      <c r="E65" s="606" t="s">
        <v>1801</v>
      </c>
      <c r="F65" s="606" t="s">
        <v>1802</v>
      </c>
      <c r="G65" s="606"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6"/>
      <c r="I66" s="606"/>
      <c r="J66" s="606"/>
      <c r="K66" s="606"/>
      <c r="L66" s="606"/>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6"/>
      <c r="J80" s="606"/>
      <c r="K80" s="614"/>
      <c r="L80" s="615"/>
      <c r="M80" s="616"/>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2">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7"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4.4">
      <c r="A4" s="355" t="s">
        <v>1769</v>
      </c>
      <c r="B4" s="356"/>
      <c r="C4" s="3713" t="s">
        <v>1770</v>
      </c>
      <c r="D4" s="3714"/>
      <c r="E4" s="3715" t="s">
        <v>1771</v>
      </c>
      <c r="F4" s="3716"/>
      <c r="G4" s="3713" t="s">
        <v>1772</v>
      </c>
      <c r="H4" s="3714"/>
      <c r="I4" s="3713" t="s">
        <v>1773</v>
      </c>
      <c r="J4" s="3714"/>
      <c r="K4" s="559" t="s">
        <v>1774</v>
      </c>
      <c r="L4" s="2713"/>
      <c r="M4" s="2714"/>
      <c r="N4" s="2714"/>
      <c r="O4" s="2714"/>
      <c r="P4" s="3717" t="s">
        <v>1775</v>
      </c>
      <c r="Q4" s="3718"/>
      <c r="R4" s="3723" t="s">
        <v>1771</v>
      </c>
      <c r="S4" s="3724"/>
      <c r="T4" s="3723" t="s">
        <v>1772</v>
      </c>
      <c r="U4" s="3724"/>
      <c r="V4" s="3729" t="s">
        <v>1773</v>
      </c>
      <c r="W4" s="3729"/>
      <c r="X4" s="1353"/>
      <c r="Y4" s="3723" t="s">
        <v>1775</v>
      </c>
      <c r="Z4" s="3724"/>
      <c r="AA4" s="3710" t="s">
        <v>1771</v>
      </c>
      <c r="AB4" s="3711" t="s">
        <v>1772</v>
      </c>
      <c r="AC4" s="3710" t="s">
        <v>1773</v>
      </c>
    </row>
    <row r="5" spans="1:30">
      <c r="A5" s="358"/>
      <c r="B5" s="359"/>
      <c r="C5" s="3732" t="s">
        <v>1673</v>
      </c>
      <c r="D5" s="3733"/>
      <c r="E5" s="3739" t="s">
        <v>1674</v>
      </c>
      <c r="F5" s="3740"/>
      <c r="G5" s="3732" t="s">
        <v>1675</v>
      </c>
      <c r="H5" s="3733"/>
      <c r="I5" s="3732" t="s">
        <v>1676</v>
      </c>
      <c r="J5" s="3733"/>
      <c r="K5" s="559"/>
      <c r="L5" s="2713"/>
      <c r="M5" s="2714"/>
      <c r="N5" s="2714"/>
      <c r="O5" s="2714"/>
      <c r="P5" s="3719"/>
      <c r="Q5" s="3720"/>
      <c r="R5" s="3725"/>
      <c r="S5" s="3726"/>
      <c r="T5" s="3725"/>
      <c r="U5" s="3726"/>
      <c r="V5" s="3729"/>
      <c r="W5" s="3729"/>
      <c r="X5" s="1353"/>
      <c r="Y5" s="3725"/>
      <c r="Z5" s="3726"/>
      <c r="AA5" s="3711"/>
      <c r="AB5" s="3711"/>
      <c r="AC5" s="3711"/>
    </row>
    <row r="6" spans="1:30" ht="15" thickBot="1">
      <c r="A6" s="360"/>
      <c r="B6" s="361"/>
      <c r="C6" s="3730" t="s">
        <v>1677</v>
      </c>
      <c r="D6" s="3731"/>
      <c r="E6" s="3737" t="s">
        <v>1677</v>
      </c>
      <c r="F6" s="3738"/>
      <c r="G6" s="3730" t="s">
        <v>1677</v>
      </c>
      <c r="H6" s="3731"/>
      <c r="I6" s="3730" t="s">
        <v>1677</v>
      </c>
      <c r="J6" s="3731"/>
      <c r="K6" s="559" t="s">
        <v>1678</v>
      </c>
      <c r="L6" s="2713"/>
      <c r="M6" s="2714"/>
      <c r="N6" s="2714"/>
      <c r="O6" s="2714"/>
      <c r="P6" s="3721"/>
      <c r="Q6" s="3722"/>
      <c r="R6" s="3725"/>
      <c r="S6" s="3726"/>
      <c r="T6" s="3727"/>
      <c r="U6" s="3728"/>
      <c r="V6" s="3729"/>
      <c r="W6" s="3729"/>
      <c r="X6" s="1353"/>
      <c r="Y6" s="3727"/>
      <c r="Z6" s="3728"/>
      <c r="AA6" s="3712"/>
      <c r="AB6" s="3712"/>
      <c r="AC6" s="3712"/>
    </row>
    <row r="7" spans="1:30" s="108" customFormat="1" ht="15" thickBot="1">
      <c r="A7" s="362" t="s">
        <v>1679</v>
      </c>
      <c r="B7" s="363"/>
      <c r="C7" s="364">
        <f>'数据-取费表'!B2</f>
        <v>45491</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34" t="s">
        <v>1680</v>
      </c>
      <c r="Q7" s="3736"/>
      <c r="R7" s="699" t="s">
        <v>14</v>
      </c>
      <c r="S7" s="700">
        <f t="shared" ref="S7:S15" si="0">F7</f>
        <v>0</v>
      </c>
      <c r="T7" s="699" t="s">
        <v>14</v>
      </c>
      <c r="U7" s="700">
        <f t="shared" ref="U7:U15" si="1">H7</f>
        <v>0</v>
      </c>
      <c r="V7" s="699" t="s">
        <v>14</v>
      </c>
      <c r="W7" s="700">
        <f t="shared" ref="W7:W15" si="2">J7</f>
        <v>0</v>
      </c>
      <c r="X7" s="701"/>
      <c r="Y7" s="3734" t="s">
        <v>1680</v>
      </c>
      <c r="Z7" s="3735"/>
      <c r="AA7" s="702" t="e">
        <f>D7/F7</f>
        <v>#DIV/0!</v>
      </c>
      <c r="AB7" s="702" t="e">
        <f>D7/H7</f>
        <v>#DIV/0!</v>
      </c>
      <c r="AC7" s="702"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34" t="s">
        <v>1683</v>
      </c>
      <c r="Q8" s="3735"/>
      <c r="R8" s="699" t="s">
        <v>14</v>
      </c>
      <c r="S8" s="700">
        <f t="shared" si="0"/>
        <v>0</v>
      </c>
      <c r="T8" s="699" t="s">
        <v>14</v>
      </c>
      <c r="U8" s="700">
        <f t="shared" si="1"/>
        <v>0</v>
      </c>
      <c r="V8" s="699" t="s">
        <v>14</v>
      </c>
      <c r="W8" s="700">
        <f t="shared" si="2"/>
        <v>0</v>
      </c>
      <c r="X8" s="701"/>
      <c r="Y8" s="3734" t="s">
        <v>1683</v>
      </c>
      <c r="Z8" s="3735"/>
      <c r="AA8" s="702" t="e">
        <f t="shared" ref="AA8:AA45" si="3">D8/F8</f>
        <v>#DIV/0!</v>
      </c>
      <c r="AB8" s="702" t="e">
        <f t="shared" ref="AB8:AB45" si="4">D8/H8</f>
        <v>#DIV/0!</v>
      </c>
      <c r="AC8" s="702"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554" t="s">
        <v>1687</v>
      </c>
      <c r="Z9" s="52" t="str">
        <f t="shared" ref="Z9:Z15" si="7">Q9</f>
        <v>用途</v>
      </c>
      <c r="AA9" s="702">
        <f t="shared" si="3"/>
        <v>1</v>
      </c>
      <c r="AB9" s="702">
        <f t="shared" si="4"/>
        <v>1</v>
      </c>
      <c r="AC9" s="702">
        <f t="shared" si="5"/>
        <v>1</v>
      </c>
    </row>
    <row r="10" spans="1:30" s="378" customFormat="1" ht="28.8">
      <c r="A10" s="374"/>
      <c r="B10" s="375" t="s">
        <v>1688</v>
      </c>
      <c r="C10" s="383"/>
      <c r="D10" s="127">
        <v>100</v>
      </c>
      <c r="E10" s="416"/>
      <c r="F10" s="127">
        <f>ROUND(100/'数据-取费表'!G16,0)</f>
        <v>127</v>
      </c>
      <c r="G10" s="414"/>
      <c r="H10" s="127">
        <f>ROUND(100/'数据-取费表'!G16,0)</f>
        <v>127</v>
      </c>
      <c r="I10" s="414"/>
      <c r="J10" s="127">
        <f>ROUND(100/'数据-取费表'!G16,0)</f>
        <v>127</v>
      </c>
      <c r="K10" s="618"/>
      <c r="L10" s="2717"/>
      <c r="M10" s="2718"/>
      <c r="N10" s="2718"/>
      <c r="O10" s="2771"/>
      <c r="P10" s="3698"/>
      <c r="Q10" s="1341" t="str">
        <f t="shared" si="6"/>
        <v>土地使用年限（年）</v>
      </c>
      <c r="R10" s="699" t="s">
        <v>14</v>
      </c>
      <c r="S10" s="700">
        <f t="shared" si="0"/>
        <v>127</v>
      </c>
      <c r="T10" s="699" t="s">
        <v>14</v>
      </c>
      <c r="U10" s="700">
        <f t="shared" si="1"/>
        <v>127</v>
      </c>
      <c r="V10" s="699" t="s">
        <v>14</v>
      </c>
      <c r="W10" s="700">
        <f t="shared" si="2"/>
        <v>127</v>
      </c>
      <c r="X10" s="701"/>
      <c r="Y10" s="3554"/>
      <c r="Z10" s="52" t="str">
        <f t="shared" si="7"/>
        <v>土地使用年限（年）</v>
      </c>
      <c r="AA10" s="702">
        <f t="shared" si="3"/>
        <v>0.78740157480314965</v>
      </c>
      <c r="AB10" s="702">
        <f t="shared" si="4"/>
        <v>0.78740157480314965</v>
      </c>
      <c r="AC10" s="702">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19"/>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554"/>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8"/>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554"/>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0"/>
      <c r="H13" s="386">
        <f>SUMIF(83:83,G13,84:84)-SUMIF(83:83,C13,84:84)+100</f>
        <v>100</v>
      </c>
      <c r="I13" s="620"/>
      <c r="J13" s="386">
        <f>SUMIF(83:83,I13,84:84)-SUMIF(83:83,C13,84:84)+100</f>
        <v>100</v>
      </c>
      <c r="K13" s="618"/>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554"/>
      <c r="Z13" s="52">
        <f t="shared" si="7"/>
        <v>111</v>
      </c>
      <c r="AA13" s="702">
        <f>D13/F13</f>
        <v>1</v>
      </c>
      <c r="AB13" s="702">
        <f>D13/H13</f>
        <v>1</v>
      </c>
      <c r="AC13" s="702">
        <f>D13/J13</f>
        <v>1</v>
      </c>
    </row>
    <row r="14" spans="1:30" ht="15.6" thickBot="1">
      <c r="A14" s="387"/>
      <c r="B14" s="1893">
        <v>111</v>
      </c>
      <c r="C14" s="388"/>
      <c r="D14" s="389">
        <v>100</v>
      </c>
      <c r="E14" s="498"/>
      <c r="F14" s="389">
        <f>SUMIF(85:85,E14,86:86)-SUMIF(85:85,C14,86:86)+100</f>
        <v>100</v>
      </c>
      <c r="G14" s="620"/>
      <c r="H14" s="389">
        <f>SUMIF(85:85,G14,86:86)-SUMIF(85:85,C14,86:86)+100</f>
        <v>100</v>
      </c>
      <c r="I14" s="620"/>
      <c r="J14" s="389">
        <f>SUMIF(85:85,I14,86:86)-SUMIF(85:85,C14,86:86)+100</f>
        <v>100</v>
      </c>
      <c r="K14" s="618"/>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554"/>
      <c r="Z14" s="52">
        <f t="shared" si="7"/>
        <v>111</v>
      </c>
      <c r="AA14" s="702">
        <f>D14/F14</f>
        <v>1</v>
      </c>
      <c r="AB14" s="702">
        <f>D14/H14</f>
        <v>1</v>
      </c>
      <c r="AC14" s="702">
        <f>D14/J14</f>
        <v>1</v>
      </c>
    </row>
    <row r="15" spans="1:30" ht="96.6">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19"/>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8"/>
      <c r="L16" s="2720"/>
      <c r="M16" s="2714"/>
      <c r="N16" s="2714"/>
      <c r="O16" s="2772"/>
      <c r="P16" s="3701"/>
      <c r="Q16" s="1350"/>
      <c r="R16" s="703"/>
      <c r="S16" s="704"/>
      <c r="T16" s="703"/>
      <c r="U16" s="704"/>
      <c r="V16" s="703"/>
      <c r="W16" s="704"/>
      <c r="X16" s="1353"/>
      <c r="Y16" s="3701"/>
      <c r="Z16" s="1354"/>
      <c r="AA16" s="1351">
        <v>1</v>
      </c>
      <c r="AB16" s="1351">
        <v>1</v>
      </c>
      <c r="AC16" s="1351">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19"/>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8"/>
      <c r="L18" s="2720"/>
      <c r="M18" s="2714"/>
      <c r="N18" s="2714"/>
      <c r="O18" s="2772"/>
      <c r="P18" s="3701"/>
      <c r="Q18" s="1350"/>
      <c r="R18" s="703"/>
      <c r="S18" s="704"/>
      <c r="T18" s="703"/>
      <c r="U18" s="704"/>
      <c r="V18" s="703"/>
      <c r="W18" s="704"/>
      <c r="X18" s="1353"/>
      <c r="Y18" s="3701"/>
      <c r="Z18" s="1354"/>
      <c r="AA18" s="1351">
        <v>1</v>
      </c>
      <c r="AB18" s="1351">
        <v>1</v>
      </c>
      <c r="AC18" s="1351">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19"/>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8"/>
      <c r="L20" s="2720"/>
      <c r="M20" s="2714"/>
      <c r="N20" s="2714"/>
      <c r="O20" s="2772"/>
      <c r="P20" s="3701"/>
      <c r="Q20" s="1350"/>
      <c r="R20" s="703"/>
      <c r="S20" s="704"/>
      <c r="T20" s="703"/>
      <c r="U20" s="704"/>
      <c r="V20" s="703"/>
      <c r="W20" s="704"/>
      <c r="X20" s="1353"/>
      <c r="Y20" s="3701"/>
      <c r="Z20" s="1354"/>
      <c r="AA20" s="1351">
        <v>1</v>
      </c>
      <c r="AB20" s="1351">
        <v>1</v>
      </c>
      <c r="AC20" s="1351">
        <v>1</v>
      </c>
    </row>
    <row r="21" spans="1:29" ht="96.6">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19"/>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8"/>
      <c r="L22" s="2720"/>
      <c r="M22" s="2714"/>
      <c r="N22" s="2714"/>
      <c r="O22" s="2772"/>
      <c r="P22" s="3701"/>
      <c r="Q22" s="1350"/>
      <c r="R22" s="703"/>
      <c r="S22" s="704"/>
      <c r="T22" s="703"/>
      <c r="U22" s="704"/>
      <c r="V22" s="703"/>
      <c r="W22" s="704"/>
      <c r="X22" s="1353"/>
      <c r="Y22" s="3701"/>
      <c r="Z22" s="1354"/>
      <c r="AA22" s="1351">
        <v>1</v>
      </c>
      <c r="AB22" s="1351">
        <v>1</v>
      </c>
      <c r="AC22" s="1351">
        <v>1</v>
      </c>
    </row>
    <row r="23" spans="1:29" ht="28.8">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19"/>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5.2">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19"/>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8"/>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1.4">
      <c r="A27" s="595"/>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19"/>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5"/>
      <c r="B28" s="407"/>
      <c r="C28" s="1976"/>
      <c r="D28" s="399"/>
      <c r="E28" s="1902"/>
      <c r="F28" s="399"/>
      <c r="G28" s="1902"/>
      <c r="H28" s="399"/>
      <c r="I28" s="398"/>
      <c r="J28" s="399"/>
      <c r="K28" s="618"/>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41.4">
      <c r="A29" s="595"/>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19"/>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5"/>
      <c r="B30" s="407"/>
      <c r="C30" s="1976"/>
      <c r="D30" s="399"/>
      <c r="E30" s="1977"/>
      <c r="F30" s="399"/>
      <c r="G30" s="1977"/>
      <c r="H30" s="399"/>
      <c r="I30" s="1977"/>
      <c r="J30" s="399"/>
      <c r="K30" s="618"/>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0"/>
      <c r="F31" s="386">
        <f>SUMIF(103:103,E31,104:104)-SUMIF(103:103,C31,104:104)+100</f>
        <v>100</v>
      </c>
      <c r="G31" s="580"/>
      <c r="H31" s="386">
        <f>SUMIF(103:103,G31,104:104)-SUMIF(103:103,C31,104:104)+100</f>
        <v>100</v>
      </c>
      <c r="I31" s="580"/>
      <c r="J31" s="386">
        <f>SUMIF(103:103,I31,104:104)-SUMIF(103:103,C31,104:104)+100</f>
        <v>100</v>
      </c>
      <c r="K31" s="619"/>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8.8">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9"/>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0"/>
      <c r="F34" s="386">
        <f>SUMIF(107:107,E34,108:108)-SUMIF(107:107,C34,108:108)+100</f>
        <v>100</v>
      </c>
      <c r="G34" s="580"/>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0"/>
      <c r="D35" s="386">
        <v>100</v>
      </c>
      <c r="E35" s="428"/>
      <c r="F35" s="386">
        <f>SUMIF(109:109,E35,110:110)-SUMIF(109:109,C35,110:110)+100</f>
        <v>100</v>
      </c>
      <c r="G35" s="428"/>
      <c r="H35" s="386">
        <f>SUMIF(109:109,G35,110:110)-SUMIF(109:109,C35,110:110)+100</f>
        <v>100</v>
      </c>
      <c r="I35" s="620"/>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1"/>
      <c r="B36" s="1132">
        <v>111</v>
      </c>
      <c r="C36" s="620"/>
      <c r="D36" s="386">
        <v>100</v>
      </c>
      <c r="E36" s="428"/>
      <c r="F36" s="386">
        <f>SUMIF(111:111,E37,112:112)-SUMIF(111:111,C37,112:112)+100</f>
        <v>100</v>
      </c>
      <c r="G36" s="428"/>
      <c r="H36" s="386">
        <f>SUMIF(111:111,G36,112:112)-SUMIF(111:111,C36,112:112)+100</f>
        <v>100</v>
      </c>
      <c r="I36" s="620"/>
      <c r="J36" s="386">
        <f>SUMIF(111:111,I36,112:112)-SUMIF(111:111,C36,112:112)+100</f>
        <v>100</v>
      </c>
      <c r="K36" s="562"/>
      <c r="L36" s="2720"/>
      <c r="M36" s="2714"/>
      <c r="N36" s="2714"/>
      <c r="O36" s="2772"/>
      <c r="P36" s="3758"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6" thickBot="1">
      <c r="A37" s="622"/>
      <c r="B37" s="1133">
        <v>111</v>
      </c>
      <c r="C37" s="624"/>
      <c r="D37" s="128">
        <v>100</v>
      </c>
      <c r="E37" s="647"/>
      <c r="F37" s="389">
        <f>SUMIF(113:113,E37,114:114)-SUMIF(113:113,C37,114:114)+100</f>
        <v>100</v>
      </c>
      <c r="G37" s="647"/>
      <c r="H37" s="389">
        <f>SUMIF(113:113,G37,114:114)-SUMIF(113:113,C37,114:114)+100</f>
        <v>100</v>
      </c>
      <c r="I37" s="624"/>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6">
      <c r="A38" s="423" t="s">
        <v>1694</v>
      </c>
      <c r="B38" s="407" t="s">
        <v>1874</v>
      </c>
      <c r="C38" s="625"/>
      <c r="D38" s="418">
        <v>100</v>
      </c>
      <c r="E38" s="625"/>
      <c r="F38" s="418" t="e">
        <f>LOOKUP(E38,116:116,117:117)-LOOKUP(C38,116:116,117:117)+100</f>
        <v>#N/A</v>
      </c>
      <c r="G38" s="625"/>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0"/>
      <c r="D43" s="386">
        <v>100</v>
      </c>
      <c r="E43" s="620"/>
      <c r="F43" s="386">
        <f>SUMIF(126:126,E43,127:127)-SUMIF(126:126,C43,127:127)+100</f>
        <v>100</v>
      </c>
      <c r="G43" s="620"/>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0"/>
      <c r="D44" s="386">
        <v>100</v>
      </c>
      <c r="E44" s="620"/>
      <c r="F44" s="386">
        <f>SUMIF(128:128,E44,129:129)-SUMIF(128:128,C44,129:129)+100</f>
        <v>100</v>
      </c>
      <c r="G44" s="620"/>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6" thickBot="1">
      <c r="A45" s="419"/>
      <c r="B45" s="1132">
        <v>111</v>
      </c>
      <c r="C45" s="1979"/>
      <c r="D45" s="626">
        <v>100</v>
      </c>
      <c r="E45" s="620"/>
      <c r="F45" s="389">
        <f>SUMIF(130:130,E45,131:131)-SUMIF(130:130,C45,131:131)+100</f>
        <v>100</v>
      </c>
      <c r="G45" s="620"/>
      <c r="H45" s="389">
        <f>SUMIF(130:130,G45,131:131)-SUMIF(130:130,C45,131:131)+100</f>
        <v>100</v>
      </c>
      <c r="I45" s="620"/>
      <c r="J45" s="389">
        <f>SUMIF(130:130,I45,131:131)-SUMIF(130:130,C45,131:131)+100</f>
        <v>100</v>
      </c>
      <c r="K45" s="627"/>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4.4">
      <c r="A46" s="430" t="s">
        <v>1844</v>
      </c>
      <c r="B46" s="1980" t="s">
        <v>1879</v>
      </c>
      <c r="C46" s="628" t="s">
        <v>0</v>
      </c>
      <c r="D46" s="432"/>
      <c r="E46" s="433"/>
      <c r="F46" s="434"/>
      <c r="G46" s="435"/>
      <c r="H46" s="436"/>
      <c r="I46" s="433"/>
      <c r="J46" s="436"/>
      <c r="K46" s="712"/>
      <c r="L46" s="2722"/>
      <c r="M46" s="2723"/>
      <c r="N46" s="2714"/>
      <c r="O46" s="2723"/>
      <c r="P46" s="3698" t="str">
        <f>A46</f>
        <v>成交单价</v>
      </c>
      <c r="Q46" s="3698"/>
      <c r="R46" s="3729">
        <f>E46</f>
        <v>0</v>
      </c>
      <c r="S46" s="3729"/>
      <c r="T46" s="3729">
        <f>G46</f>
        <v>0</v>
      </c>
      <c r="U46" s="3729"/>
      <c r="V46" s="3729">
        <f>I46</f>
        <v>0</v>
      </c>
      <c r="W46" s="3729"/>
      <c r="X46" s="688"/>
      <c r="Y46" s="710"/>
      <c r="Z46" s="688"/>
      <c r="AA46" s="688"/>
      <c r="AB46" s="688"/>
      <c r="AC46" s="688"/>
    </row>
    <row r="47" spans="1:29" ht="15" thickBot="1">
      <c r="A47" s="437" t="s">
        <v>1793</v>
      </c>
      <c r="B47" s="629"/>
      <c r="C47" s="440" t="e">
        <f>R48</f>
        <v>#DIV/0!</v>
      </c>
      <c r="D47" s="2315" t="s">
        <v>2138</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60" t="e">
        <f>ROUND(PRODUCT(R46,AA7:AA45),0)</f>
        <v>#DIV/0!</v>
      </c>
      <c r="S47" s="3760"/>
      <c r="T47" s="3760" t="e">
        <f>ROUND(PRODUCT(T46,AB7:AB45),0)</f>
        <v>#DIV/0!</v>
      </c>
      <c r="U47" s="3760"/>
      <c r="V47" s="3760" t="e">
        <f>ROUND(PRODUCT(V46,AC7:AC45),0)</f>
        <v>#DIV/0!</v>
      </c>
      <c r="W47" s="3760"/>
      <c r="X47" s="688"/>
      <c r="Y47" s="688"/>
      <c r="Z47" s="688"/>
      <c r="AA47" s="688"/>
      <c r="AB47" s="688"/>
      <c r="AC47" s="688"/>
    </row>
    <row r="48" spans="1:29" ht="1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61" t="e">
        <f>ROUND(IF(D47="简单平均",AVERAGE(R47:W47),R47*F47+T47*H47+V47*J47),0)</f>
        <v>#DIV/0!</v>
      </c>
      <c r="S48" s="3761"/>
      <c r="T48" s="3761"/>
      <c r="U48" s="3761"/>
      <c r="V48" s="3761"/>
      <c r="W48" s="3761"/>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0" t="s">
        <v>1881</v>
      </c>
      <c r="B55" s="631" t="s">
        <v>1882</v>
      </c>
      <c r="C55" s="1981" t="s">
        <v>1883</v>
      </c>
      <c r="D55" s="1982" t="s">
        <v>1884</v>
      </c>
      <c r="E55" s="632" t="s">
        <v>1885</v>
      </c>
      <c r="F55" s="888" t="s">
        <v>1886</v>
      </c>
      <c r="G55" s="3713" t="s">
        <v>1887</v>
      </c>
      <c r="H55" s="3762"/>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8" customFormat="1">
      <c r="A56" s="634" t="s">
        <v>1890</v>
      </c>
      <c r="B56" s="635" t="e">
        <f>C48</f>
        <v>#DIV/0!</v>
      </c>
      <c r="C56" s="636">
        <v>1</v>
      </c>
      <c r="D56" s="942">
        <v>1</v>
      </c>
      <c r="E56" s="636">
        <f>'数据-汇总表'!E8+'数据-汇总表'!E9</f>
        <v>127.35</v>
      </c>
      <c r="F56" s="884" t="e">
        <f t="shared" ref="F56:F64" si="15">ROUND(B56*E56/10000,0)</f>
        <v>#DIV/0!</v>
      </c>
      <c r="G56" s="3709"/>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8" customFormat="1">
      <c r="A57" s="639" t="s">
        <v>1891</v>
      </c>
      <c r="B57" s="218" t="e">
        <f>ROUND($C$48*C57*D57,0)</f>
        <v>#DIV/0!</v>
      </c>
      <c r="C57" s="171">
        <f t="shared" ref="C57:C64" si="16">IF($C$55="北京市系数",I57,J57)</f>
        <v>0.6</v>
      </c>
      <c r="D57" s="943">
        <v>0.25</v>
      </c>
      <c r="E57" s="640"/>
      <c r="F57" s="884" t="e">
        <f t="shared" si="15"/>
        <v>#DIV/0!</v>
      </c>
      <c r="G57" s="3004" t="s">
        <v>1892</v>
      </c>
      <c r="H57" s="885" t="str">
        <f>项目基本情况!B37</f>
        <v>五级</v>
      </c>
      <c r="I57" s="889">
        <f>SUMIF(修正!A57:A68,H57,修正!B57:B68)</f>
        <v>0.6</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38" customFormat="1">
      <c r="A58" s="639" t="s">
        <v>1893</v>
      </c>
      <c r="B58" s="218" t="e">
        <f t="shared" ref="B58:B64" si="17">ROUND($C$48*C58*D58,0)</f>
        <v>#DIV/0!</v>
      </c>
      <c r="C58" s="171">
        <f t="shared" si="16"/>
        <v>0.3</v>
      </c>
      <c r="D58" s="943">
        <v>0.25</v>
      </c>
      <c r="E58" s="640"/>
      <c r="F58" s="884" t="e">
        <f t="shared" si="15"/>
        <v>#DIV/0!</v>
      </c>
      <c r="G58" s="3005"/>
      <c r="H58" s="885" t="str">
        <f>项目基本情况!B37</f>
        <v>五级</v>
      </c>
      <c r="I58" s="889">
        <f>SUMIF(修正!A57:A68,H58,修正!C57:C68)</f>
        <v>0.3</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38" customFormat="1">
      <c r="A59" s="639" t="s">
        <v>1894</v>
      </c>
      <c r="B59" s="218" t="e">
        <f t="shared" si="17"/>
        <v>#DIV/0!</v>
      </c>
      <c r="C59" s="171">
        <f t="shared" si="16"/>
        <v>0.25</v>
      </c>
      <c r="D59" s="943">
        <v>0.25</v>
      </c>
      <c r="E59" s="640"/>
      <c r="F59" s="884" t="e">
        <f t="shared" si="15"/>
        <v>#DIV/0!</v>
      </c>
      <c r="G59" s="3005"/>
      <c r="H59" s="885" t="str">
        <f>项目基本情况!B37</f>
        <v>五级</v>
      </c>
      <c r="I59" s="889">
        <f>SUMIF(修正!A57:A68,H59,修正!D57:D68)</f>
        <v>0.25</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38" customFormat="1">
      <c r="A60" s="639"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38" customFormat="1">
      <c r="A61" s="639"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38" customFormat="1">
      <c r="A62" s="639"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38" customFormat="1">
      <c r="A63" s="639" t="s">
        <v>1901</v>
      </c>
      <c r="B63" s="218" t="e">
        <f t="shared" si="17"/>
        <v>#DIV/0!</v>
      </c>
      <c r="C63" s="171">
        <f t="shared" si="16"/>
        <v>0.15</v>
      </c>
      <c r="D63" s="943">
        <v>0.25</v>
      </c>
      <c r="E63" s="217">
        <f>'数据-汇总表'!E14</f>
        <v>0</v>
      </c>
      <c r="F63" s="884" t="e">
        <f t="shared" si="15"/>
        <v>#DIV/0!</v>
      </c>
      <c r="G63" s="1985" t="s">
        <v>1892</v>
      </c>
      <c r="H63" s="885" t="str">
        <f>项目基本情况!B37</f>
        <v>五级</v>
      </c>
      <c r="I63" s="889">
        <f>SUMIF(修正!A57:A68,H63,修正!G57:G68)</f>
        <v>0.15</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38" customFormat="1" ht="14.4" thickBot="1">
      <c r="A64" s="639"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38" customFormat="1" thickBot="1">
      <c r="A65" s="641" t="s">
        <v>1903</v>
      </c>
      <c r="B65" s="642" t="s">
        <v>22</v>
      </c>
      <c r="C65" s="642" t="s">
        <v>23</v>
      </c>
      <c r="D65" s="642" t="s">
        <v>392</v>
      </c>
      <c r="E65" s="642">
        <f>IF(B46="楼面地价",SUM(E56:E64),'数据-汇总表'!D3)</f>
        <v>127.35</v>
      </c>
      <c r="F65" s="643"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3"/>
      <c r="Q67" s="2723"/>
      <c r="R67" s="2723"/>
      <c r="S67" s="2723"/>
      <c r="T67" s="2723"/>
      <c r="U67" s="2723"/>
      <c r="V67" s="2723"/>
      <c r="W67" s="2723"/>
      <c r="X67" s="2723"/>
      <c r="Y67" s="2723"/>
      <c r="Z67" s="2723"/>
      <c r="AA67" s="2723"/>
      <c r="AB67" s="2723"/>
      <c r="AC67" s="2723"/>
    </row>
    <row r="68" spans="1:29" ht="22.2"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4.4">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5">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4"/>
      <c r="M95" s="569"/>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6" t="s">
        <v>1799</v>
      </c>
      <c r="D101" s="606" t="s">
        <v>1800</v>
      </c>
      <c r="E101" s="606" t="s">
        <v>1801</v>
      </c>
      <c r="F101" s="606" t="s">
        <v>1802</v>
      </c>
      <c r="G101" s="606"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1"/>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3"/>
      <c r="E114" s="623"/>
      <c r="F114" s="623"/>
      <c r="G114" s="623"/>
      <c r="H114" s="623"/>
      <c r="I114" s="623"/>
      <c r="J114" s="623"/>
      <c r="K114" s="623"/>
      <c r="L114" s="623"/>
      <c r="M114" s="645"/>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6"/>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7"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4.4">
      <c r="A4" s="355" t="s">
        <v>1769</v>
      </c>
      <c r="B4" s="356"/>
      <c r="C4" s="3713" t="s">
        <v>1770</v>
      </c>
      <c r="D4" s="3714"/>
      <c r="E4" s="3715" t="s">
        <v>1771</v>
      </c>
      <c r="F4" s="3716"/>
      <c r="G4" s="3713" t="s">
        <v>1772</v>
      </c>
      <c r="H4" s="3714"/>
      <c r="I4" s="3713" t="s">
        <v>1773</v>
      </c>
      <c r="J4" s="3714"/>
      <c r="K4" s="559" t="s">
        <v>1774</v>
      </c>
      <c r="L4" s="2713"/>
      <c r="M4" s="2714"/>
      <c r="N4" s="2714"/>
      <c r="O4" s="2714"/>
      <c r="P4" s="3717" t="s">
        <v>1775</v>
      </c>
      <c r="Q4" s="3718"/>
      <c r="R4" s="3723" t="s">
        <v>1771</v>
      </c>
      <c r="S4" s="3724"/>
      <c r="T4" s="3723" t="s">
        <v>1772</v>
      </c>
      <c r="U4" s="3724"/>
      <c r="V4" s="3729" t="s">
        <v>1773</v>
      </c>
      <c r="W4" s="3729"/>
      <c r="X4" s="1353"/>
      <c r="Y4" s="3723" t="s">
        <v>1775</v>
      </c>
      <c r="Z4" s="3724"/>
      <c r="AA4" s="3710" t="s">
        <v>1771</v>
      </c>
      <c r="AB4" s="3711" t="s">
        <v>1772</v>
      </c>
      <c r="AC4" s="3710" t="s">
        <v>1773</v>
      </c>
    </row>
    <row r="5" spans="1:29">
      <c r="A5" s="358"/>
      <c r="B5" s="359"/>
      <c r="C5" s="3732" t="s">
        <v>1673</v>
      </c>
      <c r="D5" s="3733"/>
      <c r="E5" s="3739" t="s">
        <v>1674</v>
      </c>
      <c r="F5" s="3740"/>
      <c r="G5" s="3732" t="s">
        <v>1675</v>
      </c>
      <c r="H5" s="3733"/>
      <c r="I5" s="3732" t="s">
        <v>1676</v>
      </c>
      <c r="J5" s="3733"/>
      <c r="K5" s="559"/>
      <c r="L5" s="2713"/>
      <c r="M5" s="2714"/>
      <c r="N5" s="2714"/>
      <c r="O5" s="2714"/>
      <c r="P5" s="3719"/>
      <c r="Q5" s="3720"/>
      <c r="R5" s="3725"/>
      <c r="S5" s="3726"/>
      <c r="T5" s="3725"/>
      <c r="U5" s="3726"/>
      <c r="V5" s="3729"/>
      <c r="W5" s="3729"/>
      <c r="X5" s="1353"/>
      <c r="Y5" s="3725"/>
      <c r="Z5" s="3726"/>
      <c r="AA5" s="3711"/>
      <c r="AB5" s="3711"/>
      <c r="AC5" s="3711"/>
    </row>
    <row r="6" spans="1:29" ht="15" thickBot="1">
      <c r="A6" s="360"/>
      <c r="B6" s="361"/>
      <c r="C6" s="3763" t="s">
        <v>1919</v>
      </c>
      <c r="D6" s="3764"/>
      <c r="E6" s="3765" t="s">
        <v>1919</v>
      </c>
      <c r="F6" s="3766"/>
      <c r="G6" s="3763" t="s">
        <v>1919</v>
      </c>
      <c r="H6" s="3764"/>
      <c r="I6" s="3763" t="s">
        <v>1919</v>
      </c>
      <c r="J6" s="3764"/>
      <c r="K6" s="559" t="s">
        <v>1678</v>
      </c>
      <c r="L6" s="2713"/>
      <c r="M6" s="2714"/>
      <c r="N6" s="2714"/>
      <c r="O6" s="2714"/>
      <c r="P6" s="3721"/>
      <c r="Q6" s="3722"/>
      <c r="R6" s="3725"/>
      <c r="S6" s="3726"/>
      <c r="T6" s="3727"/>
      <c r="U6" s="3728"/>
      <c r="V6" s="3729"/>
      <c r="W6" s="3729"/>
      <c r="X6" s="1353"/>
      <c r="Y6" s="3727"/>
      <c r="Z6" s="3728"/>
      <c r="AA6" s="3712"/>
      <c r="AB6" s="3712"/>
      <c r="AC6" s="3712"/>
    </row>
    <row r="7" spans="1:29" s="108" customFormat="1" ht="15" thickBot="1">
      <c r="A7" s="362" t="s">
        <v>1679</v>
      </c>
      <c r="B7" s="363"/>
      <c r="C7" s="364">
        <f>'数据-取费表'!B2</f>
        <v>45491</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34" t="s">
        <v>1680</v>
      </c>
      <c r="Q7" s="3736"/>
      <c r="R7" s="699" t="s">
        <v>14</v>
      </c>
      <c r="S7" s="700">
        <f t="shared" ref="S7:S15" si="0">F7</f>
        <v>0</v>
      </c>
      <c r="T7" s="699" t="s">
        <v>14</v>
      </c>
      <c r="U7" s="700">
        <f t="shared" ref="U7:U15" si="1">H7</f>
        <v>0</v>
      </c>
      <c r="V7" s="699" t="s">
        <v>14</v>
      </c>
      <c r="W7" s="700">
        <f t="shared" ref="W7:W15" si="2">J7</f>
        <v>0</v>
      </c>
      <c r="X7" s="701"/>
      <c r="Y7" s="3734" t="s">
        <v>1680</v>
      </c>
      <c r="Z7" s="3735"/>
      <c r="AA7" s="702" t="e">
        <f>D7/F7</f>
        <v>#DIV/0!</v>
      </c>
      <c r="AB7" s="702" t="e">
        <f>D7/H7</f>
        <v>#DIV/0!</v>
      </c>
      <c r="AC7" s="702"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34" t="s">
        <v>1683</v>
      </c>
      <c r="Q8" s="3735"/>
      <c r="R8" s="699" t="s">
        <v>14</v>
      </c>
      <c r="S8" s="700">
        <f t="shared" si="0"/>
        <v>0</v>
      </c>
      <c r="T8" s="699" t="s">
        <v>14</v>
      </c>
      <c r="U8" s="700">
        <f t="shared" si="1"/>
        <v>0</v>
      </c>
      <c r="V8" s="699" t="s">
        <v>14</v>
      </c>
      <c r="W8" s="700">
        <f t="shared" si="2"/>
        <v>0</v>
      </c>
      <c r="X8" s="701"/>
      <c r="Y8" s="3734" t="s">
        <v>1683</v>
      </c>
      <c r="Z8" s="3735"/>
      <c r="AA8" s="702" t="e">
        <f t="shared" ref="AA8:AA40" si="3">D8/F8</f>
        <v>#DIV/0!</v>
      </c>
      <c r="AB8" s="702" t="e">
        <f t="shared" ref="AB8:AB40" si="4">D8/H8</f>
        <v>#DIV/0!</v>
      </c>
      <c r="AC8" s="702" t="e">
        <f t="shared" ref="AC8:AC40" si="5">D8/J8</f>
        <v>#DIV/0!</v>
      </c>
    </row>
    <row r="9" spans="1:29" s="108" customFormat="1" ht="14.4">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554" t="s">
        <v>1687</v>
      </c>
      <c r="Z9" s="52" t="str">
        <f t="shared" ref="Z9:Z15" si="7">Q9</f>
        <v>用途</v>
      </c>
      <c r="AA9" s="702">
        <f t="shared" si="3"/>
        <v>1</v>
      </c>
      <c r="AB9" s="702">
        <f t="shared" si="4"/>
        <v>1</v>
      </c>
      <c r="AC9" s="702">
        <f t="shared" si="5"/>
        <v>1</v>
      </c>
    </row>
    <row r="10" spans="1:29" s="378" customFormat="1" ht="28.8">
      <c r="A10" s="374"/>
      <c r="B10" s="375" t="s">
        <v>1688</v>
      </c>
      <c r="C10" s="383"/>
      <c r="D10" s="127">
        <v>100</v>
      </c>
      <c r="E10" s="383"/>
      <c r="F10" s="127">
        <f>ROUND(100/'数据-取费表'!G16,0)</f>
        <v>127</v>
      </c>
      <c r="G10" s="383"/>
      <c r="H10" s="127">
        <f>ROUND(100/'数据-取费表'!G16,0)</f>
        <v>127</v>
      </c>
      <c r="I10" s="383"/>
      <c r="J10" s="127">
        <f>ROUND(100/'数据-取费表'!G16,0)</f>
        <v>127</v>
      </c>
      <c r="K10" s="618"/>
      <c r="L10" s="2717"/>
      <c r="M10" s="2718"/>
      <c r="N10" s="2718"/>
      <c r="O10" s="2771"/>
      <c r="P10" s="3698"/>
      <c r="Q10" s="1341" t="str">
        <f t="shared" si="6"/>
        <v>土地使用年限（年）</v>
      </c>
      <c r="R10" s="699" t="s">
        <v>14</v>
      </c>
      <c r="S10" s="700">
        <f t="shared" si="0"/>
        <v>127</v>
      </c>
      <c r="T10" s="699" t="s">
        <v>14</v>
      </c>
      <c r="U10" s="700">
        <f t="shared" si="1"/>
        <v>127</v>
      </c>
      <c r="V10" s="699" t="s">
        <v>14</v>
      </c>
      <c r="W10" s="700">
        <f t="shared" si="2"/>
        <v>127</v>
      </c>
      <c r="X10" s="701"/>
      <c r="Y10" s="3554"/>
      <c r="Z10" s="52" t="str">
        <f t="shared" si="7"/>
        <v>土地使用年限（年）</v>
      </c>
      <c r="AA10" s="702">
        <f t="shared" si="3"/>
        <v>0.78740157480314965</v>
      </c>
      <c r="AB10" s="702">
        <f t="shared" si="4"/>
        <v>0.78740157480314965</v>
      </c>
      <c r="AC10" s="702">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19"/>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554"/>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0"/>
      <c r="H12" s="127">
        <f>SUMIF(77:77,G12,78:78)-SUMIF(77:77,C12,78:78)+100</f>
        <v>100</v>
      </c>
      <c r="I12" s="498"/>
      <c r="J12" s="127">
        <f>SUMIF(77:77,I12,78:78)-SUMIF(77:77,C12,78:78)+100</f>
        <v>100</v>
      </c>
      <c r="K12" s="618"/>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554"/>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0"/>
      <c r="H13" s="386">
        <f>SUMIF(79:79,G13,80:80)-SUMIF(79:79,C13,80:80)+100</f>
        <v>100</v>
      </c>
      <c r="I13" s="498"/>
      <c r="J13" s="386">
        <f>SUMIF(79:79,I13,80:80)-SUMIF(79:79,C13,80:80)+100</f>
        <v>100</v>
      </c>
      <c r="K13" s="618"/>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554"/>
      <c r="Z13" s="52">
        <f t="shared" si="7"/>
        <v>111</v>
      </c>
      <c r="AA13" s="702">
        <f t="shared" si="3"/>
        <v>1</v>
      </c>
      <c r="AB13" s="702">
        <f t="shared" si="4"/>
        <v>1</v>
      </c>
      <c r="AC13" s="702">
        <f t="shared" si="5"/>
        <v>1</v>
      </c>
    </row>
    <row r="14" spans="1:29" ht="15.6" thickBot="1">
      <c r="A14" s="387"/>
      <c r="B14" s="1893">
        <v>111</v>
      </c>
      <c r="C14" s="388"/>
      <c r="D14" s="389">
        <v>100</v>
      </c>
      <c r="E14" s="498"/>
      <c r="F14" s="389">
        <f>SUMIF(81:81,E14,82:82)-SUMIF(81:81,C14,82:82)+100</f>
        <v>100</v>
      </c>
      <c r="G14" s="620"/>
      <c r="H14" s="389">
        <f>SUMIF(81:81,G14,82:82)-SUMIF(81:81,C14,82:82)+100</f>
        <v>100</v>
      </c>
      <c r="I14" s="498"/>
      <c r="J14" s="389">
        <f>SUMIF(81:81,I14,82:82)-SUMIF(81:81,C14,82:82)+100</f>
        <v>100</v>
      </c>
      <c r="K14" s="618"/>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554"/>
      <c r="Z14" s="52">
        <f t="shared" si="7"/>
        <v>111</v>
      </c>
      <c r="AA14" s="702">
        <f t="shared" si="3"/>
        <v>1</v>
      </c>
      <c r="AB14" s="702">
        <f t="shared" si="4"/>
        <v>1</v>
      </c>
      <c r="AC14" s="702">
        <f t="shared" si="5"/>
        <v>1</v>
      </c>
    </row>
    <row r="15" spans="1:29" ht="69">
      <c r="A15" s="391" t="s">
        <v>1690</v>
      </c>
      <c r="B15" s="575"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19"/>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6"/>
      <c r="C16" s="398"/>
      <c r="D16" s="399"/>
      <c r="E16" s="1902"/>
      <c r="F16" s="399"/>
      <c r="G16" s="1902"/>
      <c r="H16" s="401"/>
      <c r="I16" s="1902"/>
      <c r="J16" s="399"/>
      <c r="K16" s="618"/>
      <c r="L16" s="2720"/>
      <c r="M16" s="2714"/>
      <c r="N16" s="2714"/>
      <c r="O16" s="2772"/>
      <c r="P16" s="3701"/>
      <c r="Q16" s="1350"/>
      <c r="R16" s="703"/>
      <c r="S16" s="704"/>
      <c r="T16" s="703"/>
      <c r="U16" s="704"/>
      <c r="V16" s="703"/>
      <c r="W16" s="704"/>
      <c r="X16" s="1353"/>
      <c r="Y16" s="3701"/>
      <c r="Z16" s="1354"/>
      <c r="AA16" s="1351">
        <v>1</v>
      </c>
      <c r="AB16" s="1351">
        <v>1</v>
      </c>
      <c r="AC16" s="1351">
        <v>1</v>
      </c>
    </row>
    <row r="17" spans="1:29" ht="96.6">
      <c r="A17" s="379"/>
      <c r="B17" s="577"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19"/>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78"/>
      <c r="C18" s="398"/>
      <c r="D18" s="399"/>
      <c r="E18" s="1896"/>
      <c r="F18" s="399"/>
      <c r="G18" s="1896"/>
      <c r="H18" s="399"/>
      <c r="I18" s="1895"/>
      <c r="J18" s="399"/>
      <c r="K18" s="618"/>
      <c r="L18" s="2720"/>
      <c r="M18" s="2714"/>
      <c r="N18" s="2714"/>
      <c r="O18" s="2772"/>
      <c r="P18" s="3701"/>
      <c r="Q18" s="1350"/>
      <c r="R18" s="703"/>
      <c r="S18" s="704"/>
      <c r="T18" s="703"/>
      <c r="U18" s="704"/>
      <c r="V18" s="703"/>
      <c r="W18" s="704"/>
      <c r="X18" s="1353"/>
      <c r="Y18" s="3701"/>
      <c r="Z18" s="1354"/>
      <c r="AA18" s="1351">
        <v>1</v>
      </c>
      <c r="AB18" s="1351">
        <v>1</v>
      </c>
      <c r="AC18" s="1351">
        <v>1</v>
      </c>
    </row>
    <row r="19" spans="1:29" ht="28.8">
      <c r="A19" s="379"/>
      <c r="B19" s="577"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19"/>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78"/>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82.8">
      <c r="A21" s="358"/>
      <c r="B21" s="577"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19"/>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78"/>
      <c r="C22" s="398"/>
      <c r="D22" s="399"/>
      <c r="E22" s="1902"/>
      <c r="F22" s="399"/>
      <c r="G22" s="1902"/>
      <c r="H22" s="399"/>
      <c r="I22" s="398"/>
      <c r="J22" s="399"/>
      <c r="K22" s="618"/>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1.4">
      <c r="A23" s="595"/>
      <c r="B23" s="579"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19"/>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5"/>
      <c r="B24" s="578"/>
      <c r="C24" s="1976"/>
      <c r="D24" s="399"/>
      <c r="E24" s="1902"/>
      <c r="F24" s="399"/>
      <c r="G24" s="1902"/>
      <c r="H24" s="399"/>
      <c r="I24" s="398"/>
      <c r="J24" s="399"/>
      <c r="K24" s="618"/>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41.4">
      <c r="A25" s="595"/>
      <c r="B25" s="579"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19"/>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5"/>
      <c r="B26" s="578"/>
      <c r="C26" s="1976"/>
      <c r="D26" s="399"/>
      <c r="E26" s="1977"/>
      <c r="F26" s="399"/>
      <c r="G26" s="1977"/>
      <c r="H26" s="399"/>
      <c r="I26" s="1977"/>
      <c r="J26" s="399"/>
      <c r="K26" s="618"/>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78" t="s">
        <v>1780</v>
      </c>
      <c r="C27" s="565"/>
      <c r="D27" s="386">
        <v>100</v>
      </c>
      <c r="E27" s="580"/>
      <c r="F27" s="386">
        <f>SUMIF(95:95,E27,96:96)-SUMIF(95:95,C27,96:96)+100</f>
        <v>100</v>
      </c>
      <c r="G27" s="580"/>
      <c r="H27" s="386">
        <f>SUMIF(95:95,G27,96:96)-SUMIF(95:95,C27,96:96)+100</f>
        <v>100</v>
      </c>
      <c r="I27" s="580"/>
      <c r="J27" s="386">
        <f>SUMIF(95:95,I27,96:96)-SUMIF(95:95,C27,96:96)+100</f>
        <v>100</v>
      </c>
      <c r="K27" s="619"/>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8.8">
      <c r="A28" s="379"/>
      <c r="B28" s="579"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19"/>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78"/>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0" t="s">
        <v>1873</v>
      </c>
      <c r="C30" s="1134">
        <f>估价对象房地状况!G23</f>
        <v>0</v>
      </c>
      <c r="D30" s="386">
        <v>100</v>
      </c>
      <c r="E30" s="580"/>
      <c r="F30" s="386">
        <f>SUMIF(99:99,E30,100:100)-SUMIF(99:99,C30,100:100)+100</f>
        <v>100</v>
      </c>
      <c r="G30" s="580"/>
      <c r="H30" s="386">
        <f>SUMIF(99:99,G30,100:100)-SUMIF(99:99,C30,100:100)+100</f>
        <v>100</v>
      </c>
      <c r="I30" s="580"/>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0"/>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1"/>
      <c r="B32" s="1990">
        <v>111</v>
      </c>
      <c r="C32" s="620"/>
      <c r="D32" s="386">
        <v>100</v>
      </c>
      <c r="E32" s="428"/>
      <c r="F32" s="386">
        <f>SUMIF(103:103,E33,104:104)-SUMIF(103:103,C33,104:104)+100</f>
        <v>100</v>
      </c>
      <c r="G32" s="428"/>
      <c r="H32" s="386">
        <f>SUMIF(103:103,G32,104:104)-SUMIF(103:103,C32,104:104)+100</f>
        <v>100</v>
      </c>
      <c r="I32" s="620"/>
      <c r="J32" s="386">
        <f>SUMIF(103:103,I32,104:104)-SUMIF(103:103,C32,104:104)+100</f>
        <v>100</v>
      </c>
      <c r="K32" s="562"/>
      <c r="L32" s="2720"/>
      <c r="M32" s="2714"/>
      <c r="N32" s="2714"/>
      <c r="O32" s="2772"/>
      <c r="P32" s="3758"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6" thickBot="1">
      <c r="A33" s="622"/>
      <c r="B33" s="1991">
        <v>111</v>
      </c>
      <c r="C33" s="624"/>
      <c r="D33" s="128">
        <v>100</v>
      </c>
      <c r="E33" s="647"/>
      <c r="F33" s="389">
        <f>SUMIF(105:105,E33,106:106)-SUMIF(105:105,C33,106:106)+100</f>
        <v>100</v>
      </c>
      <c r="G33" s="647"/>
      <c r="H33" s="389">
        <f>SUMIF(105:105,G33,106:106)-SUMIF(105:105,C33,106:106)+100</f>
        <v>100</v>
      </c>
      <c r="I33" s="624"/>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5"/>
      <c r="D34" s="418">
        <v>100</v>
      </c>
      <c r="E34" s="625"/>
      <c r="F34" s="418" t="e">
        <f>LOOKUP(E34,108:108,109:109)-LOOKUP(C34,108:108,109:109)+100</f>
        <v>#N/A</v>
      </c>
      <c r="G34" s="625"/>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0"/>
      <c r="D38" s="386">
        <v>100</v>
      </c>
      <c r="E38" s="620"/>
      <c r="F38" s="386">
        <f>SUMIF(116:116,E38,117:117)-SUMIF(116:116,C38,117:117)+100</f>
        <v>100</v>
      </c>
      <c r="G38" s="620"/>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0"/>
      <c r="D39" s="386">
        <v>100</v>
      </c>
      <c r="E39" s="620"/>
      <c r="F39" s="386">
        <f>SUMIF(118:118,E39,119:119)-SUMIF(118:118,C39,119:119)+100</f>
        <v>100</v>
      </c>
      <c r="G39" s="620"/>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6" thickBot="1">
      <c r="A40" s="419"/>
      <c r="B40" s="1132">
        <v>111</v>
      </c>
      <c r="C40" s="1979"/>
      <c r="D40" s="128">
        <v>100</v>
      </c>
      <c r="E40" s="620"/>
      <c r="F40" s="389">
        <f>SUMIF(120:120,E40,121:121)-SUMIF(120:120,C40,121:121)+100</f>
        <v>100</v>
      </c>
      <c r="G40" s="620"/>
      <c r="H40" s="389">
        <f>SUMIF(120:120,G40,121:121)-SUMIF(120:120,C40,121:121)+100</f>
        <v>100</v>
      </c>
      <c r="I40" s="498"/>
      <c r="J40" s="389">
        <f>SUMIF(120:120,I40,121:121)-SUMIF(120:120,C40,121:121)+100</f>
        <v>100</v>
      </c>
      <c r="K40" s="627"/>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4.4">
      <c r="A41" s="430" t="s">
        <v>1844</v>
      </c>
      <c r="B41" s="1980" t="s">
        <v>1922</v>
      </c>
      <c r="C41" s="628" t="s">
        <v>0</v>
      </c>
      <c r="D41" s="432"/>
      <c r="E41" s="433"/>
      <c r="F41" s="434"/>
      <c r="G41" s="435"/>
      <c r="H41" s="436"/>
      <c r="I41" s="433"/>
      <c r="J41" s="436"/>
      <c r="K41" s="712"/>
      <c r="L41" s="2722"/>
      <c r="M41" s="2714"/>
      <c r="N41" s="2714"/>
      <c r="O41" s="2723"/>
      <c r="P41" s="3698" t="str">
        <f>A41</f>
        <v>成交单价</v>
      </c>
      <c r="Q41" s="3698"/>
      <c r="R41" s="3729">
        <f>E41</f>
        <v>0</v>
      </c>
      <c r="S41" s="3729"/>
      <c r="T41" s="3729">
        <f>G41</f>
        <v>0</v>
      </c>
      <c r="U41" s="3729"/>
      <c r="V41" s="3729">
        <f>I41</f>
        <v>0</v>
      </c>
      <c r="W41" s="3729"/>
      <c r="X41" s="688"/>
      <c r="Y41" s="710"/>
      <c r="Z41" s="688"/>
      <c r="AA41" s="688"/>
      <c r="AB41" s="688"/>
      <c r="AC41" s="688"/>
    </row>
    <row r="42" spans="1:31" ht="15" thickBot="1">
      <c r="A42" s="437" t="s">
        <v>1793</v>
      </c>
      <c r="B42" s="629"/>
      <c r="C42" s="440" t="e">
        <f>R43</f>
        <v>#DIV/0!</v>
      </c>
      <c r="D42" s="2315" t="s">
        <v>2138</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60" t="e">
        <f>ROUND(PRODUCT(R41,AA7:AA40),0)</f>
        <v>#DIV/0!</v>
      </c>
      <c r="S42" s="3760"/>
      <c r="T42" s="3760" t="e">
        <f>ROUND(PRODUCT(T41,AB7:AB40),0)</f>
        <v>#DIV/0!</v>
      </c>
      <c r="U42" s="3760"/>
      <c r="V42" s="3760" t="e">
        <f>ROUND(PRODUCT(V41,AC7:AC40),0)</f>
        <v>#DIV/0!</v>
      </c>
      <c r="W42" s="3760"/>
      <c r="X42" s="688"/>
      <c r="Y42" s="688"/>
      <c r="Z42" s="688"/>
      <c r="AA42" s="688"/>
      <c r="AB42" s="688"/>
      <c r="AC42" s="688"/>
    </row>
    <row r="43" spans="1:31" ht="1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61" t="e">
        <f>ROUND(IF(D42="简单平均",AVERAGE(R42:W42),R42*F42+T42*H42+V42*J42),0)</f>
        <v>#DIV/0!</v>
      </c>
      <c r="S43" s="3761"/>
      <c r="T43" s="3761"/>
      <c r="U43" s="3761"/>
      <c r="V43" s="3761"/>
      <c r="W43" s="3761"/>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0" t="s">
        <v>1881</v>
      </c>
      <c r="B50" s="631" t="s">
        <v>1882</v>
      </c>
      <c r="C50" s="1981" t="s">
        <v>1883</v>
      </c>
      <c r="D50" s="1982" t="s">
        <v>1884</v>
      </c>
      <c r="E50" s="632" t="s">
        <v>1885</v>
      </c>
      <c r="F50" s="633" t="s">
        <v>1886</v>
      </c>
      <c r="G50" s="3713" t="s">
        <v>1887</v>
      </c>
      <c r="H50" s="3762"/>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8" customFormat="1">
      <c r="A51" s="634" t="s">
        <v>1890</v>
      </c>
      <c r="B51" s="635" t="e">
        <f>C43</f>
        <v>#DIV/0!</v>
      </c>
      <c r="C51" s="636">
        <v>1</v>
      </c>
      <c r="D51" s="942">
        <v>1</v>
      </c>
      <c r="E51" s="636">
        <f>'数据-汇总表'!E8+'数据-汇总表'!E9</f>
        <v>127.35</v>
      </c>
      <c r="F51" s="637" t="e">
        <f t="shared" ref="F51:F60" si="15">ROUND(B51*E51/10000,0)</f>
        <v>#DIV/0!</v>
      </c>
      <c r="G51" s="3709"/>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8" customFormat="1">
      <c r="A52" s="639" t="s">
        <v>1891</v>
      </c>
      <c r="B52" s="218" t="e">
        <f>ROUND($C$43*C52*D52,0)</f>
        <v>#DIV/0!</v>
      </c>
      <c r="C52" s="171">
        <f t="shared" ref="C52:C60" si="16">IF($C$50="北京市系数",I52,J52)</f>
        <v>0.6</v>
      </c>
      <c r="D52" s="943">
        <v>0.25</v>
      </c>
      <c r="E52" s="640"/>
      <c r="F52" s="637" t="e">
        <f t="shared" si="15"/>
        <v>#DIV/0!</v>
      </c>
      <c r="G52" s="3004" t="s">
        <v>1892</v>
      </c>
      <c r="H52" s="885" t="str">
        <f>项目基本情况!B37</f>
        <v>五级</v>
      </c>
      <c r="I52" s="771">
        <f>SUMIF(修正!A57:A68,H52,修正!B57:B68)</f>
        <v>0.6</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8" customFormat="1">
      <c r="A53" s="639" t="s">
        <v>1893</v>
      </c>
      <c r="B53" s="218" t="e">
        <f t="shared" ref="B53:B60" si="17">ROUND($C$43*C53*D53,0)</f>
        <v>#DIV/0!</v>
      </c>
      <c r="C53" s="171">
        <f t="shared" si="16"/>
        <v>0.3</v>
      </c>
      <c r="D53" s="943">
        <v>0.25</v>
      </c>
      <c r="E53" s="640"/>
      <c r="F53" s="637" t="e">
        <f t="shared" si="15"/>
        <v>#DIV/0!</v>
      </c>
      <c r="G53" s="3005"/>
      <c r="H53" s="885" t="str">
        <f>项目基本情况!B37</f>
        <v>五级</v>
      </c>
      <c r="I53" s="771">
        <f>SUMIF(修正!A57:A68,H53,修正!C57:C68)</f>
        <v>0.3</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8" customFormat="1">
      <c r="A54" s="639" t="s">
        <v>1894</v>
      </c>
      <c r="B54" s="218" t="e">
        <f t="shared" si="17"/>
        <v>#DIV/0!</v>
      </c>
      <c r="C54" s="171">
        <f t="shared" si="16"/>
        <v>0.25</v>
      </c>
      <c r="D54" s="943">
        <v>0.25</v>
      </c>
      <c r="E54" s="640"/>
      <c r="F54" s="637" t="e">
        <f t="shared" si="15"/>
        <v>#DIV/0!</v>
      </c>
      <c r="G54" s="3005"/>
      <c r="H54" s="885" t="str">
        <f>项目基本情况!B37</f>
        <v>五级</v>
      </c>
      <c r="I54" s="771">
        <f>SUMIF(修正!A57:A68,H54,修正!D57:D68)</f>
        <v>0.25</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8" customFormat="1" hidden="1">
      <c r="A55" s="639"/>
      <c r="B55" s="218"/>
      <c r="C55" s="171"/>
      <c r="D55" s="943"/>
      <c r="E55" s="640"/>
      <c r="F55" s="637"/>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8" customFormat="1">
      <c r="A56" s="639" t="s">
        <v>1895</v>
      </c>
      <c r="B56" s="218" t="e">
        <f t="shared" si="17"/>
        <v>#DIV/0!</v>
      </c>
      <c r="C56" s="171">
        <f t="shared" si="16"/>
        <v>0</v>
      </c>
      <c r="D56" s="943">
        <v>0.25</v>
      </c>
      <c r="E56" s="217">
        <f>'数据-汇总表'!E11</f>
        <v>0</v>
      </c>
      <c r="F56" s="637"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8" customFormat="1">
      <c r="A57" s="639" t="s">
        <v>1897</v>
      </c>
      <c r="B57" s="218" t="e">
        <f t="shared" si="17"/>
        <v>#DIV/0!</v>
      </c>
      <c r="C57" s="171">
        <f t="shared" si="16"/>
        <v>0</v>
      </c>
      <c r="D57" s="943">
        <v>0.25</v>
      </c>
      <c r="E57" s="217">
        <f>'数据-汇总表'!E12</f>
        <v>0</v>
      </c>
      <c r="F57" s="637"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8" customFormat="1">
      <c r="A58" s="639" t="s">
        <v>1899</v>
      </c>
      <c r="B58" s="218" t="e">
        <f t="shared" si="17"/>
        <v>#DIV/0!</v>
      </c>
      <c r="C58" s="171">
        <f t="shared" si="16"/>
        <v>0</v>
      </c>
      <c r="D58" s="943">
        <v>0.25</v>
      </c>
      <c r="E58" s="217">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8" customFormat="1">
      <c r="A59" s="639" t="s">
        <v>1901</v>
      </c>
      <c r="B59" s="218" t="e">
        <f t="shared" si="17"/>
        <v>#DIV/0!</v>
      </c>
      <c r="C59" s="171">
        <f t="shared" si="16"/>
        <v>0.15</v>
      </c>
      <c r="D59" s="943">
        <v>0.25</v>
      </c>
      <c r="E59" s="217">
        <f>'数据-汇总表'!E14</f>
        <v>0</v>
      </c>
      <c r="F59" s="637" t="e">
        <f t="shared" si="15"/>
        <v>#DIV/0!</v>
      </c>
      <c r="G59" s="1985" t="s">
        <v>1892</v>
      </c>
      <c r="H59" s="885" t="str">
        <f>项目基本情况!B37</f>
        <v>五级</v>
      </c>
      <c r="I59" s="771">
        <f>SUMIF(修正!A57:A68,H59,修正!G57:G68)</f>
        <v>0.15</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8" customFormat="1" ht="14.4" thickBot="1">
      <c r="A60" s="639" t="s">
        <v>1902</v>
      </c>
      <c r="B60" s="218" t="e">
        <f t="shared" si="17"/>
        <v>#DIV/0!</v>
      </c>
      <c r="C60" s="171">
        <f t="shared" si="16"/>
        <v>0</v>
      </c>
      <c r="D60" s="943">
        <v>0.25</v>
      </c>
      <c r="E60" s="217">
        <f>'数据-汇总表'!E15</f>
        <v>0</v>
      </c>
      <c r="F60" s="637"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8" customFormat="1" ht="14.4" thickBot="1">
      <c r="A61" s="641" t="s">
        <v>1903</v>
      </c>
      <c r="B61" s="642" t="s">
        <v>22</v>
      </c>
      <c r="C61" s="642" t="s">
        <v>23</v>
      </c>
      <c r="D61" s="642" t="s">
        <v>392</v>
      </c>
      <c r="E61" s="642">
        <f>IF(B41="楼面地价",SUM(E51:E60),'数据-汇总表'!D3)</f>
        <v>0</v>
      </c>
      <c r="F61" s="643"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3"/>
      <c r="Q63" s="2723"/>
      <c r="R63" s="2723"/>
      <c r="S63" s="2723"/>
      <c r="T63" s="2723"/>
      <c r="U63" s="2723"/>
      <c r="V63" s="2723"/>
      <c r="W63" s="2723"/>
      <c r="X63" s="2723"/>
      <c r="Y63" s="2723"/>
      <c r="Z63" s="2723"/>
      <c r="AA63" s="2723"/>
      <c r="AB63" s="2723"/>
      <c r="AC63" s="2723"/>
      <c r="AD63" s="2723"/>
      <c r="AE63" s="2723"/>
    </row>
    <row r="64" spans="1:31" ht="22.2"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4.4">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5">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4"/>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6" t="s">
        <v>1799</v>
      </c>
      <c r="D93" s="606" t="s">
        <v>1800</v>
      </c>
      <c r="E93" s="606" t="s">
        <v>1801</v>
      </c>
      <c r="F93" s="606" t="s">
        <v>1802</v>
      </c>
      <c r="G93" s="606"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1"/>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3"/>
      <c r="H106" s="623"/>
      <c r="I106" s="623"/>
      <c r="J106" s="623"/>
      <c r="K106" s="623"/>
      <c r="L106" s="623"/>
      <c r="M106" s="645"/>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6"/>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7.399999999999999">
      <c r="A3" s="3470" t="str">
        <f>IF(项目基本情况!B9="房地产市场价值","估价结果一览表（市场价值不需“结果表-1”）","估价结果一览表")</f>
        <v>估价结果一览表</v>
      </c>
      <c r="B3" s="3470"/>
      <c r="C3" s="3470"/>
      <c r="D3" s="3470"/>
      <c r="E3" s="3470"/>
    </row>
    <row r="4" spans="1:5" ht="18" thickBot="1">
      <c r="A4" s="1491"/>
      <c r="B4" s="3468" t="s">
        <v>917</v>
      </c>
      <c r="C4" s="3468"/>
      <c r="D4" s="3468"/>
      <c r="E4" s="1491"/>
    </row>
    <row r="5" spans="1:5" ht="16.2" thickTop="1">
      <c r="A5" s="1489"/>
      <c r="B5" s="3466" t="s">
        <v>909</v>
      </c>
      <c r="C5" s="1492" t="s">
        <v>910</v>
      </c>
      <c r="D5" s="848" t="e">
        <f ca="1">结果表!H101</f>
        <v>#REF!</v>
      </c>
      <c r="E5" s="1489"/>
    </row>
    <row r="6" spans="1:5" ht="15.6">
      <c r="A6" s="1489"/>
      <c r="B6" s="3466"/>
      <c r="C6" s="1492" t="s">
        <v>911</v>
      </c>
      <c r="D6" s="848" t="e">
        <f ca="1">NUMBERSTRING(INT(D5*10000),2)&amp;"元整"</f>
        <v>#REF!</v>
      </c>
      <c r="E6" s="1489"/>
    </row>
    <row r="7" spans="1:5" ht="15.6">
      <c r="A7" s="1489"/>
      <c r="B7" s="3471"/>
      <c r="C7" s="1493" t="s">
        <v>912</v>
      </c>
      <c r="D7" s="849" t="e">
        <f ca="1">结果表!H102</f>
        <v>#REF!</v>
      </c>
      <c r="E7" s="1489"/>
    </row>
    <row r="8" spans="1:5" ht="15.6">
      <c r="A8" s="1489"/>
      <c r="B8" s="3472" t="str">
        <f>结果表!E103</f>
        <v>2.估价师知悉的法定优先受偿款</v>
      </c>
      <c r="C8" s="1494" t="s">
        <v>913</v>
      </c>
      <c r="D8" s="849">
        <f>结果表!H103</f>
        <v>0</v>
      </c>
      <c r="E8" s="1489"/>
    </row>
    <row r="9" spans="1:5" ht="15.6">
      <c r="A9" s="1489"/>
      <c r="B9" s="3474"/>
      <c r="C9" s="1492" t="s">
        <v>911</v>
      </c>
      <c r="D9" s="848" t="str">
        <f>NUMBERSTRING(INT(D8*10000),2)&amp;"元整"</f>
        <v>零元整</v>
      </c>
      <c r="E9" s="1489"/>
    </row>
    <row r="10" spans="1:5" ht="15.6">
      <c r="A10" s="1489"/>
      <c r="B10" s="1495" t="s">
        <v>916</v>
      </c>
      <c r="C10" s="1496" t="s">
        <v>914</v>
      </c>
      <c r="D10" s="850">
        <f>结果表!H104</f>
        <v>0</v>
      </c>
      <c r="E10" s="1489"/>
    </row>
    <row r="11" spans="1:5" ht="15.6">
      <c r="A11" s="1489"/>
      <c r="B11" s="1495" t="s">
        <v>918</v>
      </c>
      <c r="C11" s="1496" t="s">
        <v>919</v>
      </c>
      <c r="D11" s="850">
        <f>结果表!H105</f>
        <v>0</v>
      </c>
      <c r="E11" s="1489"/>
    </row>
    <row r="12" spans="1:5" ht="15.6">
      <c r="A12" s="1489"/>
      <c r="B12" s="1495" t="s">
        <v>920</v>
      </c>
      <c r="C12" s="1496" t="s">
        <v>919</v>
      </c>
      <c r="D12" s="850">
        <f>结果表!H106</f>
        <v>0</v>
      </c>
      <c r="E12" s="1489"/>
    </row>
    <row r="13" spans="1:5" ht="15.6">
      <c r="A13" s="1489"/>
      <c r="B13" s="3465" t="str">
        <f>结果表!E107</f>
        <v>3.房地产抵押价值</v>
      </c>
      <c r="C13" s="1497" t="s">
        <v>910</v>
      </c>
      <c r="D13" s="851" t="e">
        <f ca="1">结果表!H107</f>
        <v>#REF!</v>
      </c>
      <c r="E13" s="1489"/>
    </row>
    <row r="14" spans="1:5" ht="15.6">
      <c r="A14" s="1489"/>
      <c r="B14" s="3466"/>
      <c r="C14" s="1492" t="s">
        <v>911</v>
      </c>
      <c r="D14" s="848" t="e">
        <f ca="1">NUMBERSTRING(INT(D13*10000),2)&amp;"元整"</f>
        <v>#REF!</v>
      </c>
      <c r="E14" s="1489"/>
    </row>
    <row r="15" spans="1:5" ht="15.6">
      <c r="A15" s="1489"/>
      <c r="B15" s="3471"/>
      <c r="C15" s="1493" t="s">
        <v>921</v>
      </c>
      <c r="D15" s="857" t="e">
        <f ca="1">结果表!H108</f>
        <v>#REF!</v>
      </c>
      <c r="E15" s="1489"/>
    </row>
    <row r="16" spans="1:5" ht="15.6">
      <c r="A16" s="1489"/>
      <c r="B16" s="3472" t="str">
        <f>结果表!E109</f>
        <v>——</v>
      </c>
      <c r="C16" s="1497" t="s">
        <v>922</v>
      </c>
      <c r="D16" s="1498" t="str">
        <f>结果表!H109</f>
        <v>——</v>
      </c>
      <c r="E16" s="1489"/>
    </row>
    <row r="17" spans="1:5" ht="15.6">
      <c r="A17" s="1489"/>
      <c r="B17" s="3473"/>
      <c r="C17" s="1492" t="s">
        <v>923</v>
      </c>
      <c r="D17" s="848" t="e">
        <f>NUMBERSTRING(INT(D16*10000),2)&amp;"元整"</f>
        <v>#VALUE!</v>
      </c>
      <c r="E17" s="1489"/>
    </row>
    <row r="18" spans="1:5" ht="15.6">
      <c r="A18" s="1489"/>
      <c r="B18" s="3474"/>
      <c r="C18" s="1493" t="s">
        <v>912</v>
      </c>
      <c r="D18" s="857" t="str">
        <f>结果表!H110</f>
        <v>——</v>
      </c>
      <c r="E18" s="1489"/>
    </row>
    <row r="19" spans="1:5" ht="15.6">
      <c r="A19" s="1489"/>
      <c r="B19" s="3465" t="str">
        <f>结果表!E111</f>
        <v>——</v>
      </c>
      <c r="C19" s="1497" t="s">
        <v>910</v>
      </c>
      <c r="D19" s="849" t="str">
        <f>结果表!H111</f>
        <v>——</v>
      </c>
      <c r="E19" s="1489"/>
    </row>
    <row r="20" spans="1:5" ht="15.6">
      <c r="A20" s="1489"/>
      <c r="B20" s="3466"/>
      <c r="C20" s="1492" t="s">
        <v>923</v>
      </c>
      <c r="D20" s="848" t="e">
        <f>NUMBERSTRING(INT(D19*10000),2)&amp;"元整"</f>
        <v>#VALUE!</v>
      </c>
      <c r="E20" s="1489"/>
    </row>
    <row r="21" spans="1:5" ht="16.2" thickBot="1">
      <c r="A21" s="1489"/>
      <c r="B21" s="3467"/>
      <c r="C21" s="1499" t="s">
        <v>921</v>
      </c>
      <c r="D21" s="858" t="str">
        <f>结果表!H112</f>
        <v>——</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30"/>
    <col min="20" max="45" width="9" style="723"/>
    <col min="46" max="16384" width="9" style="130"/>
  </cols>
  <sheetData>
    <row r="1" spans="1:45" ht="14.25" customHeight="1" thickBot="1">
      <c r="A1" s="146"/>
      <c r="B1" s="981" t="s">
        <v>2083</v>
      </c>
      <c r="C1" s="3770" t="s">
        <v>2084</v>
      </c>
      <c r="D1" s="3771"/>
      <c r="E1" s="3771"/>
      <c r="F1" s="3771"/>
      <c r="G1" s="3771"/>
      <c r="H1" s="3771"/>
      <c r="I1" s="3771"/>
      <c r="J1" s="3771"/>
      <c r="K1" s="3771"/>
      <c r="L1" s="3771"/>
      <c r="M1" s="3771"/>
      <c r="N1" s="3771"/>
      <c r="O1" s="3771"/>
      <c r="P1" s="3771"/>
      <c r="Q1" s="3771"/>
      <c r="R1" s="3771"/>
      <c r="S1" s="3772"/>
      <c r="T1" s="981" t="s">
        <v>2085</v>
      </c>
    </row>
    <row r="2" spans="1:45" s="653" customFormat="1">
      <c r="A2" s="982"/>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8"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8"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2"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6">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8">
        <v>1</v>
      </c>
      <c r="D24" s="2809"/>
      <c r="E24" s="2808">
        <v>1</v>
      </c>
      <c r="F24" s="2809"/>
      <c r="G24" s="2808">
        <v>1</v>
      </c>
      <c r="H24" s="2809"/>
      <c r="I24" s="2808">
        <v>1</v>
      </c>
      <c r="J24" s="2809"/>
      <c r="K24" s="2808">
        <v>1</v>
      </c>
      <c r="L24" s="2809"/>
      <c r="M24" s="2808">
        <v>1</v>
      </c>
      <c r="N24" s="2809"/>
      <c r="O24" s="2808">
        <v>1</v>
      </c>
      <c r="P24" s="2809"/>
      <c r="Q24" s="2808">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6">
        <f t="shared" si="11"/>
        <v>0</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2081</v>
      </c>
      <c r="B1" s="2145"/>
      <c r="C1" s="2145"/>
      <c r="D1" s="2145"/>
      <c r="E1" s="2145"/>
      <c r="F1" s="2791"/>
      <c r="G1" s="2791"/>
      <c r="H1" s="2791"/>
      <c r="I1" s="2791"/>
      <c r="J1" s="2791"/>
      <c r="K1" s="2791"/>
      <c r="L1" s="2791"/>
      <c r="M1" s="2791"/>
      <c r="N1" s="2791"/>
      <c r="O1" s="2791"/>
      <c r="P1" s="2791"/>
    </row>
    <row r="2" spans="1:16" ht="15.6">
      <c r="A2" s="2143" t="s">
        <v>2073</v>
      </c>
      <c r="B2" s="2600">
        <f ca="1">SUMIF(B6:B13,"&lt;&gt;#ref!",B6:B13)</f>
        <v>0</v>
      </c>
      <c r="C2" s="2143" t="s">
        <v>2074</v>
      </c>
      <c r="D2" s="2143" t="s">
        <v>2075</v>
      </c>
      <c r="E2" s="2610">
        <f ca="1">SUMIF(E6:E13,"&lt;&gt;#ref!",E6:E13)</f>
        <v>127.35</v>
      </c>
      <c r="F2" s="2791"/>
      <c r="G2" s="2791"/>
      <c r="H2" s="2791"/>
      <c r="I2" s="2791"/>
      <c r="J2" s="2791"/>
      <c r="K2" s="2791"/>
      <c r="L2" s="2791"/>
      <c r="M2" s="2791"/>
      <c r="N2" s="2791"/>
      <c r="O2" s="2791"/>
      <c r="P2" s="2791"/>
    </row>
    <row r="3" spans="1:16" ht="15.6">
      <c r="A3" s="2143" t="s">
        <v>2076</v>
      </c>
      <c r="B3" s="2600">
        <f ca="1">ROUND(B2*10000/E2,0)</f>
        <v>0</v>
      </c>
      <c r="C3" s="2143"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4"/>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0</v>
      </c>
      <c r="C6" s="2143" t="s">
        <v>2074</v>
      </c>
      <c r="D6" s="2791"/>
      <c r="E6" s="2610">
        <f ca="1">SUMIF(INDIRECT("'"&amp;A6&amp;"'"&amp;"!C:C"),"建筑面积",INDIRECT("'"&amp;A6&amp;"'"&amp;"!D:D"))</f>
        <v>127.35</v>
      </c>
      <c r="F6" s="2791"/>
      <c r="G6" s="2791"/>
      <c r="H6" s="2791"/>
      <c r="I6" s="2791"/>
      <c r="J6" s="2791"/>
      <c r="K6" s="2791"/>
      <c r="L6" s="2791"/>
      <c r="M6" s="2791"/>
      <c r="N6" s="2791"/>
      <c r="O6" s="2791"/>
      <c r="P6" s="2791"/>
    </row>
    <row r="7" spans="1:16" ht="15.6">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82" t="s">
        <v>2609</v>
      </c>
      <c r="B20" s="3777" t="s">
        <v>2630</v>
      </c>
      <c r="C20" s="3101" t="s">
        <v>2441</v>
      </c>
      <c r="D20" s="3102"/>
      <c r="E20" s="3103">
        <v>1</v>
      </c>
      <c r="F20" s="3104" t="s">
        <v>2442</v>
      </c>
      <c r="G20" s="3104"/>
    </row>
    <row r="21" spans="1:13" ht="19.5" customHeight="1">
      <c r="A21" s="3783"/>
      <c r="B21" s="3776"/>
      <c r="C21" s="3105" t="s">
        <v>2443</v>
      </c>
      <c r="D21" s="3106"/>
      <c r="E21" s="3107">
        <v>1</v>
      </c>
      <c r="F21" s="3104" t="s">
        <v>2444</v>
      </c>
      <c r="G21" s="3104"/>
    </row>
    <row r="22" spans="1:13" ht="19.5" customHeight="1">
      <c r="A22" s="3783"/>
      <c r="B22" s="3776"/>
      <c r="C22" s="3105" t="s">
        <v>2445</v>
      </c>
      <c r="D22" s="3106"/>
      <c r="E22" s="3107">
        <v>0.9</v>
      </c>
      <c r="F22" s="3104" t="s">
        <v>2446</v>
      </c>
      <c r="G22" s="3104"/>
    </row>
    <row r="23" spans="1:13" ht="19.5" customHeight="1">
      <c r="A23" s="3783"/>
      <c r="B23" s="3776"/>
      <c r="C23" s="3105" t="s">
        <v>2447</v>
      </c>
      <c r="D23" s="3106"/>
      <c r="E23" s="3107">
        <v>0.9</v>
      </c>
      <c r="F23" s="3104" t="s">
        <v>2448</v>
      </c>
      <c r="G23" s="3104"/>
    </row>
    <row r="24" spans="1:13" ht="19.5" customHeight="1">
      <c r="A24" s="3783"/>
      <c r="B24" s="3776"/>
      <c r="C24" s="3105" t="s">
        <v>2449</v>
      </c>
      <c r="D24" s="3106"/>
      <c r="E24" s="3107">
        <v>0.8</v>
      </c>
      <c r="F24" s="3104" t="s">
        <v>2450</v>
      </c>
      <c r="G24" s="3104"/>
    </row>
    <row r="25" spans="1:13" ht="19.5" customHeight="1" thickBot="1">
      <c r="A25" s="3784"/>
      <c r="B25" s="3778"/>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79" t="s">
        <v>2633</v>
      </c>
      <c r="B27" s="3777" t="s">
        <v>2614</v>
      </c>
      <c r="C27" s="3101" t="s">
        <v>2454</v>
      </c>
      <c r="D27" s="3102"/>
      <c r="E27" s="3103">
        <v>1</v>
      </c>
      <c r="F27" s="3104" t="s">
        <v>2455</v>
      </c>
      <c r="G27" s="3104"/>
    </row>
    <row r="28" spans="1:13" ht="19.5" customHeight="1">
      <c r="A28" s="3780"/>
      <c r="B28" s="3776"/>
      <c r="C28" s="3105" t="s">
        <v>2456</v>
      </c>
      <c r="D28" s="3106"/>
      <c r="E28" s="3107">
        <v>1</v>
      </c>
      <c r="F28" s="3104" t="s">
        <v>2457</v>
      </c>
      <c r="G28" s="3104"/>
    </row>
    <row r="29" spans="1:13" ht="19.5" customHeight="1">
      <c r="A29" s="3780"/>
      <c r="B29" s="3776"/>
      <c r="C29" s="3105" t="s">
        <v>2458</v>
      </c>
      <c r="D29" s="3106"/>
      <c r="E29" s="3107">
        <v>0.8</v>
      </c>
      <c r="F29" s="3104" t="s">
        <v>2459</v>
      </c>
      <c r="G29" s="3104"/>
    </row>
    <row r="30" spans="1:13" ht="19.5" customHeight="1">
      <c r="A30" s="3780"/>
      <c r="B30" s="3776"/>
      <c r="C30" s="3105" t="s">
        <v>2460</v>
      </c>
      <c r="D30" s="3106"/>
      <c r="E30" s="3107">
        <v>0.8</v>
      </c>
      <c r="F30" s="3104" t="s">
        <v>2461</v>
      </c>
      <c r="G30" s="3104"/>
    </row>
    <row r="31" spans="1:13" ht="19.5" customHeight="1">
      <c r="A31" s="3780"/>
      <c r="B31" s="3776"/>
      <c r="C31" s="3105" t="s">
        <v>2462</v>
      </c>
      <c r="D31" s="3106"/>
      <c r="E31" s="3107">
        <v>0.8</v>
      </c>
      <c r="F31" s="3104" t="s">
        <v>2463</v>
      </c>
      <c r="G31" s="3104"/>
    </row>
    <row r="32" spans="1:13" ht="19.5" customHeight="1">
      <c r="A32" s="3780"/>
      <c r="B32" s="3776"/>
      <c r="C32" s="3105" t="s">
        <v>2464</v>
      </c>
      <c r="D32" s="3106"/>
      <c r="E32" s="3107">
        <v>0.7</v>
      </c>
      <c r="F32" s="3104" t="s">
        <v>2465</v>
      </c>
      <c r="G32" s="3104"/>
    </row>
    <row r="33" spans="1:7" ht="19.5" customHeight="1">
      <c r="A33" s="3780"/>
      <c r="B33" s="3776"/>
      <c r="C33" s="3105" t="s">
        <v>2466</v>
      </c>
      <c r="D33" s="3106"/>
      <c r="E33" s="3107">
        <v>0.8</v>
      </c>
      <c r="F33" s="3104" t="s">
        <v>2467</v>
      </c>
      <c r="G33" s="3104"/>
    </row>
    <row r="34" spans="1:7" ht="19.5" customHeight="1">
      <c r="A34" s="3780"/>
      <c r="B34" s="3776"/>
      <c r="C34" s="3105" t="s">
        <v>2468</v>
      </c>
      <c r="D34" s="3106"/>
      <c r="E34" s="3107">
        <v>0.6</v>
      </c>
      <c r="F34" s="3104" t="s">
        <v>2469</v>
      </c>
      <c r="G34" s="3104"/>
    </row>
    <row r="35" spans="1:7" ht="19.5" customHeight="1">
      <c r="A35" s="3780"/>
      <c r="B35" s="3776"/>
      <c r="C35" s="3105" t="s">
        <v>2470</v>
      </c>
      <c r="D35" s="3106"/>
      <c r="E35" s="3107">
        <v>0.2</v>
      </c>
      <c r="F35" s="3104" t="s">
        <v>2471</v>
      </c>
      <c r="G35" s="3104"/>
    </row>
    <row r="36" spans="1:7" ht="19.5" customHeight="1">
      <c r="A36" s="3780"/>
      <c r="B36" s="3776"/>
      <c r="C36" s="3105" t="s">
        <v>2472</v>
      </c>
      <c r="D36" s="3106"/>
      <c r="E36" s="3107">
        <v>0.2</v>
      </c>
      <c r="F36" s="3104" t="s">
        <v>2473</v>
      </c>
      <c r="G36" s="3104"/>
    </row>
    <row r="37" spans="1:7" ht="19.5" customHeight="1">
      <c r="A37" s="3780"/>
      <c r="B37" s="3774" t="s">
        <v>2634</v>
      </c>
      <c r="C37" s="3105" t="s">
        <v>2474</v>
      </c>
      <c r="D37" s="3106"/>
      <c r="E37" s="3107">
        <v>0.6</v>
      </c>
      <c r="F37" s="3104" t="s">
        <v>2475</v>
      </c>
      <c r="G37" s="3104"/>
    </row>
    <row r="38" spans="1:7" ht="19.5" customHeight="1">
      <c r="A38" s="3780"/>
      <c r="B38" s="3776"/>
      <c r="C38" s="3105" t="s">
        <v>2476</v>
      </c>
      <c r="D38" s="3106"/>
      <c r="E38" s="3107">
        <v>0.6</v>
      </c>
      <c r="F38" s="3104" t="s">
        <v>2477</v>
      </c>
      <c r="G38" s="3104"/>
    </row>
    <row r="39" spans="1:7" ht="19.5" customHeight="1" thickBot="1">
      <c r="A39" s="3781"/>
      <c r="B39" s="3778"/>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82" t="s">
        <v>2612</v>
      </c>
      <c r="B41" s="3777" t="s">
        <v>2636</v>
      </c>
      <c r="C41" s="3101" t="s">
        <v>2481</v>
      </c>
      <c r="D41" s="3102"/>
      <c r="E41" s="3103">
        <v>1</v>
      </c>
      <c r="F41" s="3104" t="s">
        <v>2482</v>
      </c>
      <c r="G41" s="3104"/>
    </row>
    <row r="42" spans="1:7" ht="19.5" customHeight="1">
      <c r="A42" s="3783"/>
      <c r="B42" s="3776"/>
      <c r="C42" s="3105" t="s">
        <v>2483</v>
      </c>
      <c r="D42" s="3106"/>
      <c r="E42" s="3107">
        <v>1</v>
      </c>
      <c r="F42" s="3104" t="s">
        <v>2484</v>
      </c>
      <c r="G42" s="3104"/>
    </row>
    <row r="43" spans="1:7" ht="19.5" customHeight="1">
      <c r="A43" s="3783"/>
      <c r="B43" s="3775"/>
      <c r="C43" s="3105" t="s">
        <v>2485</v>
      </c>
      <c r="D43" s="3106"/>
      <c r="E43" s="3107">
        <v>1.5</v>
      </c>
      <c r="F43" s="3104" t="s">
        <v>2486</v>
      </c>
      <c r="G43" s="3104"/>
    </row>
    <row r="44" spans="1:7" ht="19.5" customHeight="1">
      <c r="A44" s="3783"/>
      <c r="B44" s="3116" t="s">
        <v>2637</v>
      </c>
      <c r="C44" s="3105" t="s">
        <v>2638</v>
      </c>
      <c r="D44" s="3106"/>
      <c r="E44" s="3107">
        <v>2</v>
      </c>
      <c r="F44" s="3104" t="s">
        <v>2487</v>
      </c>
      <c r="G44" s="3104"/>
    </row>
    <row r="45" spans="1:7" ht="19.5" customHeight="1">
      <c r="A45" s="3783"/>
      <c r="B45" s="3774" t="s">
        <v>2639</v>
      </c>
      <c r="C45" s="3105" t="s">
        <v>2488</v>
      </c>
      <c r="D45" s="3106"/>
      <c r="E45" s="3107">
        <v>1</v>
      </c>
      <c r="F45" s="3104" t="s">
        <v>2489</v>
      </c>
      <c r="G45" s="3104"/>
    </row>
    <row r="46" spans="1:7" ht="19.5" customHeight="1">
      <c r="A46" s="3783"/>
      <c r="B46" s="3776"/>
      <c r="C46" s="3105" t="s">
        <v>2490</v>
      </c>
      <c r="D46" s="3106"/>
      <c r="E46" s="3107">
        <v>1</v>
      </c>
      <c r="F46" s="3104" t="s">
        <v>2491</v>
      </c>
      <c r="G46" s="3104"/>
    </row>
    <row r="47" spans="1:7" ht="19.5" customHeight="1">
      <c r="A47" s="3783"/>
      <c r="B47" s="3776"/>
      <c r="C47" s="3105" t="s">
        <v>2492</v>
      </c>
      <c r="D47" s="3106"/>
      <c r="E47" s="3107">
        <v>1</v>
      </c>
      <c r="F47" s="3104" t="s">
        <v>2493</v>
      </c>
      <c r="G47" s="3104"/>
    </row>
    <row r="48" spans="1:7" ht="19.5" customHeight="1">
      <c r="A48" s="3783"/>
      <c r="B48" s="3776"/>
      <c r="C48" s="3105" t="s">
        <v>2494</v>
      </c>
      <c r="D48" s="3106"/>
      <c r="E48" s="3107">
        <v>1</v>
      </c>
      <c r="F48" s="3104" t="s">
        <v>2495</v>
      </c>
      <c r="G48" s="3104"/>
    </row>
    <row r="49" spans="1:7" ht="19.5" customHeight="1">
      <c r="A49" s="3783"/>
      <c r="B49" s="3776"/>
      <c r="C49" s="3105" t="s">
        <v>2496</v>
      </c>
      <c r="D49" s="3106"/>
      <c r="E49" s="3107">
        <v>1</v>
      </c>
      <c r="F49" s="3104" t="s">
        <v>2497</v>
      </c>
      <c r="G49" s="3104"/>
    </row>
    <row r="50" spans="1:7" ht="19.5" customHeight="1">
      <c r="A50" s="3783"/>
      <c r="B50" s="3776"/>
      <c r="C50" s="3105" t="s">
        <v>2498</v>
      </c>
      <c r="D50" s="3106"/>
      <c r="E50" s="3107">
        <v>1</v>
      </c>
      <c r="F50" s="3104" t="s">
        <v>2499</v>
      </c>
      <c r="G50" s="3104"/>
    </row>
    <row r="51" spans="1:7" ht="19.5" customHeight="1" thickBot="1">
      <c r="A51" s="3784"/>
      <c r="B51" s="3778"/>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4.4">
      <c r="A72" s="3116"/>
      <c r="B72" s="3116"/>
      <c r="C72" s="3116" t="s">
        <v>2652</v>
      </c>
      <c r="D72" s="3116"/>
      <c r="E72" s="3116" t="s">
        <v>2623</v>
      </c>
      <c r="F72" s="3116" t="s">
        <v>2623</v>
      </c>
    </row>
    <row r="73" spans="1:7" ht="14.4">
      <c r="A73" s="3116">
        <v>1</v>
      </c>
      <c r="B73" s="3774" t="s">
        <v>2653</v>
      </c>
      <c r="C73" s="3090" t="s">
        <v>2654</v>
      </c>
      <c r="D73" s="3090" t="s">
        <v>2655</v>
      </c>
      <c r="E73" s="3116">
        <v>0.2</v>
      </c>
      <c r="F73" s="3116">
        <v>25</v>
      </c>
    </row>
    <row r="74" spans="1:7" ht="24">
      <c r="A74" s="3116">
        <v>2</v>
      </c>
      <c r="B74" s="3776"/>
      <c r="C74" s="3090" t="s">
        <v>2656</v>
      </c>
      <c r="D74" s="3090" t="s">
        <v>2657</v>
      </c>
      <c r="E74" s="3116">
        <v>0.2</v>
      </c>
      <c r="F74" s="3116">
        <v>25</v>
      </c>
    </row>
    <row r="75" spans="1:7" ht="24">
      <c r="A75" s="3116">
        <v>3</v>
      </c>
      <c r="B75" s="3776"/>
      <c r="C75" s="3090" t="s">
        <v>2658</v>
      </c>
      <c r="D75" s="3090" t="s">
        <v>2659</v>
      </c>
      <c r="E75" s="3116">
        <v>0.2</v>
      </c>
      <c r="F75" s="3116">
        <v>25</v>
      </c>
    </row>
    <row r="76" spans="1:7" ht="14.4">
      <c r="A76" s="3116">
        <v>4</v>
      </c>
      <c r="B76" s="3776"/>
      <c r="C76" s="3090" t="s">
        <v>2660</v>
      </c>
      <c r="D76" s="3090" t="s">
        <v>2661</v>
      </c>
      <c r="E76" s="3116">
        <v>0.15</v>
      </c>
      <c r="F76" s="3116">
        <v>20</v>
      </c>
    </row>
    <row r="77" spans="1:7" ht="24">
      <c r="A77" s="3116">
        <v>5</v>
      </c>
      <c r="B77" s="3776"/>
      <c r="C77" s="3090" t="s">
        <v>2662</v>
      </c>
      <c r="D77" s="3090" t="s">
        <v>2663</v>
      </c>
      <c r="E77" s="3116">
        <v>0.15</v>
      </c>
      <c r="F77" s="3116">
        <v>20</v>
      </c>
    </row>
    <row r="78" spans="1:7" ht="24">
      <c r="A78" s="3116">
        <v>6</v>
      </c>
      <c r="B78" s="3776"/>
      <c r="C78" s="3090" t="s">
        <v>2664</v>
      </c>
      <c r="D78" s="3090" t="s">
        <v>2665</v>
      </c>
      <c r="E78" s="3116">
        <v>0.15</v>
      </c>
      <c r="F78" s="3116">
        <v>20</v>
      </c>
    </row>
    <row r="79" spans="1:7" ht="24">
      <c r="A79" s="3116">
        <v>7</v>
      </c>
      <c r="B79" s="3776"/>
      <c r="C79" s="3090" t="s">
        <v>2666</v>
      </c>
      <c r="D79" s="3090" t="s">
        <v>2667</v>
      </c>
      <c r="E79" s="3116">
        <v>0.15</v>
      </c>
      <c r="F79" s="3116">
        <v>20</v>
      </c>
    </row>
    <row r="80" spans="1:7" ht="24">
      <c r="A80" s="3116">
        <v>8</v>
      </c>
      <c r="B80" s="3776"/>
      <c r="C80" s="3090" t="s">
        <v>2668</v>
      </c>
      <c r="D80" s="3090" t="s">
        <v>2669</v>
      </c>
      <c r="E80" s="3116">
        <v>0.1</v>
      </c>
      <c r="F80" s="3116">
        <v>15</v>
      </c>
    </row>
    <row r="81" spans="1:6" ht="24">
      <c r="A81" s="3116">
        <v>9</v>
      </c>
      <c r="B81" s="3776"/>
      <c r="C81" s="3090" t="s">
        <v>2670</v>
      </c>
      <c r="D81" s="3090" t="s">
        <v>2671</v>
      </c>
      <c r="E81" s="3116">
        <v>0.1</v>
      </c>
      <c r="F81" s="3116">
        <v>15</v>
      </c>
    </row>
    <row r="82" spans="1:6" ht="24">
      <c r="A82" s="3116">
        <v>10</v>
      </c>
      <c r="B82" s="3776"/>
      <c r="C82" s="3090" t="s">
        <v>2672</v>
      </c>
      <c r="D82" s="3090" t="s">
        <v>2673</v>
      </c>
      <c r="E82" s="3116">
        <v>0.1</v>
      </c>
      <c r="F82" s="3116">
        <v>15</v>
      </c>
    </row>
    <row r="83" spans="1:6" ht="24">
      <c r="A83" s="3116">
        <v>11</v>
      </c>
      <c r="B83" s="3776"/>
      <c r="C83" s="3090" t="s">
        <v>2674</v>
      </c>
      <c r="D83" s="3090" t="s">
        <v>2675</v>
      </c>
      <c r="E83" s="3116">
        <v>0.1</v>
      </c>
      <c r="F83" s="3116">
        <v>15</v>
      </c>
    </row>
    <row r="84" spans="1:6" ht="24">
      <c r="A84" s="3116">
        <v>12</v>
      </c>
      <c r="B84" s="3776"/>
      <c r="C84" s="3090" t="s">
        <v>2676</v>
      </c>
      <c r="D84" s="3090" t="s">
        <v>2677</v>
      </c>
      <c r="E84" s="3116">
        <v>0.1</v>
      </c>
      <c r="F84" s="3116">
        <v>15</v>
      </c>
    </row>
    <row r="85" spans="1:6" ht="24">
      <c r="A85" s="3116">
        <v>13</v>
      </c>
      <c r="B85" s="3776"/>
      <c r="C85" s="3090" t="s">
        <v>2678</v>
      </c>
      <c r="D85" s="3090" t="s">
        <v>2679</v>
      </c>
      <c r="E85" s="3116">
        <v>0.1</v>
      </c>
      <c r="F85" s="3116">
        <v>15</v>
      </c>
    </row>
    <row r="86" spans="1:6" ht="24">
      <c r="A86" s="3116">
        <v>14</v>
      </c>
      <c r="B86" s="3776"/>
      <c r="C86" s="3090" t="s">
        <v>2680</v>
      </c>
      <c r="D86" s="3090" t="s">
        <v>2681</v>
      </c>
      <c r="E86" s="3116">
        <v>0.1</v>
      </c>
      <c r="F86" s="3116">
        <v>15</v>
      </c>
    </row>
    <row r="87" spans="1:6" ht="24">
      <c r="A87" s="3116">
        <v>15</v>
      </c>
      <c r="B87" s="3776"/>
      <c r="C87" s="3090" t="s">
        <v>2682</v>
      </c>
      <c r="D87" s="3090" t="s">
        <v>2683</v>
      </c>
      <c r="E87" s="3116">
        <v>0.1</v>
      </c>
      <c r="F87" s="3116">
        <v>15</v>
      </c>
    </row>
    <row r="88" spans="1:6" ht="24">
      <c r="A88" s="3116">
        <v>16</v>
      </c>
      <c r="B88" s="3776"/>
      <c r="C88" s="3090" t="s">
        <v>2684</v>
      </c>
      <c r="D88" s="3090" t="s">
        <v>2685</v>
      </c>
      <c r="E88" s="3116">
        <v>0.1</v>
      </c>
      <c r="F88" s="3116">
        <v>15</v>
      </c>
    </row>
    <row r="89" spans="1:6" ht="24">
      <c r="A89" s="3116">
        <v>17</v>
      </c>
      <c r="B89" s="3775"/>
      <c r="C89" s="3090" t="s">
        <v>2686</v>
      </c>
      <c r="D89" s="3090" t="s">
        <v>2687</v>
      </c>
      <c r="E89" s="3116">
        <v>0.1</v>
      </c>
      <c r="F89" s="3116">
        <v>15</v>
      </c>
    </row>
    <row r="90" spans="1:6" ht="14.4">
      <c r="A90" s="3116">
        <v>18</v>
      </c>
      <c r="B90" s="3774" t="s">
        <v>2688</v>
      </c>
      <c r="C90" s="3090" t="s">
        <v>2689</v>
      </c>
      <c r="D90" s="3090" t="s">
        <v>2690</v>
      </c>
      <c r="E90" s="3116">
        <v>0.2</v>
      </c>
      <c r="F90" s="3116">
        <v>25</v>
      </c>
    </row>
    <row r="91" spans="1:6" ht="24">
      <c r="A91" s="3116">
        <v>19</v>
      </c>
      <c r="B91" s="3776"/>
      <c r="C91" s="3090" t="s">
        <v>2691</v>
      </c>
      <c r="D91" s="3090" t="s">
        <v>2692</v>
      </c>
      <c r="E91" s="3116">
        <v>0.2</v>
      </c>
      <c r="F91" s="3116">
        <v>25</v>
      </c>
    </row>
    <row r="92" spans="1:6" ht="14.4">
      <c r="A92" s="3116">
        <v>20</v>
      </c>
      <c r="B92" s="3776"/>
      <c r="C92" s="3090" t="s">
        <v>2693</v>
      </c>
      <c r="D92" s="3090" t="s">
        <v>2694</v>
      </c>
      <c r="E92" s="3116">
        <v>0.15</v>
      </c>
      <c r="F92" s="3116">
        <v>20</v>
      </c>
    </row>
    <row r="93" spans="1:6" ht="24">
      <c r="A93" s="3116">
        <v>21</v>
      </c>
      <c r="B93" s="3776"/>
      <c r="C93" s="3090" t="s">
        <v>2695</v>
      </c>
      <c r="D93" s="3090" t="s">
        <v>2696</v>
      </c>
      <c r="E93" s="3116">
        <v>0.15</v>
      </c>
      <c r="F93" s="3116">
        <v>20</v>
      </c>
    </row>
    <row r="94" spans="1:6" ht="24">
      <c r="A94" s="3116">
        <v>22</v>
      </c>
      <c r="B94" s="3776"/>
      <c r="C94" s="3090" t="s">
        <v>2697</v>
      </c>
      <c r="D94" s="3090" t="s">
        <v>2698</v>
      </c>
      <c r="E94" s="3116">
        <v>0.15</v>
      </c>
      <c r="F94" s="3116">
        <v>20</v>
      </c>
    </row>
    <row r="95" spans="1:6" ht="36">
      <c r="A95" s="3116">
        <v>23</v>
      </c>
      <c r="B95" s="3776"/>
      <c r="C95" s="3090" t="s">
        <v>2699</v>
      </c>
      <c r="D95" s="3090" t="s">
        <v>2700</v>
      </c>
      <c r="E95" s="3116">
        <v>0.15</v>
      </c>
      <c r="F95" s="3116">
        <v>20</v>
      </c>
    </row>
    <row r="96" spans="1:6" ht="24">
      <c r="A96" s="3116">
        <v>24</v>
      </c>
      <c r="B96" s="3776"/>
      <c r="C96" s="3090" t="s">
        <v>2701</v>
      </c>
      <c r="D96" s="3090" t="s">
        <v>2702</v>
      </c>
      <c r="E96" s="3116">
        <v>0.1</v>
      </c>
      <c r="F96" s="3116">
        <v>15</v>
      </c>
    </row>
    <row r="97" spans="1:6" ht="24">
      <c r="A97" s="3116">
        <v>25</v>
      </c>
      <c r="B97" s="3776"/>
      <c r="C97" s="3090" t="s">
        <v>2703</v>
      </c>
      <c r="D97" s="3090" t="s">
        <v>2704</v>
      </c>
      <c r="E97" s="3116">
        <v>0.1</v>
      </c>
      <c r="F97" s="3116">
        <v>15</v>
      </c>
    </row>
    <row r="98" spans="1:6" ht="24">
      <c r="A98" s="3116">
        <v>26</v>
      </c>
      <c r="B98" s="3776"/>
      <c r="C98" s="3090" t="s">
        <v>2705</v>
      </c>
      <c r="D98" s="3090" t="s">
        <v>2706</v>
      </c>
      <c r="E98" s="3116">
        <v>0.1</v>
      </c>
      <c r="F98" s="3116">
        <v>15</v>
      </c>
    </row>
    <row r="99" spans="1:6" ht="24">
      <c r="A99" s="3116">
        <v>27</v>
      </c>
      <c r="B99" s="3776"/>
      <c r="C99" s="3090" t="s">
        <v>2707</v>
      </c>
      <c r="D99" s="3090" t="s">
        <v>2708</v>
      </c>
      <c r="E99" s="3116">
        <v>0.1</v>
      </c>
      <c r="F99" s="3116">
        <v>15</v>
      </c>
    </row>
    <row r="100" spans="1:6" ht="24">
      <c r="A100" s="3116">
        <v>28</v>
      </c>
      <c r="B100" s="3776"/>
      <c r="C100" s="3090" t="s">
        <v>2709</v>
      </c>
      <c r="D100" s="3090" t="s">
        <v>2710</v>
      </c>
      <c r="E100" s="3116">
        <v>0.1</v>
      </c>
      <c r="F100" s="3116">
        <v>15</v>
      </c>
    </row>
    <row r="101" spans="1:6" ht="24">
      <c r="A101" s="3116">
        <v>29</v>
      </c>
      <c r="B101" s="3776"/>
      <c r="C101" s="3090" t="s">
        <v>2711</v>
      </c>
      <c r="D101" s="3090" t="s">
        <v>2712</v>
      </c>
      <c r="E101" s="3116">
        <v>0.1</v>
      </c>
      <c r="F101" s="3116">
        <v>15</v>
      </c>
    </row>
    <row r="102" spans="1:6" ht="24">
      <c r="A102" s="3116">
        <v>30</v>
      </c>
      <c r="B102" s="3776"/>
      <c r="C102" s="3090" t="s">
        <v>2713</v>
      </c>
      <c r="D102" s="3090" t="s">
        <v>2714</v>
      </c>
      <c r="E102" s="3116">
        <v>0.1</v>
      </c>
      <c r="F102" s="3116">
        <v>15</v>
      </c>
    </row>
    <row r="103" spans="1:6" ht="24">
      <c r="A103" s="3116">
        <v>31</v>
      </c>
      <c r="B103" s="3776"/>
      <c r="C103" s="3090" t="s">
        <v>2715</v>
      </c>
      <c r="D103" s="3090" t="s">
        <v>2716</v>
      </c>
      <c r="E103" s="3116">
        <v>0.1</v>
      </c>
      <c r="F103" s="3116">
        <v>15</v>
      </c>
    </row>
    <row r="104" spans="1:6" ht="24">
      <c r="A104" s="3116">
        <v>32</v>
      </c>
      <c r="B104" s="3776"/>
      <c r="C104" s="3090" t="s">
        <v>2717</v>
      </c>
      <c r="D104" s="3090" t="s">
        <v>2718</v>
      </c>
      <c r="E104" s="3116">
        <v>0.1</v>
      </c>
      <c r="F104" s="3116">
        <v>15</v>
      </c>
    </row>
    <row r="105" spans="1:6" ht="24">
      <c r="A105" s="3116">
        <v>33</v>
      </c>
      <c r="B105" s="3776"/>
      <c r="C105" s="3090" t="s">
        <v>2719</v>
      </c>
      <c r="D105" s="3090" t="s">
        <v>2720</v>
      </c>
      <c r="E105" s="3116">
        <v>0.1</v>
      </c>
      <c r="F105" s="3116">
        <v>15</v>
      </c>
    </row>
    <row r="106" spans="1:6" ht="24">
      <c r="A106" s="3116">
        <v>34</v>
      </c>
      <c r="B106" s="3775"/>
      <c r="C106" s="3090" t="s">
        <v>2721</v>
      </c>
      <c r="D106" s="3090" t="s">
        <v>2722</v>
      </c>
      <c r="E106" s="3116">
        <v>0.1</v>
      </c>
      <c r="F106" s="3116">
        <v>15</v>
      </c>
    </row>
    <row r="107" spans="1:6" ht="36">
      <c r="A107" s="3116">
        <v>35</v>
      </c>
      <c r="B107" s="3774" t="s">
        <v>2723</v>
      </c>
      <c r="C107" s="3116" t="s">
        <v>2724</v>
      </c>
      <c r="D107" s="3090" t="s">
        <v>2725</v>
      </c>
      <c r="E107" s="3116">
        <v>0.15</v>
      </c>
      <c r="F107" s="3116">
        <v>20</v>
      </c>
    </row>
    <row r="108" spans="1:6" ht="24">
      <c r="A108" s="3116">
        <v>36</v>
      </c>
      <c r="B108" s="3776"/>
      <c r="C108" s="3116" t="s">
        <v>2726</v>
      </c>
      <c r="D108" s="3090" t="s">
        <v>2727</v>
      </c>
      <c r="E108" s="3116">
        <v>0.15</v>
      </c>
      <c r="F108" s="3116">
        <v>20</v>
      </c>
    </row>
    <row r="109" spans="1:6" ht="24">
      <c r="A109" s="3116">
        <v>37</v>
      </c>
      <c r="B109" s="3776"/>
      <c r="C109" s="3116" t="s">
        <v>2728</v>
      </c>
      <c r="D109" s="3090" t="s">
        <v>2729</v>
      </c>
      <c r="E109" s="3116">
        <v>0.15</v>
      </c>
      <c r="F109" s="3116">
        <v>20</v>
      </c>
    </row>
    <row r="110" spans="1:6" ht="24">
      <c r="A110" s="3116">
        <v>38</v>
      </c>
      <c r="B110" s="3776"/>
      <c r="C110" s="3116" t="s">
        <v>2730</v>
      </c>
      <c r="D110" s="3090" t="s">
        <v>2731</v>
      </c>
      <c r="E110" s="3116">
        <v>0.1</v>
      </c>
      <c r="F110" s="3116">
        <v>15</v>
      </c>
    </row>
    <row r="111" spans="1:6" ht="24">
      <c r="A111" s="3116">
        <v>39</v>
      </c>
      <c r="B111" s="3776"/>
      <c r="C111" s="3116" t="s">
        <v>2732</v>
      </c>
      <c r="D111" s="3090" t="s">
        <v>2733</v>
      </c>
      <c r="E111" s="3116">
        <v>0.1</v>
      </c>
      <c r="F111" s="3116">
        <v>15</v>
      </c>
    </row>
    <row r="112" spans="1:6" ht="24">
      <c r="A112" s="3116">
        <v>40</v>
      </c>
      <c r="B112" s="3775"/>
      <c r="C112" s="3116" t="s">
        <v>2734</v>
      </c>
      <c r="D112" s="3090" t="s">
        <v>2735</v>
      </c>
      <c r="E112" s="3116">
        <v>0.1</v>
      </c>
      <c r="F112" s="3116">
        <v>15</v>
      </c>
    </row>
    <row r="113" spans="1:6" ht="24">
      <c r="A113" s="3116">
        <v>41</v>
      </c>
      <c r="B113" s="3773" t="s">
        <v>2736</v>
      </c>
      <c r="C113" s="3116" t="s">
        <v>2737</v>
      </c>
      <c r="D113" s="3090" t="s">
        <v>2738</v>
      </c>
      <c r="E113" s="3116">
        <v>0.1</v>
      </c>
      <c r="F113" s="3116">
        <v>15</v>
      </c>
    </row>
    <row r="114" spans="1:6" ht="24">
      <c r="A114" s="3116">
        <v>42</v>
      </c>
      <c r="B114" s="3773"/>
      <c r="C114" s="3116" t="s">
        <v>2739</v>
      </c>
      <c r="D114" s="3090" t="s">
        <v>2740</v>
      </c>
      <c r="E114" s="3116">
        <v>0.1</v>
      </c>
      <c r="F114" s="3116">
        <v>15</v>
      </c>
    </row>
    <row r="115" spans="1:6" ht="24">
      <c r="A115" s="3116">
        <v>43</v>
      </c>
      <c r="B115" s="3773"/>
      <c r="C115" s="3116" t="s">
        <v>2741</v>
      </c>
      <c r="D115" s="3090" t="s">
        <v>2742</v>
      </c>
      <c r="E115" s="3116">
        <v>0.1</v>
      </c>
      <c r="F115" s="3116">
        <v>15</v>
      </c>
    </row>
    <row r="116" spans="1:6" ht="24">
      <c r="A116" s="3116">
        <v>44</v>
      </c>
      <c r="B116" s="3774" t="s">
        <v>2743</v>
      </c>
      <c r="C116" s="3116" t="s">
        <v>2744</v>
      </c>
      <c r="D116" s="3090" t="s">
        <v>2745</v>
      </c>
      <c r="E116" s="3116">
        <v>0.1</v>
      </c>
      <c r="F116" s="3116">
        <v>15</v>
      </c>
    </row>
    <row r="117" spans="1:6" ht="24">
      <c r="A117" s="3116">
        <v>45</v>
      </c>
      <c r="B117" s="3775"/>
      <c r="C117" s="3090" t="s">
        <v>2746</v>
      </c>
      <c r="D117" s="3090" t="s">
        <v>2747</v>
      </c>
      <c r="E117" s="3116">
        <v>0.1</v>
      </c>
      <c r="F117" s="3116">
        <v>15</v>
      </c>
    </row>
    <row r="118" spans="1:6" ht="24">
      <c r="A118" s="3116">
        <v>46</v>
      </c>
      <c r="B118" s="3774" t="s">
        <v>2748</v>
      </c>
      <c r="C118" s="3116" t="s">
        <v>2749</v>
      </c>
      <c r="D118" s="3090" t="s">
        <v>2750</v>
      </c>
      <c r="E118" s="3116">
        <v>0.1</v>
      </c>
      <c r="F118" s="3116">
        <v>15</v>
      </c>
    </row>
    <row r="119" spans="1:6" ht="24">
      <c r="A119" s="3116">
        <v>47</v>
      </c>
      <c r="B119" s="3775"/>
      <c r="C119" s="3116" t="s">
        <v>2751</v>
      </c>
      <c r="D119" s="3090" t="s">
        <v>2752</v>
      </c>
      <c r="E119" s="3116">
        <v>0.1</v>
      </c>
      <c r="F119" s="3116">
        <v>15</v>
      </c>
    </row>
    <row r="120" spans="1:6" ht="24">
      <c r="A120" s="3116">
        <v>48</v>
      </c>
      <c r="B120" s="3774" t="s">
        <v>2753</v>
      </c>
      <c r="C120" s="3116" t="s">
        <v>2754</v>
      </c>
      <c r="D120" s="3090" t="s">
        <v>2755</v>
      </c>
      <c r="E120" s="3116">
        <v>0.1</v>
      </c>
      <c r="F120" s="3116">
        <v>15</v>
      </c>
    </row>
    <row r="121" spans="1:6" ht="24">
      <c r="A121" s="3116">
        <v>49</v>
      </c>
      <c r="B121" s="3775"/>
      <c r="C121" s="3116" t="s">
        <v>2756</v>
      </c>
      <c r="D121" s="3090" t="s">
        <v>2757</v>
      </c>
      <c r="E121" s="3116">
        <v>0.1</v>
      </c>
      <c r="F121" s="3116">
        <v>15</v>
      </c>
    </row>
    <row r="122" spans="1:6" ht="24">
      <c r="A122" s="3116">
        <v>50</v>
      </c>
      <c r="B122" s="3773" t="s">
        <v>2758</v>
      </c>
      <c r="C122" s="3116" t="s">
        <v>2759</v>
      </c>
      <c r="D122" s="3090" t="s">
        <v>2760</v>
      </c>
      <c r="E122" s="3116">
        <v>0.1</v>
      </c>
      <c r="F122" s="3116">
        <v>15</v>
      </c>
    </row>
    <row r="123" spans="1:6" ht="24">
      <c r="A123" s="3116">
        <v>51</v>
      </c>
      <c r="B123" s="3773"/>
      <c r="C123" s="3116" t="s">
        <v>2761</v>
      </c>
      <c r="D123" s="3090" t="s">
        <v>2762</v>
      </c>
      <c r="E123" s="3116">
        <v>0.1</v>
      </c>
      <c r="F123" s="3116">
        <v>15</v>
      </c>
    </row>
    <row r="124" spans="1:6" ht="24">
      <c r="A124" s="3116">
        <v>52</v>
      </c>
      <c r="B124" s="3773" t="s">
        <v>2763</v>
      </c>
      <c r="C124" s="3116" t="s">
        <v>2764</v>
      </c>
      <c r="D124" s="3090" t="s">
        <v>2765</v>
      </c>
      <c r="E124" s="3116">
        <v>0.1</v>
      </c>
      <c r="F124" s="3116">
        <v>15</v>
      </c>
    </row>
    <row r="125" spans="1:6" ht="24">
      <c r="A125" s="3116">
        <v>53</v>
      </c>
      <c r="B125" s="3773"/>
      <c r="C125" s="3116" t="s">
        <v>2766</v>
      </c>
      <c r="D125" s="3090" t="s">
        <v>2767</v>
      </c>
      <c r="E125" s="3116">
        <v>0.1</v>
      </c>
      <c r="F125" s="3116">
        <v>15</v>
      </c>
    </row>
    <row r="126" spans="1:6" ht="24">
      <c r="A126" s="3116">
        <v>54</v>
      </c>
      <c r="B126" s="3116" t="s">
        <v>2768</v>
      </c>
      <c r="C126" s="3116" t="s">
        <v>2769</v>
      </c>
      <c r="D126" s="3090" t="s">
        <v>2770</v>
      </c>
      <c r="E126" s="3116">
        <v>0.1</v>
      </c>
      <c r="F126" s="3116">
        <v>15</v>
      </c>
    </row>
    <row r="127" spans="1:6" ht="24">
      <c r="A127" s="3116">
        <v>55</v>
      </c>
      <c r="B127" s="3773" t="s">
        <v>2771</v>
      </c>
      <c r="C127" s="3116" t="s">
        <v>2772</v>
      </c>
      <c r="D127" s="3090" t="s">
        <v>2773</v>
      </c>
      <c r="E127" s="3116">
        <v>0.1</v>
      </c>
      <c r="F127" s="3116">
        <v>15</v>
      </c>
    </row>
    <row r="128" spans="1:6" ht="24">
      <c r="A128" s="3116">
        <v>56</v>
      </c>
      <c r="B128" s="3773"/>
      <c r="C128" s="3116" t="s">
        <v>2774</v>
      </c>
      <c r="D128" s="3090" t="s">
        <v>2775</v>
      </c>
      <c r="E128" s="3116">
        <v>0.1</v>
      </c>
      <c r="F128" s="3116">
        <v>15</v>
      </c>
    </row>
    <row r="129" spans="1:6" ht="24">
      <c r="A129" s="3116">
        <v>57</v>
      </c>
      <c r="B129" s="3773"/>
      <c r="C129" s="3116" t="s">
        <v>2776</v>
      </c>
      <c r="D129" s="3090" t="s">
        <v>2777</v>
      </c>
      <c r="E129" s="3116">
        <v>0.1</v>
      </c>
      <c r="F129" s="3116">
        <v>15</v>
      </c>
    </row>
    <row r="130" spans="1:6" ht="24">
      <c r="A130" s="3116">
        <v>58</v>
      </c>
      <c r="B130" s="3773" t="s">
        <v>2778</v>
      </c>
      <c r="C130" s="3116" t="s">
        <v>2779</v>
      </c>
      <c r="D130" s="3090" t="s">
        <v>2780</v>
      </c>
      <c r="E130" s="3116">
        <v>0.1</v>
      </c>
      <c r="F130" s="3116">
        <v>15</v>
      </c>
    </row>
    <row r="131" spans="1:6" ht="24">
      <c r="A131" s="3116">
        <v>59</v>
      </c>
      <c r="B131" s="3773"/>
      <c r="C131" s="3116" t="s">
        <v>2781</v>
      </c>
      <c r="D131" s="3090" t="s">
        <v>2782</v>
      </c>
      <c r="E131" s="3116">
        <v>0.1</v>
      </c>
      <c r="F131" s="3116">
        <v>15</v>
      </c>
    </row>
    <row r="132" spans="1:6" ht="24">
      <c r="A132" s="3116">
        <v>60</v>
      </c>
      <c r="B132" s="3774" t="s">
        <v>2783</v>
      </c>
      <c r="C132" s="3116" t="s">
        <v>2784</v>
      </c>
      <c r="D132" s="3090" t="s">
        <v>2785</v>
      </c>
      <c r="E132" s="3116">
        <v>0.1</v>
      </c>
      <c r="F132" s="3116">
        <v>15</v>
      </c>
    </row>
    <row r="133" spans="1:6" ht="24">
      <c r="A133" s="3116">
        <v>61</v>
      </c>
      <c r="B133" s="3775"/>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24">
      <c r="A135" s="3116">
        <v>63</v>
      </c>
      <c r="B135" s="3773" t="s">
        <v>2791</v>
      </c>
      <c r="C135" s="3116" t="s">
        <v>2792</v>
      </c>
      <c r="D135" s="3090" t="s">
        <v>2793</v>
      </c>
      <c r="E135" s="3116">
        <v>0.1</v>
      </c>
      <c r="F135" s="3116">
        <v>15</v>
      </c>
    </row>
    <row r="136" spans="1:6" ht="24">
      <c r="A136" s="3116">
        <v>64</v>
      </c>
      <c r="B136" s="3773"/>
      <c r="C136" s="3116" t="s">
        <v>2794</v>
      </c>
      <c r="D136" s="3090" t="s">
        <v>2795</v>
      </c>
      <c r="E136" s="3116">
        <v>0.1</v>
      </c>
      <c r="F136" s="3116">
        <v>15</v>
      </c>
    </row>
    <row r="137" spans="1:6" ht="24">
      <c r="A137" s="3116">
        <v>65</v>
      </c>
      <c r="B137" s="3116" t="s">
        <v>2796</v>
      </c>
      <c r="C137" s="3116" t="s">
        <v>2797</v>
      </c>
      <c r="D137" s="3090" t="s">
        <v>2798</v>
      </c>
      <c r="E137" s="3116">
        <v>0.1</v>
      </c>
      <c r="F137" s="3116">
        <v>15</v>
      </c>
    </row>
    <row r="138" spans="1:6" ht="14.4">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48"/>
  </cols>
  <sheetData>
    <row r="1" spans="1:20" ht="16.2" thickBot="1">
      <c r="A1" s="3125" t="s">
        <v>2800</v>
      </c>
      <c r="B1" s="3125"/>
      <c r="C1" s="3125"/>
      <c r="D1" s="3125"/>
      <c r="E1" s="3125"/>
      <c r="F1" s="3125"/>
      <c r="G1" s="3125"/>
      <c r="H1" s="3125"/>
      <c r="I1" s="3125"/>
      <c r="J1" s="3125"/>
      <c r="K1" s="3125"/>
      <c r="L1" s="3125"/>
      <c r="M1" s="3125"/>
      <c r="N1" s="747"/>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48">
        <f>SUMPRODUCT((A95:A184=ROUNDDOWN(基准地价修正!G3,1))*(B94:M94=基准地价修正!G2)*(B95:M184))</f>
        <v>1.1947000000000001</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48">
        <f>SUMPRODUCT((A371:A460=ROUNDDOWN(基准地价修正!G3,1))*(B370:M370=基准地价修正!G2)*(B371:M460))</f>
        <v>1.1364000000000001</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30170</v>
      </c>
      <c r="C2" s="2" t="s">
        <v>106</v>
      </c>
      <c r="D2" s="199"/>
      <c r="E2" s="199"/>
      <c r="F2" s="199"/>
      <c r="G2" s="199"/>
    </row>
    <row r="3" spans="1:7" s="200" customFormat="1" ht="18" customHeight="1" thickBot="1">
      <c r="A3" s="203" t="s">
        <v>58</v>
      </c>
      <c r="B3" s="204">
        <f ca="1">ROUND(B2*10000/'数据-汇总表'!E3,0)</f>
        <v>2369062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3</v>
      </c>
      <c r="D10" s="843">
        <f>'数据-汇总表'!E6</f>
        <v>127.35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127.35</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6.4">
      <c r="A27" s="775" t="s">
        <v>342</v>
      </c>
      <c r="B27" s="244" t="s">
        <v>85</v>
      </c>
      <c r="C27" s="245">
        <f>C28</f>
        <v>5256</v>
      </c>
      <c r="D27" s="235">
        <f>C29</f>
        <v>5.0000000000000001E-3</v>
      </c>
      <c r="E27" s="236" t="s">
        <v>99</v>
      </c>
      <c r="F27" s="246">
        <f>'数据-取费表'!Q16</f>
        <v>0.25</v>
      </c>
      <c r="G27" s="247" t="s">
        <v>431</v>
      </c>
    </row>
    <row r="28" spans="1:7" s="214" customFormat="1" ht="13.5" customHeight="1">
      <c r="A28" s="778" t="s">
        <v>349</v>
      </c>
      <c r="B28" s="248" t="s">
        <v>424</v>
      </c>
      <c r="C28" s="249">
        <f>ROUND((C5+C19+C20)*F27*'数据-取费表'!B21/'数据-取费表'!B20,0)</f>
        <v>5256</v>
      </c>
      <c r="D28" s="235"/>
      <c r="E28" s="236"/>
      <c r="F28" s="246"/>
      <c r="G28" s="247"/>
    </row>
    <row r="29" spans="1:7" s="214" customFormat="1" ht="13.5" customHeight="1">
      <c r="A29" s="778" t="s">
        <v>347</v>
      </c>
      <c r="B29" s="248" t="s">
        <v>425</v>
      </c>
      <c r="C29" s="238">
        <f>ROUND(C21*F27*'数据-取费表'!B21/'数据-取费表'!B20,4)</f>
        <v>5.0000000000000001E-3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30123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38</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127.35</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47" t="s">
        <v>94</v>
      </c>
    </row>
    <row r="43" spans="1:7" ht="13.5" customHeight="1">
      <c r="A43" s="778" t="s">
        <v>347</v>
      </c>
      <c r="B43" s="215" t="s">
        <v>426</v>
      </c>
      <c r="C43" s="238">
        <f ca="1">ROUND(IF('数据-取费表'!B22&lt;=1,C39*F22*'数据-取费表'!B21/2,C39*(POWER((1+F22),'数据-取费表'!B21/2)-1)),0)</f>
        <v>0</v>
      </c>
      <c r="D43" s="238"/>
      <c r="E43" s="238"/>
      <c r="F43" s="239"/>
      <c r="G43" s="3648"/>
    </row>
    <row r="44" spans="1:7" ht="13.5" customHeight="1">
      <c r="A44" s="778" t="s">
        <v>348</v>
      </c>
      <c r="B44" s="215" t="s">
        <v>428</v>
      </c>
      <c r="C44" s="238">
        <f ca="1">ROUND(IF('数据-取费表'!B22&lt;=1,C40*F22*'数据-取费表'!B21/2,C40*(POWER((1+F22),'数据-取费表'!B21/2)-1)),4)</f>
        <v>6.9999999999999999E-4</v>
      </c>
      <c r="D44" s="238"/>
      <c r="E44" s="238"/>
      <c r="F44" s="239"/>
      <c r="G44" s="3649"/>
    </row>
    <row r="45" spans="1:7" s="214" customFormat="1" ht="13.5" customHeight="1">
      <c r="A45" s="775" t="s">
        <v>341</v>
      </c>
      <c r="B45" s="244" t="s">
        <v>85</v>
      </c>
      <c r="C45" s="245">
        <f>C46</f>
        <v>11</v>
      </c>
      <c r="D45" s="235">
        <f>C47</f>
        <v>5.0000000000000001E-3</v>
      </c>
      <c r="E45" s="236" t="s">
        <v>102</v>
      </c>
      <c r="F45" s="246"/>
      <c r="G45" s="247" t="s">
        <v>434</v>
      </c>
    </row>
    <row r="46" spans="1:7" s="214" customFormat="1" ht="13.5" customHeight="1">
      <c r="A46" s="778" t="s">
        <v>349</v>
      </c>
      <c r="B46" s="248" t="s">
        <v>427</v>
      </c>
      <c r="C46" s="249">
        <f>ROUND((C33+C39)*F27,0)</f>
        <v>11</v>
      </c>
      <c r="D46" s="263"/>
      <c r="E46" s="236"/>
      <c r="F46" s="246"/>
      <c r="G46" s="247"/>
    </row>
    <row r="47" spans="1:7" s="214" customFormat="1" ht="13.5" customHeight="1">
      <c r="A47" s="778" t="s">
        <v>347</v>
      </c>
      <c r="B47" s="248" t="s">
        <v>429</v>
      </c>
      <c r="C47" s="238">
        <f>ROUND(C40*F27,4)</f>
        <v>5.0000000000000001E-3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61</v>
      </c>
      <c r="D49" s="232"/>
      <c r="E49" s="232"/>
      <c r="F49" s="264"/>
      <c r="G49" s="234" t="s">
        <v>435</v>
      </c>
    </row>
    <row r="50" spans="1:7" s="258" customFormat="1" ht="24">
      <c r="A50" s="775" t="s">
        <v>344</v>
      </c>
      <c r="B50" s="210" t="s">
        <v>97</v>
      </c>
      <c r="C50" s="232"/>
      <c r="D50" s="232"/>
      <c r="E50" s="232"/>
      <c r="F50" s="264">
        <f>IF('数据-取费表'!B24=0,'数据-取费表'!N16,1)</f>
        <v>0.77</v>
      </c>
      <c r="G50" s="247" t="s">
        <v>98</v>
      </c>
    </row>
    <row r="51" spans="1:7" ht="16.5" customHeight="1">
      <c r="A51" s="775" t="s">
        <v>345</v>
      </c>
      <c r="B51" s="210" t="s">
        <v>105</v>
      </c>
      <c r="C51" s="232">
        <f ca="1">ROUND(C49*F50,0)</f>
        <v>47</v>
      </c>
      <c r="D51" s="232"/>
      <c r="E51" s="232"/>
      <c r="F51" s="264"/>
      <c r="G51" s="234" t="s">
        <v>37</v>
      </c>
    </row>
    <row r="52" spans="1:7" s="208" customFormat="1" ht="16.8" thickBot="1">
      <c r="A52" s="265" t="s">
        <v>38</v>
      </c>
      <c r="B52" s="266"/>
      <c r="C52" s="267">
        <f ca="1">C31+C51</f>
        <v>30170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787" t="s">
        <v>2841</v>
      </c>
      <c r="B1" s="3787"/>
      <c r="C1" s="3787"/>
      <c r="D1" s="3787"/>
      <c r="E1" s="3787"/>
      <c r="F1" s="3787"/>
      <c r="G1" s="3788"/>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1.4"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785"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1.4" thickBot="1">
      <c r="A4" s="3786"/>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1.4"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1.4"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1.4"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1.4"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789" t="s">
        <v>3183</v>
      </c>
      <c r="B1" s="3789"/>
    </row>
    <row r="2" spans="1:7" ht="15" thickBot="1">
      <c r="A2" s="3253"/>
      <c r="B2" s="3253"/>
    </row>
    <row r="3" spans="1:7" ht="15" thickBot="1">
      <c r="A3" s="3253"/>
      <c r="B3" s="3253"/>
      <c r="C3" s="3254" t="s">
        <v>2813</v>
      </c>
      <c r="D3" s="3254" t="s">
        <v>2869</v>
      </c>
      <c r="E3" s="3254" t="s">
        <v>2815</v>
      </c>
      <c r="F3" s="3254" t="s">
        <v>2870</v>
      </c>
      <c r="G3" s="3254" t="s">
        <v>2633</v>
      </c>
    </row>
    <row r="4" spans="1:7" ht="1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790" t="s">
        <v>3234</v>
      </c>
      <c r="B1" s="3790"/>
      <c r="C1" s="3790"/>
      <c r="D1" s="3790"/>
      <c r="E1" s="3790"/>
      <c r="F1" s="3791"/>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19">
        <f>基准地价修正!G23</f>
        <v>45491</v>
      </c>
      <c r="B1" s="3208" t="s">
        <v>3372</v>
      </c>
      <c r="C1" s="3209"/>
      <c r="D1" s="3209"/>
      <c r="E1" s="3209"/>
      <c r="F1" s="3209"/>
      <c r="G1" s="3209"/>
      <c r="H1" s="3209"/>
      <c r="I1" s="3209"/>
      <c r="J1" s="3163"/>
      <c r="K1" s="3209" t="s">
        <v>454</v>
      </c>
      <c r="L1" s="3209"/>
      <c r="M1" s="3209"/>
      <c r="N1" s="3209"/>
      <c r="O1" s="3209"/>
      <c r="P1" s="3209"/>
      <c r="Q1" s="3163"/>
      <c r="R1" s="3792" t="s">
        <v>456</v>
      </c>
      <c r="S1" s="3793"/>
      <c r="T1" s="3793"/>
      <c r="U1" s="3793"/>
      <c r="V1" s="3793"/>
      <c r="W1" s="3793"/>
      <c r="X1" s="3163"/>
      <c r="Y1" s="3792" t="s">
        <v>457</v>
      </c>
      <c r="Z1" s="3793"/>
      <c r="AA1" s="3793"/>
      <c r="AB1" s="3793"/>
      <c r="AC1" s="3793"/>
      <c r="AD1" s="3793"/>
    </row>
    <row r="2" spans="1:30" s="3141" customFormat="1" ht="1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3.2">
      <c r="A3" s="3147" t="s">
        <v>2821</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3" t="s">
        <v>3378</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3.2">
      <c r="A6" s="3184" t="s">
        <v>3379</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3.2">
      <c r="A7" s="3174" t="s">
        <v>3381</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3.2">
      <c r="A8" s="3174" t="s">
        <v>3376</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3375</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3371</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3370</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3369</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3365</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3356</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2822</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2823</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2824</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2825</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2826</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3367</v>
      </c>
    </row>
    <row r="22" spans="1:30" s="3007" customFormat="1">
      <c r="I22" s="3206" t="s">
        <v>2827</v>
      </c>
    </row>
    <row r="23" spans="1:30" s="3007" customFormat="1"/>
    <row r="24" spans="1:30" s="3207" customFormat="1" ht="13.2">
      <c r="B24" s="3208" t="s">
        <v>3373</v>
      </c>
      <c r="C24" s="3209"/>
      <c r="D24" s="3209"/>
      <c r="E24" s="3209"/>
      <c r="F24" s="3209"/>
      <c r="G24" s="3209"/>
      <c r="H24" s="3209"/>
      <c r="I24" s="3209"/>
      <c r="J24" s="3163"/>
      <c r="K24" s="3209" t="s">
        <v>2828</v>
      </c>
      <c r="L24" s="3209"/>
      <c r="M24" s="3209"/>
      <c r="N24" s="3209"/>
      <c r="O24" s="3209"/>
      <c r="P24" s="3209"/>
      <c r="Q24" s="3163"/>
      <c r="R24" s="3792" t="s">
        <v>2829</v>
      </c>
      <c r="S24" s="3793"/>
      <c r="T24" s="3793"/>
      <c r="U24" s="3793"/>
      <c r="V24" s="3793"/>
      <c r="W24" s="3793"/>
      <c r="X24" s="3163"/>
      <c r="Y24" s="3792" t="s">
        <v>2830</v>
      </c>
      <c r="Z24" s="3793"/>
      <c r="AA24" s="3793"/>
      <c r="AB24" s="3793"/>
      <c r="AC24" s="3793"/>
      <c r="AD24" s="3793"/>
    </row>
    <row r="25" spans="1:30" s="3141" customFormat="1" ht="15" thickBot="1">
      <c r="B25" s="3142"/>
      <c r="C25" s="3143"/>
      <c r="D25" s="3144" t="s">
        <v>2831</v>
      </c>
      <c r="E25" s="3145" t="s">
        <v>2832</v>
      </c>
      <c r="F25" s="3145" t="s">
        <v>2833</v>
      </c>
      <c r="G25" s="3145" t="s">
        <v>2834</v>
      </c>
      <c r="H25" s="3145"/>
      <c r="I25" s="3145" t="s">
        <v>2835</v>
      </c>
      <c r="J25" s="3146"/>
      <c r="K25" s="3144" t="s">
        <v>2831</v>
      </c>
      <c r="L25" s="3145" t="s">
        <v>2832</v>
      </c>
      <c r="M25" s="3145" t="s">
        <v>2833</v>
      </c>
      <c r="N25" s="3145" t="s">
        <v>2834</v>
      </c>
      <c r="O25" s="3145"/>
      <c r="P25" s="3145" t="s">
        <v>2835</v>
      </c>
      <c r="Q25" s="3146"/>
      <c r="R25" s="3144" t="s">
        <v>2831</v>
      </c>
      <c r="S25" s="3145" t="s">
        <v>2832</v>
      </c>
      <c r="T25" s="3145" t="s">
        <v>2833</v>
      </c>
      <c r="U25" s="3145" t="s">
        <v>2834</v>
      </c>
      <c r="V25" s="3145"/>
      <c r="W25" s="3145" t="s">
        <v>2835</v>
      </c>
      <c r="X25" s="3146"/>
      <c r="Y25" s="3144" t="s">
        <v>2831</v>
      </c>
      <c r="Z25" s="3145" t="s">
        <v>2832</v>
      </c>
      <c r="AA25" s="3145" t="s">
        <v>2833</v>
      </c>
      <c r="AB25" s="3145" t="s">
        <v>2834</v>
      </c>
      <c r="AC25" s="3145"/>
      <c r="AD25" s="3145" t="s">
        <v>2835</v>
      </c>
    </row>
    <row r="26" spans="1:30" s="3159" customFormat="1" ht="13.2">
      <c r="A26" s="3147" t="s">
        <v>2836</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3" t="s">
        <v>3378</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3.2">
      <c r="A29" s="3184" t="s">
        <v>3379</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3.2">
      <c r="A30" s="3174" t="s">
        <v>3380</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3.2">
      <c r="A31" s="3174" t="s">
        <v>3377</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3375</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3374</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3370</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3369</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3366</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3356</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2837</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2838</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2839</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2840</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2826</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799" t="s">
        <v>452</v>
      </c>
      <c r="C1" s="3799"/>
      <c r="D1" s="3799"/>
      <c r="E1" s="3799"/>
      <c r="F1" s="3799"/>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79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79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0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79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79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79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79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79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79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79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79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79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79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79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5">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796">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79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5">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796">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6">
      <c r="A3" s="3478"/>
      <c r="B3" s="3478"/>
      <c r="C3" s="3478"/>
      <c r="D3" s="852" t="s">
        <v>925</v>
      </c>
      <c r="E3" s="852" t="s">
        <v>931</v>
      </c>
      <c r="F3" s="852" t="s">
        <v>925</v>
      </c>
      <c r="G3" s="852" t="s">
        <v>926</v>
      </c>
      <c r="H3" s="852" t="s">
        <v>925</v>
      </c>
      <c r="I3" s="852" t="s">
        <v>926</v>
      </c>
    </row>
    <row r="4" spans="1:9" ht="15">
      <c r="A4" s="1503" t="str">
        <f>项目基本情况!S2</f>
        <v>北京市房地产</v>
      </c>
      <c r="B4" s="852">
        <f>项目基本情况!C17</f>
        <v>127.35</v>
      </c>
      <c r="C4" s="852">
        <f>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478" t="s">
        <v>927</v>
      </c>
      <c r="B5" s="3478"/>
      <c r="C5" s="3478"/>
      <c r="D5" s="3478" t="e">
        <f ca="1">结果表!D119</f>
        <v>#REF!</v>
      </c>
      <c r="E5" s="3478"/>
      <c r="F5" s="3478" t="e">
        <f ca="1">结果表!F119</f>
        <v>#REF!</v>
      </c>
      <c r="G5" s="3478"/>
      <c r="H5" s="3478" t="e">
        <f ca="1">结果表!H119</f>
        <v>#REF!</v>
      </c>
      <c r="I5" s="3478"/>
    </row>
    <row r="6" spans="1:9" ht="15.6">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6">
      <c r="A8" s="3477" t="str">
        <f>结果表!A122</f>
        <v>房地产抵押价值</v>
      </c>
      <c r="B8" s="3477"/>
      <c r="C8" s="3477"/>
      <c r="D8" s="3477" t="e">
        <f ca="1">结果表!D122</f>
        <v>#REF!</v>
      </c>
      <c r="E8" s="3477"/>
      <c r="F8" s="3477"/>
      <c r="G8" s="3477"/>
      <c r="H8" s="3477"/>
      <c r="I8" s="3477"/>
    </row>
    <row r="9" spans="1:9" ht="15">
      <c r="A9" s="3478" t="s">
        <v>927</v>
      </c>
      <c r="B9" s="3478"/>
      <c r="C9" s="3478"/>
      <c r="D9" s="3478" t="e">
        <f ca="1">结果表!D123</f>
        <v>#REF!</v>
      </c>
      <c r="E9" s="3478"/>
      <c r="F9" s="3478"/>
      <c r="G9" s="3478"/>
      <c r="H9" s="3478"/>
      <c r="I9" s="3478"/>
    </row>
    <row r="10" spans="1:9" ht="15.6">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6">
      <c r="A12" s="3477" t="str">
        <f>结果表!A126</f>
        <v/>
      </c>
      <c r="B12" s="3477"/>
      <c r="C12" s="3477"/>
      <c r="D12" s="3477" t="str">
        <f>结果表!D126</f>
        <v>——</v>
      </c>
      <c r="E12" s="3477"/>
      <c r="F12" s="3477"/>
      <c r="G12" s="3477"/>
      <c r="H12" s="3477"/>
      <c r="I12" s="3477"/>
    </row>
    <row r="13" spans="1:9" ht="15.6" thickBot="1">
      <c r="A13" s="3475" t="s">
        <v>927</v>
      </c>
      <c r="B13" s="3475"/>
      <c r="C13" s="3475"/>
      <c r="D13" s="3475" t="e">
        <f>结果表!D127</f>
        <v>#VALUE!</v>
      </c>
      <c r="E13" s="3475"/>
      <c r="F13" s="3475"/>
      <c r="G13" s="3475"/>
      <c r="H13" s="3475"/>
      <c r="I13" s="3475"/>
    </row>
    <row r="14" spans="1:9" ht="14.4" thickTop="1">
      <c r="A14" s="3476" t="s">
        <v>932</v>
      </c>
      <c r="B14" s="3476"/>
      <c r="C14" s="3476"/>
      <c r="D14" s="3476"/>
      <c r="E14" s="3476"/>
      <c r="F14" s="3476"/>
      <c r="G14" s="3476"/>
      <c r="H14" s="3476"/>
      <c r="I14" s="3476"/>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602</v>
      </c>
      <c r="C1" s="1294">
        <f>项目基本情况!D3</f>
        <v>45491</v>
      </c>
      <c r="D1" s="1300" t="s">
        <v>603</v>
      </c>
      <c r="E1" s="1295">
        <f>'数据-取费表'!B22</f>
        <v>2</v>
      </c>
      <c r="F1" s="1300" t="s">
        <v>604</v>
      </c>
      <c r="G1" s="1296">
        <f ca="1">INDIRECT("d"&amp;$K$1)/100</f>
        <v>3.4500000000000003E-2</v>
      </c>
      <c r="H1" s="1300" t="s">
        <v>634</v>
      </c>
      <c r="I1" s="1296">
        <f ca="1">F4/100</f>
        <v>1.4999999999999999E-2</v>
      </c>
      <c r="J1" s="1301">
        <f>IF(C1&gt;C13,0,MATCH(C1,C$13:C$113,-1))+IF(SUMIF(C13:C113,C1,D13:D113)=0,13,12)</f>
        <v>14</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611</v>
      </c>
      <c r="C7" s="1253">
        <v>5</v>
      </c>
      <c r="D7" s="1254">
        <f ca="1">INDIRECT("h"&amp;$J$1)</f>
        <v>3.95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632</v>
      </c>
      <c r="C13" s="2819">
        <v>45495</v>
      </c>
      <c r="D13" s="2820">
        <v>3.35</v>
      </c>
      <c r="E13" s="2820">
        <f>D13</f>
        <v>3.35</v>
      </c>
      <c r="F13" s="2820">
        <f>D13</f>
        <v>3.35</v>
      </c>
      <c r="G13" s="2820">
        <f>D13</f>
        <v>3.35</v>
      </c>
      <c r="H13" s="2820">
        <v>3.85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814"/>
      <c r="C14" s="2816">
        <v>45342</v>
      </c>
      <c r="D14" s="2815">
        <v>3.45</v>
      </c>
      <c r="E14" s="2815">
        <f>D14</f>
        <v>3.45</v>
      </c>
      <c r="F14" s="2815">
        <f>D14</f>
        <v>3.45</v>
      </c>
      <c r="G14" s="2815">
        <f>D14</f>
        <v>3.45</v>
      </c>
      <c r="H14" s="2815">
        <v>3.95</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814"/>
      <c r="C15" s="2816">
        <v>45159</v>
      </c>
      <c r="D15" s="2815">
        <v>3.45</v>
      </c>
      <c r="E15" s="2815">
        <f>D15</f>
        <v>3.45</v>
      </c>
      <c r="F15" s="2815">
        <f>D15</f>
        <v>3.45</v>
      </c>
      <c r="G15" s="2815">
        <f>D15</f>
        <v>3.45</v>
      </c>
      <c r="H15" s="2815">
        <v>4.2</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814"/>
      <c r="C16" s="2816">
        <v>45097</v>
      </c>
      <c r="D16" s="2815">
        <v>3.55</v>
      </c>
      <c r="E16" s="2815">
        <f>D16</f>
        <v>3.55</v>
      </c>
      <c r="F16" s="2815">
        <f>D16</f>
        <v>3.55</v>
      </c>
      <c r="G16" s="2815">
        <f>D16</f>
        <v>3.55</v>
      </c>
      <c r="H16" s="2815">
        <v>4.2</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814"/>
      <c r="C17" s="2816">
        <v>44795</v>
      </c>
      <c r="D17" s="2815">
        <v>3.65</v>
      </c>
      <c r="E17" s="2815">
        <v>3.65</v>
      </c>
      <c r="F17" s="2815">
        <v>3.65</v>
      </c>
      <c r="G17" s="2815">
        <v>3.65</v>
      </c>
      <c r="H17" s="2815">
        <v>4.3</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2"/>
      <c r="B19" s="2814"/>
      <c r="C19" s="2816">
        <v>44581</v>
      </c>
      <c r="D19" s="2815">
        <v>3.7</v>
      </c>
      <c r="E19" s="2815">
        <f>D19</f>
        <v>3.7</v>
      </c>
      <c r="F19" s="2815">
        <f>D19</f>
        <v>3.7</v>
      </c>
      <c r="G19" s="2815">
        <f>D19</f>
        <v>3.7</v>
      </c>
      <c r="H19" s="2815">
        <v>4.5999999999999996</v>
      </c>
      <c r="I19" s="2820"/>
      <c r="J19" s="282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1282"/>
      <c r="B20" s="2815"/>
      <c r="C20" s="2816">
        <v>44550</v>
      </c>
      <c r="D20" s="2815">
        <v>3.8</v>
      </c>
      <c r="E20" s="2815">
        <f>D20</f>
        <v>3.8</v>
      </c>
      <c r="F20" s="2815">
        <f>D20</f>
        <v>3.8</v>
      </c>
      <c r="G20" s="2815">
        <f>D20</f>
        <v>3.8</v>
      </c>
      <c r="H20" s="2815">
        <v>4.6500000000000004</v>
      </c>
      <c r="I20" s="2815"/>
      <c r="J20" s="282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5.6">
      <c r="A21" s="1282"/>
      <c r="B21" s="2815"/>
      <c r="C21" s="2816">
        <v>43941</v>
      </c>
      <c r="D21" s="2815">
        <v>3.85</v>
      </c>
      <c r="E21" s="2815">
        <v>3.85</v>
      </c>
      <c r="F21" s="2815">
        <v>3.85</v>
      </c>
      <c r="G21" s="2815">
        <v>3.85</v>
      </c>
      <c r="H21" s="2815">
        <v>4.6500000000000004</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5.6">
      <c r="A22" s="1282"/>
      <c r="B22" s="2815"/>
      <c r="C22" s="2816">
        <v>43881</v>
      </c>
      <c r="D22" s="2815">
        <v>4.05</v>
      </c>
      <c r="E22" s="2815">
        <v>4.05</v>
      </c>
      <c r="F22" s="2815">
        <v>4.05</v>
      </c>
      <c r="G22" s="2815">
        <v>4.05</v>
      </c>
      <c r="H22" s="2815">
        <v>4.75</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5.6">
      <c r="A23" s="2821"/>
      <c r="B23" s="2815"/>
      <c r="C23" s="2816">
        <v>43789</v>
      </c>
      <c r="D23" s="2815">
        <v>4.1500000000000004</v>
      </c>
      <c r="E23" s="2815">
        <v>4.1500000000000004</v>
      </c>
      <c r="F23" s="2815">
        <v>4.1500000000000004</v>
      </c>
      <c r="G23" s="2815">
        <v>4.1500000000000004</v>
      </c>
      <c r="H23" s="2815">
        <v>4.8</v>
      </c>
      <c r="I23" s="2815"/>
      <c r="J23" s="281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5"/>
      <c r="C24" s="2816">
        <v>43728</v>
      </c>
      <c r="D24" s="2815">
        <v>4.2</v>
      </c>
      <c r="E24" s="2815">
        <v>4.2</v>
      </c>
      <c r="F24" s="2815">
        <v>4.2</v>
      </c>
      <c r="G24" s="2815">
        <v>4.2</v>
      </c>
      <c r="H24" s="2815">
        <v>4.8499999999999996</v>
      </c>
      <c r="I24" s="2815"/>
      <c r="J24" s="2815"/>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ht="15.6">
      <c r="B25" s="2814" t="s">
        <v>2311</v>
      </c>
      <c r="C25" s="2817">
        <v>43697</v>
      </c>
      <c r="D25" s="2818">
        <v>4.25</v>
      </c>
      <c r="E25" s="2818">
        <v>4.25</v>
      </c>
      <c r="F25" s="2818">
        <v>4.25</v>
      </c>
      <c r="G25" s="2818">
        <v>4.25</v>
      </c>
      <c r="H25" s="2818">
        <v>4.8499999999999996</v>
      </c>
      <c r="I25" s="2818"/>
      <c r="J25" s="281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ht="15.6">
      <c r="B26" s="2822"/>
      <c r="C26" s="2823">
        <v>42301</v>
      </c>
      <c r="D26" s="2824">
        <v>4.3499999999999996</v>
      </c>
      <c r="E26" s="2824">
        <v>4.3499999999999996</v>
      </c>
      <c r="F26" s="2824">
        <v>4.75</v>
      </c>
      <c r="G26" s="2824">
        <v>4.75</v>
      </c>
      <c r="H26" s="2824">
        <v>4.9000000000000004</v>
      </c>
      <c r="I26" s="2824"/>
      <c r="J26" s="2824"/>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42242</v>
      </c>
      <c r="D27" s="1288">
        <v>4.5999999999999996</v>
      </c>
      <c r="E27" s="1288">
        <v>4.5999999999999996</v>
      </c>
      <c r="F27" s="1288">
        <v>5</v>
      </c>
      <c r="G27" s="1288">
        <v>5</v>
      </c>
      <c r="H27" s="1288">
        <v>5.15</v>
      </c>
      <c r="I27" s="1288">
        <v>2.75</v>
      </c>
      <c r="J27" s="1288">
        <v>3.25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42183</v>
      </c>
      <c r="D28" s="1288">
        <v>4.8499999999999996</v>
      </c>
      <c r="E28" s="1288">
        <v>4.8499999999999996</v>
      </c>
      <c r="F28" s="1288">
        <v>5.25</v>
      </c>
      <c r="G28" s="1288">
        <v>5.25</v>
      </c>
      <c r="H28" s="1288">
        <v>5.4</v>
      </c>
      <c r="I28" s="1288">
        <v>3</v>
      </c>
      <c r="J28" s="1288">
        <v>3.5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42135</v>
      </c>
      <c r="D29" s="1288">
        <v>5.0999999999999996</v>
      </c>
      <c r="E29" s="1288">
        <v>5.0999999999999996</v>
      </c>
      <c r="F29" s="1288">
        <v>5.5</v>
      </c>
      <c r="G29" s="1288">
        <v>5.5</v>
      </c>
      <c r="H29" s="1288">
        <v>5.65</v>
      </c>
      <c r="I29" s="1288">
        <v>3.25</v>
      </c>
      <c r="J29" s="1288">
        <v>3.75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42064</v>
      </c>
      <c r="D30" s="1288">
        <v>5.35</v>
      </c>
      <c r="E30" s="1288">
        <v>5.35</v>
      </c>
      <c r="F30" s="1288">
        <v>5.75</v>
      </c>
      <c r="G30" s="1288">
        <v>5.75</v>
      </c>
      <c r="H30" s="1288">
        <v>5.9</v>
      </c>
      <c r="I30" s="1288"/>
      <c r="J30" s="1288"/>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41965</v>
      </c>
      <c r="D31" s="1288">
        <v>5.6</v>
      </c>
      <c r="E31" s="1288">
        <v>5.6</v>
      </c>
      <c r="F31" s="1288">
        <v>6</v>
      </c>
      <c r="G31" s="1288">
        <v>6</v>
      </c>
      <c r="H31" s="1288">
        <v>6.15</v>
      </c>
      <c r="I31" s="1288"/>
      <c r="J31" s="1288"/>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41096</v>
      </c>
      <c r="D32" s="1288">
        <v>5.6</v>
      </c>
      <c r="E32" s="1288">
        <v>6</v>
      </c>
      <c r="F32" s="1288">
        <v>6.15</v>
      </c>
      <c r="G32" s="1288">
        <v>6.4</v>
      </c>
      <c r="H32" s="1288">
        <v>6.55</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41068</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40731</v>
      </c>
      <c r="D34" s="1288">
        <v>6.1</v>
      </c>
      <c r="E34" s="1288">
        <v>6.56</v>
      </c>
      <c r="F34" s="1288">
        <v>6.65</v>
      </c>
      <c r="G34" s="1288">
        <v>6.9</v>
      </c>
      <c r="H34" s="1288">
        <v>7.05</v>
      </c>
      <c r="I34" s="1288">
        <v>4.45</v>
      </c>
      <c r="J34" s="1288">
        <v>4.9000000000000004</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40639</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40583</v>
      </c>
      <c r="D36" s="1288">
        <v>5.6</v>
      </c>
      <c r="E36" s="1288">
        <v>6.06</v>
      </c>
      <c r="F36" s="1288">
        <v>6.1</v>
      </c>
      <c r="G36" s="1288">
        <v>6.45</v>
      </c>
      <c r="H36" s="1288">
        <v>6.6</v>
      </c>
      <c r="I36" s="1288">
        <v>4</v>
      </c>
      <c r="J36" s="1288">
        <v>4.5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40538</v>
      </c>
      <c r="D37" s="1288">
        <v>5.35</v>
      </c>
      <c r="E37" s="1288">
        <v>5.81</v>
      </c>
      <c r="F37" s="1288">
        <v>5.85</v>
      </c>
      <c r="G37" s="1288">
        <v>6.22</v>
      </c>
      <c r="H37" s="1288">
        <v>6.4</v>
      </c>
      <c r="I37" s="1288">
        <v>3.75</v>
      </c>
      <c r="J37" s="1288">
        <v>4.3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40471</v>
      </c>
      <c r="D38" s="1288">
        <v>5.0999999999999996</v>
      </c>
      <c r="E38" s="1288">
        <v>5.56</v>
      </c>
      <c r="F38" s="1288">
        <v>5.6</v>
      </c>
      <c r="G38" s="1288">
        <v>5.96</v>
      </c>
      <c r="H38" s="1288">
        <v>6.14</v>
      </c>
      <c r="I38" s="1288">
        <v>3.5</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39805</v>
      </c>
      <c r="D39" s="1288">
        <v>4.8600000000000003</v>
      </c>
      <c r="E39" s="1288">
        <v>5.31</v>
      </c>
      <c r="F39" s="1288">
        <v>5.4</v>
      </c>
      <c r="G39" s="1288">
        <v>5.76</v>
      </c>
      <c r="H39" s="1288">
        <v>5.94</v>
      </c>
      <c r="I39" s="1288">
        <v>3.33</v>
      </c>
      <c r="J39" s="1288">
        <v>3.87</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39779</v>
      </c>
      <c r="D40" s="1288">
        <v>5.04</v>
      </c>
      <c r="E40" s="1288">
        <v>5.58</v>
      </c>
      <c r="F40" s="1288">
        <v>5.67</v>
      </c>
      <c r="G40" s="1288">
        <v>5.94</v>
      </c>
      <c r="H40" s="1288">
        <v>6.12</v>
      </c>
      <c r="I40" s="1288">
        <v>3.51</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39751</v>
      </c>
      <c r="D41" s="1288">
        <v>6.03</v>
      </c>
      <c r="E41" s="1288">
        <v>6.66</v>
      </c>
      <c r="F41" s="1288">
        <v>6.75</v>
      </c>
      <c r="G41" s="1288">
        <v>7.02</v>
      </c>
      <c r="H41" s="1288">
        <v>7.2</v>
      </c>
      <c r="I41" s="1288">
        <v>4.05</v>
      </c>
      <c r="J41" s="1288">
        <v>4.59</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90">
        <v>39748</v>
      </c>
      <c r="D42" s="1288">
        <v>6.12</v>
      </c>
      <c r="E42" s="1288">
        <v>6.93</v>
      </c>
      <c r="F42" s="1288">
        <v>7.02</v>
      </c>
      <c r="G42" s="1288">
        <v>7.29</v>
      </c>
      <c r="H42" s="1288">
        <v>7.47</v>
      </c>
      <c r="I42" s="1288">
        <v>4.05</v>
      </c>
      <c r="J42" s="1288">
        <v>4.59</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39730</v>
      </c>
      <c r="D43" s="1288">
        <v>6.12</v>
      </c>
      <c r="E43" s="1288">
        <v>6.93</v>
      </c>
      <c r="F43" s="1288">
        <v>7.02</v>
      </c>
      <c r="G43" s="1288">
        <v>7.29</v>
      </c>
      <c r="H43" s="1288">
        <v>7.47</v>
      </c>
      <c r="I43" s="1288">
        <v>4.32</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39707</v>
      </c>
      <c r="D44" s="1288">
        <v>6.21</v>
      </c>
      <c r="E44" s="1288">
        <v>7.2</v>
      </c>
      <c r="F44" s="1288">
        <v>7.29</v>
      </c>
      <c r="G44" s="1288">
        <v>7.56</v>
      </c>
      <c r="H44" s="1288">
        <v>7.74</v>
      </c>
      <c r="I44" s="1288">
        <v>4.59</v>
      </c>
      <c r="J44" s="1288">
        <v>5.13</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39437</v>
      </c>
      <c r="D45" s="1288">
        <v>6.57</v>
      </c>
      <c r="E45" s="1288">
        <v>7.47</v>
      </c>
      <c r="F45" s="1288">
        <v>7.56</v>
      </c>
      <c r="G45" s="1288">
        <v>7.74</v>
      </c>
      <c r="H45" s="1288">
        <v>7.83</v>
      </c>
      <c r="I45" s="1288">
        <v>4.7699999999999996</v>
      </c>
      <c r="J45" s="1288">
        <v>5.22</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39340</v>
      </c>
      <c r="D46" s="1288">
        <v>6.48</v>
      </c>
      <c r="E46" s="1288">
        <v>7.29</v>
      </c>
      <c r="F46" s="1288">
        <v>7.47</v>
      </c>
      <c r="G46" s="1288">
        <v>7.65</v>
      </c>
      <c r="H46" s="1288">
        <v>7.83</v>
      </c>
      <c r="I46" s="1288">
        <v>4.7699999999999996</v>
      </c>
      <c r="J46" s="1288">
        <v>5.22</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39316</v>
      </c>
      <c r="D47" s="1288">
        <v>6.21</v>
      </c>
      <c r="E47" s="1288">
        <v>7.02</v>
      </c>
      <c r="F47" s="1288">
        <v>7.2</v>
      </c>
      <c r="G47" s="1288">
        <v>7.38</v>
      </c>
      <c r="H47" s="1288">
        <v>7.56</v>
      </c>
      <c r="I47" s="1288">
        <v>4.59</v>
      </c>
      <c r="J47" s="1288">
        <v>5.04</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39284</v>
      </c>
      <c r="D48" s="1288">
        <v>6.03</v>
      </c>
      <c r="E48" s="1288">
        <v>6.84</v>
      </c>
      <c r="F48" s="1288">
        <v>7.02</v>
      </c>
      <c r="G48" s="1288">
        <v>7.2</v>
      </c>
      <c r="H48" s="1288">
        <v>7.38</v>
      </c>
      <c r="I48" s="1288">
        <v>4.5</v>
      </c>
      <c r="J48" s="1288">
        <v>4.95</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39221</v>
      </c>
      <c r="D49" s="1288">
        <v>5.85</v>
      </c>
      <c r="E49" s="1288">
        <v>6.57</v>
      </c>
      <c r="F49" s="1288">
        <v>6.75</v>
      </c>
      <c r="G49" s="1288">
        <v>6.93</v>
      </c>
      <c r="H49" s="1288">
        <v>7.2</v>
      </c>
      <c r="I49" s="1288">
        <v>4.41</v>
      </c>
      <c r="J49" s="1288">
        <v>4.8600000000000003</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39159</v>
      </c>
      <c r="D50" s="1288">
        <v>5.67</v>
      </c>
      <c r="E50" s="1288">
        <v>6.39</v>
      </c>
      <c r="F50" s="1288">
        <v>6.57</v>
      </c>
      <c r="G50" s="1288">
        <v>6.75</v>
      </c>
      <c r="H50" s="1288">
        <v>7.11</v>
      </c>
      <c r="I50" s="1288">
        <v>4.32</v>
      </c>
      <c r="J50" s="1288">
        <v>4.7699999999999996</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38948</v>
      </c>
      <c r="D51" s="1288">
        <v>5.58</v>
      </c>
      <c r="E51" s="1288">
        <v>6.12</v>
      </c>
      <c r="F51" s="1288">
        <v>6.3</v>
      </c>
      <c r="G51" s="1288">
        <v>6.48</v>
      </c>
      <c r="H51" s="1288">
        <v>6.84</v>
      </c>
      <c r="I51" s="1288">
        <v>4.1399999999999997</v>
      </c>
      <c r="J51" s="1288">
        <v>4.59</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38835</v>
      </c>
      <c r="D52" s="1288">
        <v>5.4</v>
      </c>
      <c r="E52" s="1288">
        <v>5.85</v>
      </c>
      <c r="F52" s="1288">
        <v>6.03</v>
      </c>
      <c r="G52" s="1288">
        <v>6.12</v>
      </c>
      <c r="H52" s="1288">
        <v>6.39</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38428</v>
      </c>
      <c r="D53" s="1288">
        <v>5.22</v>
      </c>
      <c r="E53" s="1288">
        <v>5.58</v>
      </c>
      <c r="F53" s="1288">
        <v>5.76</v>
      </c>
      <c r="G53" s="1288">
        <v>5.85</v>
      </c>
      <c r="H53" s="1288">
        <v>6.12</v>
      </c>
      <c r="I53" s="1288">
        <v>3.96</v>
      </c>
      <c r="J53" s="1288">
        <v>4.41</v>
      </c>
      <c r="L53" s="1288"/>
      <c r="M53" s="1289"/>
      <c r="N53" s="1288"/>
      <c r="O53" s="1288"/>
      <c r="P53" s="1288"/>
      <c r="Q53" s="1288"/>
      <c r="R53" s="1288"/>
      <c r="S53" s="1288"/>
      <c r="T53" s="1288"/>
      <c r="U53" s="1288"/>
      <c r="V53" s="1288"/>
      <c r="W53" s="1288"/>
      <c r="X53" s="1288"/>
      <c r="Y53" s="1288"/>
      <c r="Z53" s="1288"/>
    </row>
    <row r="54" spans="2:26">
      <c r="B54" s="1288"/>
      <c r="C54" s="1289">
        <v>38289</v>
      </c>
      <c r="D54" s="1288">
        <v>5.22</v>
      </c>
      <c r="E54" s="1288">
        <v>5.58</v>
      </c>
      <c r="F54" s="1288">
        <v>5.76</v>
      </c>
      <c r="G54" s="1288">
        <v>5.85</v>
      </c>
      <c r="H54" s="1288">
        <v>6.12</v>
      </c>
      <c r="I54" s="1288">
        <v>3.78</v>
      </c>
      <c r="J54" s="1288">
        <v>4.2300000000000004</v>
      </c>
      <c r="L54" s="1288"/>
      <c r="M54" s="1289"/>
      <c r="N54" s="1288"/>
      <c r="O54" s="1288"/>
      <c r="P54" s="1288"/>
      <c r="Q54" s="1288"/>
      <c r="R54" s="1288"/>
      <c r="S54" s="1288"/>
      <c r="T54" s="1288"/>
      <c r="U54" s="1288"/>
      <c r="V54" s="1288"/>
      <c r="W54" s="1288"/>
      <c r="X54" s="1288"/>
      <c r="Y54" s="1288"/>
      <c r="Z54" s="1288"/>
    </row>
    <row r="55" spans="2:26">
      <c r="B55" s="1288"/>
      <c r="C55" s="1289">
        <v>37308</v>
      </c>
      <c r="D55" s="1288">
        <v>5.04</v>
      </c>
      <c r="E55" s="1288">
        <v>5.31</v>
      </c>
      <c r="F55" s="1288">
        <v>5.49</v>
      </c>
      <c r="G55" s="1288">
        <v>5.58</v>
      </c>
      <c r="H55" s="1288">
        <v>5.76</v>
      </c>
      <c r="I55" s="1288">
        <v>3.6</v>
      </c>
      <c r="J55" s="1288">
        <v>4.05</v>
      </c>
      <c r="L55" s="1288"/>
      <c r="M55" s="1289"/>
      <c r="N55" s="1288"/>
      <c r="O55" s="1288"/>
      <c r="P55" s="1288"/>
      <c r="Q55" s="1288"/>
      <c r="R55" s="1288"/>
      <c r="S55" s="1288"/>
      <c r="T55" s="1288"/>
      <c r="U55" s="1288"/>
      <c r="V55" s="1288"/>
      <c r="W55" s="1288"/>
      <c r="X55" s="1288"/>
      <c r="Y55" s="1288"/>
      <c r="Z55" s="1288"/>
    </row>
    <row r="56" spans="2:26">
      <c r="B56" s="1288"/>
      <c r="C56" s="1289">
        <v>36321</v>
      </c>
      <c r="D56" s="1288">
        <v>5.58</v>
      </c>
      <c r="E56" s="1288">
        <v>5.85</v>
      </c>
      <c r="F56" s="1288">
        <v>5.94</v>
      </c>
      <c r="G56" s="1288">
        <v>6.03</v>
      </c>
      <c r="H56" s="1288">
        <v>6.21</v>
      </c>
      <c r="I56" s="1288">
        <v>4.1399999999999997</v>
      </c>
      <c r="J56" s="1288">
        <v>4.59</v>
      </c>
      <c r="L56" s="1288"/>
      <c r="M56" s="1289"/>
      <c r="N56" s="1288"/>
      <c r="O56" s="1288"/>
      <c r="P56" s="1288"/>
      <c r="Q56" s="1288"/>
      <c r="R56" s="1288"/>
      <c r="S56" s="1288"/>
      <c r="T56" s="1288"/>
      <c r="U56" s="1288"/>
      <c r="V56" s="1288"/>
      <c r="W56" s="1288"/>
      <c r="X56" s="1288"/>
      <c r="Y56" s="1288"/>
      <c r="Z56" s="1288"/>
    </row>
    <row r="57" spans="2:26">
      <c r="B57" s="1288"/>
      <c r="C57" s="1289">
        <v>36136</v>
      </c>
      <c r="D57" s="1288">
        <v>6.12</v>
      </c>
      <c r="E57" s="1288">
        <v>6.39</v>
      </c>
      <c r="F57" s="1288">
        <v>6.66</v>
      </c>
      <c r="G57" s="1288">
        <v>7.2</v>
      </c>
      <c r="H57" s="1288">
        <v>7.56</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35977</v>
      </c>
      <c r="D58" s="1288">
        <v>6.57</v>
      </c>
      <c r="E58" s="1288">
        <v>6.93</v>
      </c>
      <c r="F58" s="1288">
        <v>7.11</v>
      </c>
      <c r="G58" s="1288">
        <v>7.65</v>
      </c>
      <c r="H58" s="1288">
        <v>8.01</v>
      </c>
      <c r="I58" s="1288">
        <v>0</v>
      </c>
      <c r="J58" s="1288">
        <v>0</v>
      </c>
    </row>
    <row r="59" spans="2:26">
      <c r="B59" s="1288"/>
      <c r="C59" s="1289">
        <v>35879</v>
      </c>
      <c r="D59" s="1288">
        <v>7.02</v>
      </c>
      <c r="E59" s="1288">
        <v>7.92</v>
      </c>
      <c r="F59" s="1288">
        <v>9</v>
      </c>
      <c r="G59" s="1288">
        <v>9.7200000000000006</v>
      </c>
      <c r="H59" s="1288">
        <v>10.35</v>
      </c>
      <c r="I59" s="1288">
        <v>0</v>
      </c>
      <c r="J59" s="1288">
        <v>0</v>
      </c>
    </row>
    <row r="60" spans="2:26">
      <c r="B60" s="1288"/>
      <c r="C60" s="1289">
        <v>35726</v>
      </c>
      <c r="D60" s="1288">
        <v>7.65</v>
      </c>
      <c r="E60" s="1288">
        <v>8.64</v>
      </c>
      <c r="F60" s="1288">
        <v>9.36</v>
      </c>
      <c r="G60" s="1288">
        <v>9.9</v>
      </c>
      <c r="H60" s="1288">
        <v>10.53</v>
      </c>
      <c r="I60" s="1288">
        <v>0</v>
      </c>
      <c r="J60" s="1288">
        <v>0</v>
      </c>
    </row>
    <row r="61" spans="2:26">
      <c r="B61" s="1288"/>
      <c r="C61" s="1289">
        <v>35300</v>
      </c>
      <c r="D61" s="1288">
        <v>9.18</v>
      </c>
      <c r="E61" s="1288">
        <v>10.08</v>
      </c>
      <c r="F61" s="1288">
        <v>10.98</v>
      </c>
      <c r="G61" s="1288">
        <v>11.7</v>
      </c>
      <c r="H61" s="1288">
        <v>12.42</v>
      </c>
      <c r="I61" s="1288">
        <v>0</v>
      </c>
      <c r="J61" s="1288">
        <v>0</v>
      </c>
    </row>
    <row r="62" spans="2:26">
      <c r="B62" s="1288"/>
      <c r="C62" s="1289">
        <v>35186</v>
      </c>
      <c r="D62" s="1288">
        <v>9.7200000000000006</v>
      </c>
      <c r="E62" s="1288">
        <v>10.98</v>
      </c>
      <c r="F62" s="1288">
        <v>13.14</v>
      </c>
      <c r="G62" s="1288">
        <v>14.94</v>
      </c>
      <c r="H62" s="1288">
        <v>15.12</v>
      </c>
      <c r="I62" s="1288">
        <v>0</v>
      </c>
      <c r="J62" s="1288">
        <v>0</v>
      </c>
    </row>
    <row r="63" spans="2:26">
      <c r="B63" s="1288"/>
      <c r="C63" s="1289">
        <v>34881</v>
      </c>
      <c r="D63" s="1288">
        <v>10.08</v>
      </c>
      <c r="E63" s="1288">
        <v>12.06</v>
      </c>
      <c r="F63" s="1288">
        <v>13.5</v>
      </c>
      <c r="G63" s="1288">
        <v>15.12</v>
      </c>
      <c r="H63" s="1288">
        <v>15.3</v>
      </c>
      <c r="I63" s="1288">
        <v>0</v>
      </c>
      <c r="J63" s="1288">
        <v>0</v>
      </c>
    </row>
    <row r="64" spans="2:26">
      <c r="B64" s="1288"/>
      <c r="C64" s="1289">
        <v>34700</v>
      </c>
      <c r="D64" s="1288">
        <v>9</v>
      </c>
      <c r="E64" s="1288">
        <v>10.98</v>
      </c>
      <c r="F64" s="1288">
        <v>12.96</v>
      </c>
      <c r="G64" s="1288">
        <v>14.58</v>
      </c>
      <c r="H64" s="1288">
        <v>14.76</v>
      </c>
      <c r="I64" s="1288">
        <v>0</v>
      </c>
      <c r="J64" s="1288">
        <v>0</v>
      </c>
    </row>
    <row r="65" spans="2:10">
      <c r="B65" s="1288"/>
      <c r="C65" s="1289">
        <v>34161</v>
      </c>
      <c r="D65" s="1288">
        <v>9</v>
      </c>
      <c r="E65" s="1288">
        <v>10.98</v>
      </c>
      <c r="F65" s="1288">
        <v>12.24</v>
      </c>
      <c r="G65" s="1288">
        <v>13.86</v>
      </c>
      <c r="H65" s="1288">
        <v>14.04</v>
      </c>
      <c r="I65" s="1288">
        <v>0</v>
      </c>
      <c r="J65" s="1288">
        <v>0</v>
      </c>
    </row>
    <row r="66" spans="2:10">
      <c r="B66" s="1288"/>
      <c r="C66" s="1289">
        <v>34104</v>
      </c>
      <c r="D66" s="1288">
        <v>8.82</v>
      </c>
      <c r="E66" s="1288">
        <v>9.36</v>
      </c>
      <c r="F66" s="1288">
        <v>10.8</v>
      </c>
      <c r="G66" s="1288">
        <v>12.06</v>
      </c>
      <c r="H66" s="1288">
        <v>12.24</v>
      </c>
      <c r="I66" s="1288">
        <v>0</v>
      </c>
      <c r="J66" s="1288">
        <v>0</v>
      </c>
    </row>
    <row r="67" spans="2:10">
      <c r="B67" s="1288"/>
      <c r="C67" s="1289">
        <v>33349</v>
      </c>
      <c r="D67" s="1288">
        <v>8.1</v>
      </c>
      <c r="E67" s="1288">
        <v>8.64</v>
      </c>
      <c r="F67" s="1288">
        <v>9</v>
      </c>
      <c r="G67" s="1288">
        <v>9.5399999999999991</v>
      </c>
      <c r="H67" s="1288">
        <v>9.7200000000000006</v>
      </c>
      <c r="I67" s="1288">
        <v>0</v>
      </c>
      <c r="J67" s="1288">
        <v>0</v>
      </c>
    </row>
    <row r="68" spans="2:10">
      <c r="B68" s="1288"/>
      <c r="C68" s="1289">
        <v>33318</v>
      </c>
      <c r="D68" s="1288">
        <v>9</v>
      </c>
      <c r="E68" s="1288">
        <v>10.08</v>
      </c>
      <c r="F68" s="1288">
        <v>10.8</v>
      </c>
      <c r="G68" s="1288">
        <v>11.52</v>
      </c>
      <c r="H68" s="1288">
        <v>11.88</v>
      </c>
      <c r="I68" s="1288" t="s">
        <v>633</v>
      </c>
      <c r="J68" s="1288" t="s">
        <v>633</v>
      </c>
    </row>
    <row r="69" spans="2:10">
      <c r="B69" s="1288"/>
      <c r="C69" s="1289">
        <v>33106</v>
      </c>
      <c r="D69" s="1288">
        <v>8.64</v>
      </c>
      <c r="E69" s="1288">
        <v>9.36</v>
      </c>
      <c r="F69" s="1288">
        <v>10.08</v>
      </c>
      <c r="G69" s="1288">
        <v>10.8</v>
      </c>
      <c r="H69" s="1288">
        <v>11.16</v>
      </c>
      <c r="I69" s="1288">
        <v>0</v>
      </c>
      <c r="J69" s="1288">
        <v>0</v>
      </c>
    </row>
    <row r="70" spans="2:10">
      <c r="B70" s="1288"/>
      <c r="C70" s="1289">
        <v>32540</v>
      </c>
      <c r="D70" s="1288">
        <v>11.34</v>
      </c>
      <c r="E70" s="1288">
        <v>11.34</v>
      </c>
      <c r="F70" s="1288">
        <v>12.78</v>
      </c>
      <c r="G70" s="1288">
        <v>14.4</v>
      </c>
      <c r="H70" s="1288">
        <v>19.260000000000002</v>
      </c>
      <c r="I70" s="1288">
        <v>0</v>
      </c>
      <c r="J70" s="1288">
        <v>0</v>
      </c>
    </row>
    <row r="71" spans="2:10">
      <c r="B71" s="1288"/>
      <c r="C71" s="1289"/>
      <c r="D71" s="1288"/>
      <c r="E71" s="1288"/>
      <c r="F71" s="1288"/>
      <c r="G71" s="1288"/>
      <c r="H71" s="1288"/>
      <c r="I71" s="1288"/>
      <c r="J71" s="1288"/>
    </row>
    <row r="72" spans="2:10">
      <c r="B72" s="1291"/>
      <c r="C72" s="1292"/>
      <c r="D72" s="1291"/>
      <c r="E72" s="1291"/>
      <c r="F72" s="1291"/>
      <c r="G72" s="1291"/>
      <c r="H72" s="1291"/>
      <c r="I72" s="1291"/>
      <c r="J72" s="1291"/>
    </row>
    <row r="73" spans="2:10">
      <c r="B73" s="1291"/>
      <c r="C73" s="1292"/>
      <c r="D73" s="1291"/>
      <c r="E73" s="1291"/>
      <c r="F73" s="1291"/>
      <c r="G73" s="1291"/>
      <c r="H73" s="1291"/>
      <c r="I73" s="1291"/>
      <c r="J73" s="1291"/>
    </row>
    <row r="74" spans="2:10">
      <c r="B74" s="1291"/>
      <c r="C74" s="1292"/>
      <c r="D74" s="1291"/>
      <c r="E74" s="1291"/>
      <c r="F74" s="1291"/>
      <c r="G74" s="1291"/>
      <c r="H74" s="1291"/>
      <c r="I74" s="1291"/>
      <c r="J74" s="1291"/>
    </row>
    <row r="75" spans="2:10">
      <c r="B75" s="1240"/>
      <c r="C75" s="1240"/>
      <c r="D75" s="1240"/>
      <c r="E75" s="1240"/>
      <c r="F75" s="1240"/>
      <c r="G75" s="1240"/>
      <c r="H75" s="1240"/>
      <c r="I75" s="1240"/>
      <c r="J75" s="1240"/>
    </row>
    <row r="76" spans="2:10">
      <c r="B76" s="1240"/>
      <c r="C76" s="1240"/>
      <c r="D76" s="1240"/>
      <c r="E76" s="1240"/>
      <c r="F76" s="1240"/>
      <c r="G76" s="1240"/>
      <c r="H76" s="1240"/>
      <c r="I76" s="1240"/>
      <c r="J76" s="124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490" t="s">
        <v>949</v>
      </c>
      <c r="B1" s="3490"/>
      <c r="C1" s="3490"/>
      <c r="D1" s="3490"/>
    </row>
    <row r="2" spans="1:4" ht="17.399999999999999">
      <c r="A2" s="3491" t="s">
        <v>933</v>
      </c>
      <c r="B2" s="3491"/>
      <c r="C2" s="3491"/>
      <c r="D2" s="3491"/>
    </row>
    <row r="3" spans="1:4" ht="17.399999999999999">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7.399999999999999">
      <c r="A6" s="3491" t="s">
        <v>939</v>
      </c>
      <c r="B6" s="3491"/>
      <c r="C6" s="3491"/>
      <c r="D6" s="3491"/>
    </row>
    <row r="7" spans="1:4" ht="17.399999999999999">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7.399999999999999">
      <c r="A10" s="1514" t="s">
        <v>941</v>
      </c>
      <c r="B10" s="673"/>
      <c r="C10" s="673"/>
      <c r="D10" s="673"/>
    </row>
    <row r="11" spans="1:4" ht="30" customHeight="1">
      <c r="A11" s="3492" t="s">
        <v>942</v>
      </c>
      <c r="B11" s="3484"/>
      <c r="C11" s="3484"/>
      <c r="D11" s="3484"/>
    </row>
    <row r="12" spans="1:4" ht="15.6">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9"/>
      <c r="C12" s="3489"/>
      <c r="D12" s="3489"/>
    </row>
    <row r="13" spans="1:4" ht="30" customHeight="1">
      <c r="A13" s="3484" t="str">
        <f>IF(项目基本情况!B8="抵押","3.抵押双方在办理抵押登记手续时，应使用本公司出具的正式《房地产评估报告》，特提醒报告使用者注意。","——")</f>
        <v>——</v>
      </c>
      <c r="B13" s="3489"/>
      <c r="C13" s="3489"/>
      <c r="D13" s="3489"/>
    </row>
    <row r="14" spans="1:4" ht="15.75" customHeight="1">
      <c r="A14" s="3484" t="str">
        <f>IF(项目基本情况!B8="抵押","4.本次评估估价师所知悉的法定优先受偿款情况说明如下：","——")</f>
        <v>——</v>
      </c>
      <c r="B14" s="3489"/>
      <c r="C14" s="3489"/>
      <c r="D14" s="3489"/>
    </row>
    <row r="15" spans="1:4" ht="42" customHeight="1">
      <c r="A15" s="3484" t="str">
        <f>IF(项目基本情况!B8="抵押","（1）"&amp;CONCATENATE(项目基本情况!L20,项目基本情况!L21,项目基本情况!L22),"——")</f>
        <v>——</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498" t="s">
        <v>956</v>
      </c>
      <c r="B15" s="3493" t="s">
        <v>109</v>
      </c>
      <c r="C15" s="3494"/>
    </row>
    <row r="16" spans="1:7" ht="14.4">
      <c r="A16" s="3499"/>
      <c r="B16" s="3493" t="s">
        <v>42</v>
      </c>
      <c r="C16" s="3494"/>
    </row>
    <row r="17" spans="1:3" ht="14.4">
      <c r="A17" s="3499"/>
      <c r="B17" s="3496" t="s">
        <v>957</v>
      </c>
      <c r="C17" s="1530" t="s">
        <v>956</v>
      </c>
    </row>
    <row r="18" spans="1:3" ht="14.4">
      <c r="A18" s="3499"/>
      <c r="B18" s="3496"/>
      <c r="C18" s="1530" t="s">
        <v>958</v>
      </c>
    </row>
    <row r="19" spans="1:3" ht="14.4">
      <c r="A19" s="3499"/>
      <c r="B19" s="3496"/>
      <c r="C19" s="1530" t="s">
        <v>959</v>
      </c>
    </row>
    <row r="20" spans="1:3" ht="14.4">
      <c r="A20" s="3500"/>
      <c r="B20" s="3495" t="s">
        <v>960</v>
      </c>
      <c r="C20" s="3494"/>
    </row>
    <row r="21" spans="1:3" ht="14.4">
      <c r="A21" s="1531" t="s">
        <v>961</v>
      </c>
      <c r="B21" s="1532"/>
      <c r="C21" s="1533"/>
    </row>
    <row r="22" spans="1:3" ht="14.4">
      <c r="A22" s="3497" t="s">
        <v>962</v>
      </c>
      <c r="B22" s="3495" t="s">
        <v>963</v>
      </c>
      <c r="C22" s="3494"/>
    </row>
    <row r="23" spans="1:3" ht="14.4">
      <c r="A23" s="3497"/>
      <c r="B23" s="3495" t="s">
        <v>964</v>
      </c>
      <c r="C23" s="3494"/>
    </row>
    <row r="24" spans="1:3" ht="14.4">
      <c r="A24" s="3497"/>
      <c r="B24" s="3495" t="s">
        <v>965</v>
      </c>
      <c r="C24" s="3494"/>
    </row>
    <row r="25" spans="1:3" ht="14.4">
      <c r="A25" s="3497"/>
      <c r="B25" s="3496" t="s">
        <v>966</v>
      </c>
      <c r="C25" s="1530" t="s">
        <v>967</v>
      </c>
    </row>
    <row r="26" spans="1:3" ht="14.4">
      <c r="A26" s="3497"/>
      <c r="B26" s="3496"/>
      <c r="C26" s="1530" t="s">
        <v>968</v>
      </c>
    </row>
    <row r="27" spans="1:3" ht="14.4">
      <c r="A27" s="3497"/>
      <c r="B27" s="3496"/>
      <c r="C27" s="1530" t="s">
        <v>969</v>
      </c>
    </row>
    <row r="28" spans="1:3" ht="14.4">
      <c r="A28" s="3497"/>
      <c r="B28" s="3496"/>
      <c r="C28" s="1530" t="s">
        <v>970</v>
      </c>
    </row>
    <row r="29" spans="1:3" ht="14.4">
      <c r="A29" s="3497"/>
      <c r="B29" s="3496"/>
      <c r="C29" s="1530" t="s">
        <v>971</v>
      </c>
    </row>
    <row r="30" spans="1:3" ht="14.4">
      <c r="A30" s="3497"/>
      <c r="B30" s="3496"/>
      <c r="C30" s="1530" t="s">
        <v>972</v>
      </c>
    </row>
    <row r="31" spans="1:3" ht="14.4">
      <c r="A31" s="3497"/>
      <c r="B31" s="3496"/>
      <c r="C31" s="1530" t="s">
        <v>973</v>
      </c>
    </row>
    <row r="32" spans="1:3" ht="14.4">
      <c r="A32" s="3497"/>
      <c r="B32" s="3496"/>
      <c r="C32" s="1530" t="s">
        <v>974</v>
      </c>
    </row>
    <row r="33" spans="1:3" ht="14.4">
      <c r="A33" s="3497"/>
      <c r="B33" s="3496"/>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2139</v>
      </c>
      <c r="B2" s="2337">
        <f ca="1">TODAY()</f>
        <v>45518</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t="str">
        <f ca="1">IF(C6&lt;B2,"已过期",1120050019)</f>
        <v>已过期</v>
      </c>
      <c r="C6" s="2343">
        <v>45410</v>
      </c>
      <c r="D6" s="2344" t="str">
        <f t="shared" ca="1" si="0"/>
        <v>王鹏（注册号：已过期）</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t="str">
        <f ca="1">IF(C13&lt;B2,"已过期",1120020033)</f>
        <v>已过期</v>
      </c>
      <c r="C13" s="2343">
        <v>45375</v>
      </c>
      <c r="D13" s="2344" t="str">
        <f t="shared" ca="1" si="0"/>
        <v>刘敬东（注册号：已过期）</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1"/>
      <c r="E18" s="3503" t="s">
        <v>2162</v>
      </c>
      <c r="F18" s="3502"/>
      <c r="G18" s="3502"/>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Sheet2</vt:lpstr>
      <vt:lpstr>结果表</vt:lpstr>
      <vt:lpstr>成本法</vt:lpstr>
      <vt:lpstr>租金案例</vt:lpstr>
      <vt:lpstr>销售价格</vt:lpstr>
      <vt:lpstr>法拍</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2024-08-14T06:26:27Z</dcterms:modified>
</cp:coreProperties>
</file>