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霸州法院丰台风格与林苑\"/>
    </mc:Choice>
  </mc:AlternateContent>
  <bookViews>
    <workbookView xWindow="0" yWindow="0" windowWidth="15828" windowHeight="13164" tabRatio="893"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Sheet2" sheetId="84" r:id="rId19"/>
    <sheet name="结果表" sheetId="9" r:id="rId20"/>
    <sheet name="成本法" sheetId="68" state="hidden" r:id="rId21"/>
    <sheet name="租金案例" sheetId="83" r:id="rId22"/>
    <sheet name="销售价格" sheetId="82" r:id="rId23"/>
    <sheet name="法拍" sheetId="81" r:id="rId24"/>
    <sheet name="成本法 (元)" sheetId="69" r:id="rId25"/>
    <sheet name="假设开发法" sheetId="12" state="hidden" r:id="rId26"/>
    <sheet name="收益法" sheetId="15" state="hidden" r:id="rId27"/>
    <sheet name="基准地价修正" sheetId="43" r:id="rId28"/>
    <sheet name="收益法 (元)" sheetId="67" r:id="rId29"/>
    <sheet name="收益法-酒店模型" sheetId="77" state="hidden" r:id="rId30"/>
    <sheet name="收益法（汇总）" sheetId="70" state="hidden" r:id="rId31"/>
    <sheet name="比较法-住宅" sheetId="21" state="hidden" r:id="rId32"/>
    <sheet name="比较法-商业" sheetId="33"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r:id="rId45"/>
    <sheet name="因素修正幅度" sheetId="65" r:id="rId46"/>
    <sheet name="区片价（范围）" sheetId="75" state="hidden" r:id="rId47"/>
    <sheet name="地价-分区" sheetId="79" r:id="rId48"/>
    <sheet name="地价" sheetId="71" r:id="rId49"/>
    <sheet name="存贷款利率" sheetId="73"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2"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7">基准地价修正!$A$1:$J$44,基准地价修正!$A$47:$H$101,基准地价修正!$R$1:$V$16</definedName>
    <definedName name="_xlnm.Print_Area" localSheetId="25">假设开发法!$A$1:$K$32</definedName>
    <definedName name="_xlnm.Print_Area" localSheetId="19">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6" i="33" l="1"/>
  <c r="G36" i="33"/>
  <c r="E36" i="33"/>
  <c r="J303" i="81"/>
  <c r="H303" i="81"/>
  <c r="J263" i="81"/>
  <c r="H263" i="81"/>
  <c r="K205" i="81"/>
  <c r="M152" i="81"/>
  <c r="K113" i="81"/>
  <c r="I113" i="81"/>
  <c r="K152" i="81"/>
  <c r="J205" i="81"/>
  <c r="H205" i="81"/>
  <c r="D5" i="9"/>
  <c r="H152" i="81"/>
  <c r="G113" i="81"/>
  <c r="R11" i="81"/>
  <c r="Q89" i="81"/>
  <c r="Q88" i="81"/>
  <c r="Q87" i="81"/>
  <c r="Q16" i="81"/>
  <c r="Q15" i="81"/>
  <c r="Q12" i="81"/>
  <c r="Q11" i="81"/>
  <c r="Q8" i="81"/>
  <c r="Q7" i="81"/>
  <c r="N20" i="1"/>
  <c r="N22" i="1" s="1"/>
  <c r="N6" i="1" s="1"/>
  <c r="Y6" i="1" s="1"/>
  <c r="B58" i="1"/>
  <c r="F19" i="6"/>
  <c r="D3" i="4"/>
  <c r="K303" i="81" l="1"/>
  <c r="K263" i="8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V13" i="79"/>
  <c r="S14" i="79"/>
  <c r="R17" i="79"/>
  <c r="V17" i="79"/>
  <c r="M26" i="79"/>
  <c r="P26" i="79" s="1"/>
  <c r="Z3" i="79"/>
  <c r="R13" i="79"/>
  <c r="T15" i="79"/>
  <c r="W15" i="79" s="1"/>
  <c r="U17" i="79"/>
  <c r="S28" i="79"/>
  <c r="AA26" i="79"/>
  <c r="AD26" i="79" s="1"/>
  <c r="T30" i="79"/>
  <c r="W30" i="79" s="1"/>
  <c r="U36" i="79"/>
  <c r="AD37" i="79"/>
  <c r="S38" i="79"/>
  <c r="U40" i="79"/>
  <c r="AD41"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D68"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D61" i="71"/>
  <c r="Q60" i="71"/>
  <c r="P60" i="71"/>
  <c r="O60" i="71"/>
  <c r="N60" i="71"/>
  <c r="Q59" i="71"/>
  <c r="P59" i="71"/>
  <c r="O59" i="71"/>
  <c r="N59" i="71"/>
  <c r="Q58" i="71"/>
  <c r="P58" i="71"/>
  <c r="E59" i="71" s="1"/>
  <c r="E60" i="71" s="1"/>
  <c r="U60" i="71" s="1"/>
  <c r="O58" i="71"/>
  <c r="N58" i="71"/>
  <c r="Q57" i="71"/>
  <c r="F58" i="71" s="1"/>
  <c r="F59" i="71" s="1"/>
  <c r="F60" i="71" s="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O39" i="71"/>
  <c r="N39" i="71"/>
  <c r="X39" i="71" s="1"/>
  <c r="Q38" i="71"/>
  <c r="P38" i="71"/>
  <c r="O38" i="71"/>
  <c r="N38" i="71"/>
  <c r="Q37" i="71"/>
  <c r="P37" i="71"/>
  <c r="AA37" i="71" s="1"/>
  <c r="O37" i="71"/>
  <c r="Y37" i="71" s="1"/>
  <c r="Z37" i="71" s="1"/>
  <c r="N37" i="71"/>
  <c r="B38" i="71" s="1"/>
  <c r="B39" i="71" s="1"/>
  <c r="B40" i="71" s="1"/>
  <c r="S40" i="71" s="1"/>
  <c r="D37" i="71"/>
  <c r="Q36" i="71"/>
  <c r="P36" i="71"/>
  <c r="AA35" i="71" s="1"/>
  <c r="O36" i="71"/>
  <c r="N36" i="71"/>
  <c r="Q35" i="71"/>
  <c r="AB35" i="71"/>
  <c r="P35" i="71"/>
  <c r="O35" i="71"/>
  <c r="N35" i="71"/>
  <c r="Q34" i="71"/>
  <c r="AB34" i="71" s="1"/>
  <c r="P34" i="71"/>
  <c r="O34" i="71"/>
  <c r="N34" i="71"/>
  <c r="Q33" i="71"/>
  <c r="F34" i="71" s="1"/>
  <c r="F35" i="71" s="1"/>
  <c r="F36" i="71" s="1"/>
  <c r="V36" i="71" s="1"/>
  <c r="P33" i="71"/>
  <c r="E34" i="71" s="1"/>
  <c r="O33" i="71"/>
  <c r="C34" i="71" s="1"/>
  <c r="N33" i="71"/>
  <c r="D33" i="71"/>
  <c r="Q32" i="71"/>
  <c r="P32" i="71"/>
  <c r="O32" i="71"/>
  <c r="N32" i="71"/>
  <c r="Q31" i="71"/>
  <c r="P31" i="71"/>
  <c r="O31" i="71"/>
  <c r="N31" i="71"/>
  <c r="Q30" i="71"/>
  <c r="P30" i="71"/>
  <c r="O30" i="71"/>
  <c r="N30" i="71"/>
  <c r="Q29" i="71"/>
  <c r="F30" i="71" s="1"/>
  <c r="P29" i="71"/>
  <c r="O29" i="71"/>
  <c r="N29" i="71"/>
  <c r="X25" i="71" s="1"/>
  <c r="D29" i="71"/>
  <c r="O28" i="71"/>
  <c r="N28" i="71"/>
  <c r="B30" i="71"/>
  <c r="B31" i="71" s="1"/>
  <c r="B32" i="71" s="1"/>
  <c r="S32" i="71" s="1"/>
  <c r="E30" i="71"/>
  <c r="E31" i="71" s="1"/>
  <c r="E32" i="71" s="1"/>
  <c r="U32" i="71" s="1"/>
  <c r="B34" i="71"/>
  <c r="B35" i="71" s="1"/>
  <c r="B36" i="71" s="1"/>
  <c r="S36" i="71" s="1"/>
  <c r="E38" i="71"/>
  <c r="E39" i="71" s="1"/>
  <c r="E40" i="71" s="1"/>
  <c r="U40" i="71" s="1"/>
  <c r="N68" i="71"/>
  <c r="C30" i="71"/>
  <c r="X31" i="71"/>
  <c r="Y27" i="71"/>
  <c r="Z27" i="71" s="1"/>
  <c r="B28" i="71"/>
  <c r="B27" i="71" s="1"/>
  <c r="B26" i="71" s="1"/>
  <c r="D30" i="71"/>
  <c r="C47" i="71"/>
  <c r="D47" i="71"/>
  <c r="D46" i="71"/>
  <c r="P28" i="71"/>
  <c r="E28" i="71" s="1"/>
  <c r="U68" i="71"/>
  <c r="Q28" i="71"/>
  <c r="D58" i="71"/>
  <c r="B66" i="71"/>
  <c r="N65" i="71" s="1"/>
  <c r="T68" i="71"/>
  <c r="C67" i="71"/>
  <c r="D67" i="71" s="1"/>
  <c r="Q68" i="71"/>
  <c r="E71" i="71"/>
  <c r="E70" i="71" s="1"/>
  <c r="D72" i="71"/>
  <c r="C75" i="71"/>
  <c r="C74" i="71" s="1"/>
  <c r="D74" i="71" s="1"/>
  <c r="D76" i="71"/>
  <c r="C79" i="71"/>
  <c r="D79" i="71" s="1"/>
  <c r="E79" i="71"/>
  <c r="E78" i="71" s="1"/>
  <c r="D80" i="71"/>
  <c r="C87" i="71"/>
  <c r="C86" i="71" s="1"/>
  <c r="D86" i="71" s="1"/>
  <c r="F28" i="71"/>
  <c r="F27" i="71" s="1"/>
  <c r="F26" i="71" s="1"/>
  <c r="AA28" i="71"/>
  <c r="N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W25" i="40"/>
  <c r="U29" i="39"/>
  <c r="W29" i="39"/>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AZ543" i="3" s="1"/>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A571" i="3" s="1"/>
  <c r="AZ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G111" i="33" s="1"/>
  <c r="H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F13" i="36" s="1"/>
  <c r="S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s="1"/>
  <c r="H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J24" i="35" s="1"/>
  <c r="AC24" i="35" s="1"/>
  <c r="B73" i="35"/>
  <c r="J23" i="35" s="1"/>
  <c r="B57" i="35"/>
  <c r="B61" i="35"/>
  <c r="B59" i="35"/>
  <c r="F12" i="35" s="1"/>
  <c r="B131" i="34"/>
  <c r="B129" i="34"/>
  <c r="B127" i="34"/>
  <c r="B99" i="34"/>
  <c r="B97" i="34"/>
  <c r="B95" i="34"/>
  <c r="B93" i="34"/>
  <c r="B75" i="34"/>
  <c r="B73" i="34"/>
  <c r="B71" i="34"/>
  <c r="B130" i="33"/>
  <c r="B128" i="33"/>
  <c r="B126" i="33"/>
  <c r="H44" i="33" s="1"/>
  <c r="B98" i="33"/>
  <c r="B96" i="33"/>
  <c r="B94" i="33"/>
  <c r="H29" i="33" s="1"/>
  <c r="B74" i="33"/>
  <c r="H14" i="33" s="1"/>
  <c r="U14" i="33" s="1"/>
  <c r="B72" i="33"/>
  <c r="F13" i="33" s="1"/>
  <c r="S13" i="33" s="1"/>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c r="J40" i="33"/>
  <c r="H40" i="33"/>
  <c r="AB40" i="33" s="1"/>
  <c r="Q39" i="33"/>
  <c r="Z39" i="33" s="1"/>
  <c r="J39" i="33"/>
  <c r="Q38" i="33"/>
  <c r="Z38" i="33" s="1"/>
  <c r="J38" i="33"/>
  <c r="AC38" i="33" s="1"/>
  <c r="H38" i="33"/>
  <c r="AB38" i="33" s="1"/>
  <c r="F38" i="33"/>
  <c r="AA38" i="33"/>
  <c r="Q37" i="33"/>
  <c r="Z37" i="33" s="1"/>
  <c r="Q36" i="33"/>
  <c r="Z36" i="33" s="1"/>
  <c r="Q35" i="33"/>
  <c r="Z35" i="33" s="1"/>
  <c r="H35" i="33"/>
  <c r="AB35" i="33" s="1"/>
  <c r="Q34" i="33"/>
  <c r="Z34" i="33" s="1"/>
  <c r="Q33" i="33"/>
  <c r="Z33" i="33"/>
  <c r="AB33" i="33"/>
  <c r="AA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H31" i="21" s="1"/>
  <c r="B96" i="21"/>
  <c r="B94" i="21"/>
  <c r="B92" i="21"/>
  <c r="B90" i="21"/>
  <c r="J27" i="21" s="1"/>
  <c r="W27" i="21" s="1"/>
  <c r="B74" i="21"/>
  <c r="B72" i="2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R5" i="3" s="1"/>
  <c r="BS585" i="3"/>
  <c r="BT585" i="3"/>
  <c r="BB586" i="3"/>
  <c r="BC586" i="3"/>
  <c r="BD586" i="3"/>
  <c r="BE586" i="3"/>
  <c r="BF586" i="3"/>
  <c r="BG586" i="3"/>
  <c r="BG5" i="3" s="1"/>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J44" i="39"/>
  <c r="AC44" i="39" s="1"/>
  <c r="J35" i="39"/>
  <c r="AC35"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F36" i="34"/>
  <c r="J35" i="34"/>
  <c r="U34" i="34"/>
  <c r="H39" i="33"/>
  <c r="AB39" i="33" s="1"/>
  <c r="F26" i="33"/>
  <c r="AA26" i="33" s="1"/>
  <c r="H39" i="37"/>
  <c r="AB39" i="37" s="1"/>
  <c r="F11" i="40"/>
  <c r="H11" i="40"/>
  <c r="AB11" i="40" s="1"/>
  <c r="W8" i="40"/>
  <c r="U38"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c r="F27" i="39"/>
  <c r="F11" i="21"/>
  <c r="S11" i="21" s="1"/>
  <c r="U34" i="21"/>
  <c r="C25" i="39"/>
  <c r="H11" i="39"/>
  <c r="S40" i="39"/>
  <c r="C15" i="39"/>
  <c r="H32" i="33"/>
  <c r="AB32" i="33" s="1"/>
  <c r="H11" i="21"/>
  <c r="U11" i="21" s="1"/>
  <c r="J11" i="21"/>
  <c r="W11" i="21" s="1"/>
  <c r="H37" i="40"/>
  <c r="H36" i="40"/>
  <c r="AB36" i="40" s="1"/>
  <c r="F35" i="40"/>
  <c r="AA35" i="40" s="1"/>
  <c r="H23" i="40"/>
  <c r="AB23" i="40" s="1"/>
  <c r="H17" i="40"/>
  <c r="U17" i="40" s="1"/>
  <c r="J15" i="40"/>
  <c r="W15" i="40" s="1"/>
  <c r="J11" i="40"/>
  <c r="W11" i="40" s="1"/>
  <c r="AB12" i="35"/>
  <c r="S44" i="39"/>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S35" i="34"/>
  <c r="F28" i="34"/>
  <c r="AA28" i="34" s="1"/>
  <c r="F25" i="34"/>
  <c r="S25" i="34" s="1"/>
  <c r="H23" i="34"/>
  <c r="J23" i="34"/>
  <c r="F19" i="34"/>
  <c r="H17" i="34"/>
  <c r="U17" i="34" s="1"/>
  <c r="F15" i="34"/>
  <c r="AA15" i="34" s="1"/>
  <c r="J15" i="34"/>
  <c r="H15" i="34"/>
  <c r="AB15" i="34" s="1"/>
  <c r="J28" i="34"/>
  <c r="W28" i="34" s="1"/>
  <c r="F41" i="33"/>
  <c r="S38" i="33"/>
  <c r="E113" i="33"/>
  <c r="F32" i="33"/>
  <c r="AA32" i="33" s="1"/>
  <c r="J19" i="33"/>
  <c r="F37" i="40"/>
  <c r="AA37" i="40" s="1"/>
  <c r="F36" i="40"/>
  <c r="AA36" i="40" s="1"/>
  <c r="H28" i="40"/>
  <c r="U28" i="40" s="1"/>
  <c r="F23" i="40"/>
  <c r="AA23" i="40" s="1"/>
  <c r="F17" i="40"/>
  <c r="AA17" i="40" s="1"/>
  <c r="J17" i="40"/>
  <c r="W17" i="40" s="1"/>
  <c r="F15" i="40"/>
  <c r="S15" i="40" s="1"/>
  <c r="H15" i="40"/>
  <c r="AB15" i="40"/>
  <c r="AA12" i="36"/>
  <c r="AB30" i="36"/>
  <c r="F29" i="35"/>
  <c r="S29" i="35" s="1"/>
  <c r="H29" i="35"/>
  <c r="AB29" i="35" s="1"/>
  <c r="H33" i="37"/>
  <c r="F33" i="37"/>
  <c r="AA33" i="37" s="1"/>
  <c r="U34" i="37"/>
  <c r="J43" i="34"/>
  <c r="AB42" i="34"/>
  <c r="J40" i="34"/>
  <c r="H38" i="34"/>
  <c r="AB38" i="34" s="1"/>
  <c r="J36" i="34"/>
  <c r="H37" i="34"/>
  <c r="U37" i="34" s="1"/>
  <c r="H25" i="34"/>
  <c r="AB25" i="34" s="1"/>
  <c r="J25" i="34"/>
  <c r="AC25" i="34"/>
  <c r="F23" i="34"/>
  <c r="AA23" i="34" s="1"/>
  <c r="J19" i="34"/>
  <c r="AC19" i="34" s="1"/>
  <c r="F17" i="34"/>
  <c r="J17" i="34"/>
  <c r="W17" i="34" s="1"/>
  <c r="AB17" i="34"/>
  <c r="F113" i="33"/>
  <c r="G113" i="33" s="1"/>
  <c r="H113" i="33" s="1"/>
  <c r="I113" i="33" s="1"/>
  <c r="J113" i="33" s="1"/>
  <c r="K113" i="33" s="1"/>
  <c r="L113" i="33" s="1"/>
  <c r="M113" i="33" s="1"/>
  <c r="H37" i="33"/>
  <c r="AB37" i="33" s="1"/>
  <c r="F28" i="40"/>
  <c r="AA28" i="40" s="1"/>
  <c r="AA42" i="34"/>
  <c r="AC38" i="34"/>
  <c r="AA38" i="34"/>
  <c r="J37" i="34"/>
  <c r="AC37" i="34" s="1"/>
  <c r="J11" i="33"/>
  <c r="W11" i="33" s="1"/>
  <c r="I123" i="21"/>
  <c r="J123" i="21" s="1"/>
  <c r="K123" i="21" s="1"/>
  <c r="L123" i="21" s="1"/>
  <c r="M123" i="21" s="1"/>
  <c r="J42" i="21"/>
  <c r="AC42" i="21" s="1"/>
  <c r="H42" i="21"/>
  <c r="U42" i="21"/>
  <c r="J44" i="34"/>
  <c r="F44" i="34"/>
  <c r="J10" i="35"/>
  <c r="AC10" i="35" s="1"/>
  <c r="J14" i="21"/>
  <c r="W14" i="21" s="1"/>
  <c r="F14" i="21"/>
  <c r="H14" i="21"/>
  <c r="U14" i="21" s="1"/>
  <c r="H28" i="21"/>
  <c r="AB28" i="21" s="1"/>
  <c r="F28" i="21"/>
  <c r="AA28" i="21"/>
  <c r="J28" i="21"/>
  <c r="W28" i="21" s="1"/>
  <c r="H30" i="21"/>
  <c r="U30" i="21" s="1"/>
  <c r="F30" i="21"/>
  <c r="S30" i="21" s="1"/>
  <c r="J30" i="21"/>
  <c r="AC30" i="21" s="1"/>
  <c r="J44" i="2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J31" i="21"/>
  <c r="AC31" i="21" s="1"/>
  <c r="F31" i="21"/>
  <c r="S31" i="21" s="1"/>
  <c r="H13" i="33"/>
  <c r="U13" i="33" s="1"/>
  <c r="J29" i="33"/>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F46" i="34"/>
  <c r="AA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E89" i="37"/>
  <c r="F89" i="37" s="1"/>
  <c r="G89" i="37" s="1"/>
  <c r="H89" i="37" s="1"/>
  <c r="I89" i="37" s="1"/>
  <c r="J89" i="37" s="1"/>
  <c r="K89" i="37" s="1"/>
  <c r="L89" i="37" s="1"/>
  <c r="M89" i="37" s="1"/>
  <c r="J29" i="37"/>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F14" i="33"/>
  <c r="J14" i="33"/>
  <c r="H30" i="33"/>
  <c r="AB30" i="33"/>
  <c r="F30" i="33"/>
  <c r="J30" i="33"/>
  <c r="J44" i="33"/>
  <c r="F44" i="33"/>
  <c r="J46" i="33"/>
  <c r="AC46" i="33"/>
  <c r="F46" i="33"/>
  <c r="AA46" i="33" s="1"/>
  <c r="H46" i="33"/>
  <c r="J13" i="34"/>
  <c r="W13" i="34" s="1"/>
  <c r="J29" i="34"/>
  <c r="F29" i="34"/>
  <c r="S29" i="34" s="1"/>
  <c r="H29" i="34"/>
  <c r="F31" i="34"/>
  <c r="S31" i="34" s="1"/>
  <c r="H45" i="34"/>
  <c r="U45" i="34" s="1"/>
  <c r="J45" i="34"/>
  <c r="W45" i="34" s="1"/>
  <c r="F45" i="34"/>
  <c r="S45" i="34" s="1"/>
  <c r="F47" i="34"/>
  <c r="S47" i="34" s="1"/>
  <c r="F13" i="35"/>
  <c r="J13" i="35"/>
  <c r="AC13" i="35" s="1"/>
  <c r="H13" i="35"/>
  <c r="U13" i="35" s="1"/>
  <c r="J25" i="35"/>
  <c r="W25" i="35" s="1"/>
  <c r="F25" i="35"/>
  <c r="H25" i="35"/>
  <c r="AB25" i="35" s="1"/>
  <c r="J35" i="35"/>
  <c r="AC35" i="35" s="1"/>
  <c r="J25" i="36"/>
  <c r="F25" i="36"/>
  <c r="S25" i="36" s="1"/>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c r="F33" i="40"/>
  <c r="AA33" i="40" s="1"/>
  <c r="H33" i="40"/>
  <c r="U33" i="40" s="1"/>
  <c r="J35" i="40"/>
  <c r="AC35" i="40" s="1"/>
  <c r="J37" i="40"/>
  <c r="AC37" i="40"/>
  <c r="H13" i="40"/>
  <c r="U13" i="40" s="1"/>
  <c r="J13" i="40"/>
  <c r="F13" i="40"/>
  <c r="AA13" i="40" s="1"/>
  <c r="F14" i="37"/>
  <c r="AA14" i="37" s="1"/>
  <c r="S14" i="37"/>
  <c r="F27" i="37"/>
  <c r="AA27" i="37" s="1"/>
  <c r="F13" i="39"/>
  <c r="J13" i="39"/>
  <c r="W13" i="39" s="1"/>
  <c r="H13" i="39"/>
  <c r="H14" i="40"/>
  <c r="AB14" i="40" s="1"/>
  <c r="J14" i="40"/>
  <c r="W14" i="40" s="1"/>
  <c r="F14" i="40"/>
  <c r="AA14" i="40" s="1"/>
  <c r="J14" i="37"/>
  <c r="J27" i="37"/>
  <c r="AC27" i="37"/>
  <c r="J36" i="37"/>
  <c r="AC36" i="37" s="1"/>
  <c r="J10" i="36"/>
  <c r="AC10" i="36" s="1"/>
  <c r="S11" i="36"/>
  <c r="S45" i="33"/>
  <c r="AB45" i="33"/>
  <c r="AC28" i="21"/>
  <c r="F17" i="21"/>
  <c r="AA17" i="21" s="1"/>
  <c r="H17" i="21"/>
  <c r="AB17" i="21" s="1"/>
  <c r="F15" i="21"/>
  <c r="S15" i="21" s="1"/>
  <c r="J41" i="39"/>
  <c r="W41" i="39" s="1"/>
  <c r="W44" i="39"/>
  <c r="G544" i="3"/>
  <c r="G536" i="3"/>
  <c r="G531" i="3"/>
  <c r="G528" i="3"/>
  <c r="G523" i="3"/>
  <c r="G514" i="3"/>
  <c r="G508" i="3"/>
  <c r="G500" i="3"/>
  <c r="G584" i="3"/>
  <c r="G576" i="3"/>
  <c r="G568" i="3"/>
  <c r="G560" i="3"/>
  <c r="G554" i="3"/>
  <c r="BL572" i="3"/>
  <c r="BL534" i="3"/>
  <c r="BL498" i="3"/>
  <c r="BL582" i="3"/>
  <c r="BL556" i="3"/>
  <c r="G529" i="3"/>
  <c r="BL504" i="3"/>
  <c r="G493" i="3"/>
  <c r="BA584" i="3"/>
  <c r="BA564" i="3"/>
  <c r="BA552" i="3"/>
  <c r="BA526" i="3"/>
  <c r="BA510" i="3"/>
  <c r="BA494" i="3"/>
  <c r="BA583" i="3"/>
  <c r="BA553" i="3"/>
  <c r="BA535" i="3"/>
  <c r="BA517" i="3"/>
  <c r="BA499" i="3"/>
  <c r="G579" i="3"/>
  <c r="G577" i="3"/>
  <c r="G571" i="3"/>
  <c r="G569" i="3"/>
  <c r="G563" i="3"/>
  <c r="G561" i="3"/>
  <c r="BA557" i="3"/>
  <c r="AC557" i="3"/>
  <c r="G557" i="3" s="1"/>
  <c r="BQ557" i="3"/>
  <c r="BQ583" i="3"/>
  <c r="BQ581" i="3"/>
  <c r="BQ579" i="3"/>
  <c r="BQ577" i="3"/>
  <c r="BQ575" i="3"/>
  <c r="BQ573" i="3"/>
  <c r="BQ571" i="3"/>
  <c r="BL571" i="3"/>
  <c r="BQ569" i="3"/>
  <c r="BQ567" i="3"/>
  <c r="BQ565" i="3"/>
  <c r="BQ563" i="3"/>
  <c r="BQ561" i="3"/>
  <c r="BQ559" i="3"/>
  <c r="G555" i="3"/>
  <c r="G547" i="3"/>
  <c r="G545" i="3"/>
  <c r="G539" i="3"/>
  <c r="G537" i="3"/>
  <c r="BQ555" i="3"/>
  <c r="BQ553" i="3"/>
  <c r="BQ551" i="3"/>
  <c r="BQ549" i="3"/>
  <c r="BQ547" i="3"/>
  <c r="BQ545" i="3"/>
  <c r="BQ543" i="3"/>
  <c r="BL543" i="3" s="1"/>
  <c r="BQ541" i="3"/>
  <c r="BQ539" i="3"/>
  <c r="BQ537" i="3"/>
  <c r="BL537" i="3" s="1"/>
  <c r="BQ535" i="3"/>
  <c r="BQ533" i="3"/>
  <c r="BQ531" i="3"/>
  <c r="BL531" i="3" s="1"/>
  <c r="BQ529" i="3"/>
  <c r="BQ527" i="3"/>
  <c r="BQ525" i="3"/>
  <c r="BL525" i="3"/>
  <c r="BQ523" i="3"/>
  <c r="AC521" i="3"/>
  <c r="G521" i="3"/>
  <c r="BQ521" i="3"/>
  <c r="G519" i="3"/>
  <c r="G517" i="3"/>
  <c r="G515" i="3"/>
  <c r="G511" i="3"/>
  <c r="BQ519" i="3"/>
  <c r="BQ517" i="3"/>
  <c r="BQ515" i="3"/>
  <c r="BL515" i="3" s="1"/>
  <c r="BQ513" i="3"/>
  <c r="BQ511" i="3"/>
  <c r="BA509" i="3"/>
  <c r="AC509" i="3"/>
  <c r="BQ509" i="3"/>
  <c r="BL508" i="3"/>
  <c r="G503" i="3"/>
  <c r="G501" i="3"/>
  <c r="G497" i="3"/>
  <c r="G495" i="3"/>
  <c r="BQ507" i="3"/>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35" i="34"/>
  <c r="U35" i="34" s="1"/>
  <c r="F41" i="34"/>
  <c r="H41" i="34"/>
  <c r="J41" i="34"/>
  <c r="AC41" i="34" s="1"/>
  <c r="F10" i="35"/>
  <c r="S10" i="35" s="1"/>
  <c r="F24" i="35"/>
  <c r="AA24" i="35"/>
  <c r="H24" i="35"/>
  <c r="AB24" i="35" s="1"/>
  <c r="H23" i="37"/>
  <c r="AB23" i="37"/>
  <c r="J32" i="37"/>
  <c r="F36" i="37"/>
  <c r="AA36" i="37"/>
  <c r="F37" i="37"/>
  <c r="AA37" i="37" s="1"/>
  <c r="F31" i="40"/>
  <c r="H31" i="40"/>
  <c r="U31" i="40" s="1"/>
  <c r="F32" i="40"/>
  <c r="S32" i="40"/>
  <c r="J36" i="40"/>
  <c r="H19" i="37"/>
  <c r="AB19" i="37" s="1"/>
  <c r="H42" i="33"/>
  <c r="AB42" i="33" s="1"/>
  <c r="J43" i="33"/>
  <c r="AC43" i="33" s="1"/>
  <c r="S28" i="31"/>
  <c r="S27" i="31"/>
  <c r="S26" i="31"/>
  <c r="U14" i="40"/>
  <c r="U39" i="37"/>
  <c r="U26" i="37"/>
  <c r="AC31" i="33"/>
  <c r="AC45"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U31" i="37"/>
  <c r="J15" i="37"/>
  <c r="AT6" i="3"/>
  <c r="H19" i="40"/>
  <c r="U19" i="40" s="1"/>
  <c r="F88" i="40"/>
  <c r="G88" i="40" s="1"/>
  <c r="F19" i="40"/>
  <c r="S19" i="40" s="1"/>
  <c r="AB33" i="40"/>
  <c r="W23" i="39"/>
  <c r="AC43" i="39"/>
  <c r="W43" i="39"/>
  <c r="AB44" i="39"/>
  <c r="U44" i="39"/>
  <c r="H37" i="39"/>
  <c r="AB37" i="39" s="1"/>
  <c r="H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G4" i="4"/>
  <c r="I4" i="4"/>
  <c r="A2" i="9"/>
  <c r="F61" i="43"/>
  <c r="H64" i="43" s="1"/>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G530" i="3"/>
  <c r="G522" i="3"/>
  <c r="G516" i="3"/>
  <c r="G506"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AZ344" i="3" s="1"/>
  <c r="BL344" i="3"/>
  <c r="BA346" i="3"/>
  <c r="BA347" i="3"/>
  <c r="BL347" i="3"/>
  <c r="G350" i="3"/>
  <c r="BA351" i="3"/>
  <c r="BL351" i="3"/>
  <c r="AZ351" i="3" s="1"/>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AZ366" i="3" s="1"/>
  <c r="G367" i="3"/>
  <c r="BA369" i="3"/>
  <c r="AZ369" i="3" s="1"/>
  <c r="BL370" i="3"/>
  <c r="G371" i="3"/>
  <c r="BA373" i="3"/>
  <c r="BL374" i="3"/>
  <c r="G375" i="3"/>
  <c r="BA377" i="3"/>
  <c r="BA379" i="3"/>
  <c r="AZ379" i="3" s="1"/>
  <c r="BL380" i="3"/>
  <c r="G381" i="3"/>
  <c r="BA383" i="3"/>
  <c r="BL384" i="3"/>
  <c r="G385" i="3"/>
  <c r="BA387" i="3"/>
  <c r="BL388" i="3"/>
  <c r="G389" i="3"/>
  <c r="BA391" i="3"/>
  <c r="BL392" i="3"/>
  <c r="G393" i="3"/>
  <c r="BH5" i="3"/>
  <c r="G538" i="3"/>
  <c r="G502" i="3"/>
  <c r="BP5" i="3"/>
  <c r="G17" i="3"/>
  <c r="BA17" i="3"/>
  <c r="BA15" i="3"/>
  <c r="G509" i="3"/>
  <c r="U36" i="40"/>
  <c r="F83" i="43"/>
  <c r="H85" i="43" s="1"/>
  <c r="F50" i="43"/>
  <c r="H54" i="43" s="1"/>
  <c r="G54" i="43" s="1"/>
  <c r="F72" i="43"/>
  <c r="H75" i="43" s="1"/>
  <c r="U17" i="39"/>
  <c r="S14" i="35"/>
  <c r="U43" i="21"/>
  <c r="U35" i="21"/>
  <c r="AC35" i="21"/>
  <c r="G10" i="1"/>
  <c r="AC11" i="39"/>
  <c r="W37" i="37"/>
  <c r="W44" i="34"/>
  <c r="AC44" i="34"/>
  <c r="S15" i="37"/>
  <c r="U13" i="37"/>
  <c r="U12" i="40"/>
  <c r="AA12" i="40"/>
  <c r="J37" i="33"/>
  <c r="AC17" i="34"/>
  <c r="F106" i="33"/>
  <c r="G106" i="33" s="1"/>
  <c r="H106" i="33" s="1"/>
  <c r="I106" i="33" s="1"/>
  <c r="J106" i="33" s="1"/>
  <c r="K106" i="33" s="1"/>
  <c r="L106" i="33" s="1"/>
  <c r="M106" i="33" s="1"/>
  <c r="J34" i="33"/>
  <c r="W34" i="33" s="1"/>
  <c r="F33" i="34"/>
  <c r="S33" i="34" s="1"/>
  <c r="W12" i="36"/>
  <c r="AC12" i="36"/>
  <c r="H20" i="36"/>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c r="F20" i="35"/>
  <c r="H32" i="37"/>
  <c r="F96" i="37"/>
  <c r="H27" i="40"/>
  <c r="AB27" i="40" s="1"/>
  <c r="U27" i="40"/>
  <c r="J27" i="40"/>
  <c r="F27" i="40"/>
  <c r="AA27" i="40" s="1"/>
  <c r="S27" i="40"/>
  <c r="J30" i="40"/>
  <c r="AC30" i="40" s="1"/>
  <c r="F30" i="40"/>
  <c r="S30" i="40" s="1"/>
  <c r="AA30" i="40"/>
  <c r="AC21" i="40"/>
  <c r="S31" i="39"/>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K6" i="1"/>
  <c r="AP6" i="1" s="1"/>
  <c r="AB33" i="36"/>
  <c r="W12" i="39"/>
  <c r="W12" i="33"/>
  <c r="AC12" i="33"/>
  <c r="AA32" i="36"/>
  <c r="S32" i="36"/>
  <c r="BL14" i="3"/>
  <c r="U30" i="33"/>
  <c r="AC13" i="34"/>
  <c r="AA47" i="34"/>
  <c r="W28" i="37"/>
  <c r="S19" i="39"/>
  <c r="F12" i="33"/>
  <c r="H12" i="39"/>
  <c r="U12" i="39" s="1"/>
  <c r="AB12" i="39"/>
  <c r="F39" i="40"/>
  <c r="AA39" i="40" s="1"/>
  <c r="BA14" i="3"/>
  <c r="B12" i="1"/>
  <c r="E12" i="1" s="1"/>
  <c r="B10" i="1"/>
  <c r="E10" i="1" s="1"/>
  <c r="K12" i="1"/>
  <c r="M12" i="1" s="1"/>
  <c r="S13" i="1"/>
  <c r="AR13" i="1" s="1"/>
  <c r="R13" i="1"/>
  <c r="J51" i="67"/>
  <c r="C42" i="1"/>
  <c r="C24" i="12" s="1"/>
  <c r="AC34" i="33"/>
  <c r="AA34" i="33"/>
  <c r="S35" i="40"/>
  <c r="U35" i="40"/>
  <c r="W38" i="40"/>
  <c r="AA32" i="40"/>
  <c r="S17" i="40"/>
  <c r="S23" i="40"/>
  <c r="AC17" i="40"/>
  <c r="AC15" i="40"/>
  <c r="AA19" i="40"/>
  <c r="S28" i="40"/>
  <c r="AB19" i="40"/>
  <c r="U37" i="39"/>
  <c r="F32" i="39"/>
  <c r="F106" i="39"/>
  <c r="G106" i="39" s="1"/>
  <c r="H106" i="39" s="1"/>
  <c r="I106" i="39" s="1"/>
  <c r="J106" i="39" s="1"/>
  <c r="K106" i="39" s="1"/>
  <c r="L106" i="39" s="1"/>
  <c r="M106" i="39" s="1"/>
  <c r="AB27" i="39"/>
  <c r="J21" i="39"/>
  <c r="W21" i="39" s="1"/>
  <c r="F21" i="39"/>
  <c r="G94" i="39"/>
  <c r="H21" i="39"/>
  <c r="W19" i="39"/>
  <c r="U19" i="39"/>
  <c r="S17" i="39"/>
  <c r="S15" i="39"/>
  <c r="AA12" i="39"/>
  <c r="S9" i="39"/>
  <c r="U14" i="39"/>
  <c r="AC13" i="39"/>
  <c r="S23" i="36"/>
  <c r="U13" i="36"/>
  <c r="U26" i="36"/>
  <c r="AA26" i="36"/>
  <c r="AC26" i="36"/>
  <c r="W14" i="36"/>
  <c r="AB14" i="36"/>
  <c r="U22" i="36"/>
  <c r="S16" i="36"/>
  <c r="AA25" i="36"/>
  <c r="U24" i="36"/>
  <c r="U16" i="36"/>
  <c r="S14" i="36"/>
  <c r="S23" i="35"/>
  <c r="W24" i="35"/>
  <c r="AB13" i="35"/>
  <c r="U29" i="35"/>
  <c r="U28" i="35"/>
  <c r="AB27" i="35"/>
  <c r="U36" i="35"/>
  <c r="U32" i="35"/>
  <c r="AA33" i="35"/>
  <c r="AC30" i="35"/>
  <c r="S32" i="35"/>
  <c r="AA36" i="35"/>
  <c r="S28" i="35"/>
  <c r="AB16" i="35"/>
  <c r="U22" i="35"/>
  <c r="AC20" i="35"/>
  <c r="S22" i="35"/>
  <c r="U14" i="35"/>
  <c r="AA11" i="35"/>
  <c r="AC12" i="35"/>
  <c r="W13" i="35"/>
  <c r="AB40" i="37"/>
  <c r="W27" i="37"/>
  <c r="U29" i="37"/>
  <c r="S32" i="37"/>
  <c r="AB31" i="37"/>
  <c r="W30" i="37"/>
  <c r="S36" i="37"/>
  <c r="AA38" i="37"/>
  <c r="W38" i="37"/>
  <c r="AC35" i="37"/>
  <c r="W39" i="37"/>
  <c r="S30" i="37"/>
  <c r="S37" i="37"/>
  <c r="J17" i="37"/>
  <c r="W17" i="37" s="1"/>
  <c r="G73" i="37"/>
  <c r="F17" i="37"/>
  <c r="AA17" i="37" s="1"/>
  <c r="F75" i="37"/>
  <c r="G75" i="37" s="1"/>
  <c r="F19" i="37"/>
  <c r="F79" i="37"/>
  <c r="F23" i="37"/>
  <c r="S23" i="37" s="1"/>
  <c r="U23" i="37"/>
  <c r="U15" i="37"/>
  <c r="AC13" i="37"/>
  <c r="AA13" i="37"/>
  <c r="H10" i="37"/>
  <c r="AB10" i="37" s="1"/>
  <c r="F63" i="37"/>
  <c r="F11" i="37"/>
  <c r="S11" i="37" s="1"/>
  <c r="W25" i="34"/>
  <c r="AB8" i="34"/>
  <c r="AA33" i="34"/>
  <c r="AC39" i="34"/>
  <c r="AC42" i="34"/>
  <c r="AB35" i="34"/>
  <c r="U39" i="34"/>
  <c r="AA45" i="34"/>
  <c r="AA25" i="34"/>
  <c r="AA29" i="34"/>
  <c r="S23" i="34"/>
  <c r="U15" i="34"/>
  <c r="H10" i="34"/>
  <c r="AB10" i="34" s="1"/>
  <c r="F11" i="34"/>
  <c r="S11" i="34" s="1"/>
  <c r="W38" i="33"/>
  <c r="H41" i="33"/>
  <c r="F121" i="33"/>
  <c r="G121" i="33" s="1"/>
  <c r="H121" i="33" s="1"/>
  <c r="I121" i="33" s="1"/>
  <c r="J121" i="33" s="1"/>
  <c r="K121" i="33" s="1"/>
  <c r="L121" i="33" s="1"/>
  <c r="M121" i="33" s="1"/>
  <c r="G108" i="33"/>
  <c r="H108" i="33" s="1"/>
  <c r="I108" i="33" s="1"/>
  <c r="J108" i="33" s="1"/>
  <c r="K108" i="33" s="1"/>
  <c r="L108" i="33" s="1"/>
  <c r="M108" i="33" s="1"/>
  <c r="J35" i="33"/>
  <c r="AC35" i="33" s="1"/>
  <c r="S37" i="33"/>
  <c r="F101" i="33"/>
  <c r="G101" i="33" s="1"/>
  <c r="H101" i="33" s="1"/>
  <c r="I101" i="33" s="1"/>
  <c r="J101" i="33" s="1"/>
  <c r="K101" i="33" s="1"/>
  <c r="L101" i="33" s="1"/>
  <c r="M101" i="33" s="1"/>
  <c r="J32" i="33"/>
  <c r="AC32" i="33" s="1"/>
  <c r="S46" i="33"/>
  <c r="W43" i="33"/>
  <c r="S43" i="33"/>
  <c r="F91" i="33"/>
  <c r="F27" i="33" s="1"/>
  <c r="AA27" i="33" s="1"/>
  <c r="H27" i="33"/>
  <c r="U27" i="33" s="1"/>
  <c r="F87" i="33"/>
  <c r="H25" i="33"/>
  <c r="AB25" i="33" s="1"/>
  <c r="F25" i="33"/>
  <c r="AA25" i="33" s="1"/>
  <c r="J23" i="33"/>
  <c r="AC23" i="33" s="1"/>
  <c r="H23" i="33"/>
  <c r="U23" i="33" s="1"/>
  <c r="F81" i="33"/>
  <c r="G81" i="33" s="1"/>
  <c r="F19" i="33"/>
  <c r="S19" i="33" s="1"/>
  <c r="J17" i="33"/>
  <c r="W17" i="33" s="1"/>
  <c r="F79" i="33"/>
  <c r="G79" i="33" s="1"/>
  <c r="J10" i="33"/>
  <c r="W10" i="33" s="1"/>
  <c r="H10" i="33"/>
  <c r="U10" i="33" s="1"/>
  <c r="W43" i="21"/>
  <c r="W36" i="21"/>
  <c r="W41" i="21"/>
  <c r="AB39" i="21"/>
  <c r="AA43" i="21"/>
  <c r="S39" i="21"/>
  <c r="AA36" i="21"/>
  <c r="AC40" i="21"/>
  <c r="J15" i="21"/>
  <c r="W15" i="21" s="1"/>
  <c r="F77" i="21"/>
  <c r="G77" i="21"/>
  <c r="F23" i="21"/>
  <c r="S23" i="21" s="1"/>
  <c r="E85" i="21"/>
  <c r="D120" i="9"/>
  <c r="D121" i="9" s="1"/>
  <c r="D7" i="52" s="1"/>
  <c r="C18" i="9"/>
  <c r="D18" i="9" s="1"/>
  <c r="F34" i="67"/>
  <c r="F62" i="67" s="1"/>
  <c r="G13" i="3"/>
  <c r="BL17" i="3"/>
  <c r="J56" i="9"/>
  <c r="J57" i="9" s="1"/>
  <c r="J59" i="9" s="1"/>
  <c r="J61" i="9" s="1"/>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AB39" i="39"/>
  <c r="W34" i="39"/>
  <c r="U38" i="39"/>
  <c r="S8" i="39"/>
  <c r="S20" i="36"/>
  <c r="U32" i="36"/>
  <c r="W29" i="36"/>
  <c r="AC20" i="36"/>
  <c r="U25" i="36"/>
  <c r="AB28" i="36"/>
  <c r="AA13" i="36"/>
  <c r="W9" i="36"/>
  <c r="W22" i="36"/>
  <c r="AB20" i="35"/>
  <c r="AC25" i="35"/>
  <c r="U25" i="35"/>
  <c r="S24" i="35"/>
  <c r="U24" i="35"/>
  <c r="W35" i="35"/>
  <c r="AA16" i="35"/>
  <c r="AA35" i="37"/>
  <c r="W36" i="37"/>
  <c r="S27" i="37"/>
  <c r="S28" i="37"/>
  <c r="U36" i="37"/>
  <c r="S40" i="37"/>
  <c r="U38" i="37"/>
  <c r="AB37" i="37"/>
  <c r="AC34" i="37"/>
  <c r="AA31" i="37"/>
  <c r="U19" i="37"/>
  <c r="AA29" i="37"/>
  <c r="U8" i="37"/>
  <c r="AA40" i="34"/>
  <c r="AB40" i="34"/>
  <c r="U19" i="34"/>
  <c r="W19" i="34"/>
  <c r="AB33" i="34"/>
  <c r="AC45" i="34"/>
  <c r="AA31" i="34"/>
  <c r="AA30" i="34"/>
  <c r="AB45" i="34"/>
  <c r="U25" i="34"/>
  <c r="AB36" i="34"/>
  <c r="AC14" i="34"/>
  <c r="AC32" i="34"/>
  <c r="AC29" i="34"/>
  <c r="W29" i="34"/>
  <c r="W46" i="34"/>
  <c r="AC46" i="34"/>
  <c r="S32" i="34"/>
  <c r="AA32" i="34"/>
  <c r="U30" i="34"/>
  <c r="AB30" i="34"/>
  <c r="U38" i="34"/>
  <c r="AC40" i="34"/>
  <c r="W40" i="34"/>
  <c r="AA19" i="34"/>
  <c r="S19" i="34"/>
  <c r="AA36" i="34"/>
  <c r="S36" i="34"/>
  <c r="AA8" i="34"/>
  <c r="S8" i="34"/>
  <c r="S46" i="34"/>
  <c r="U32" i="34"/>
  <c r="AB32" i="34"/>
  <c r="U14" i="34"/>
  <c r="AB14" i="34"/>
  <c r="AC43" i="34"/>
  <c r="W43" i="34"/>
  <c r="W23" i="34"/>
  <c r="AC23" i="34"/>
  <c r="AC35" i="34"/>
  <c r="W35" i="34"/>
  <c r="AB28" i="33"/>
  <c r="W46" i="33"/>
  <c r="U38" i="33"/>
  <c r="U44" i="33"/>
  <c r="AB44" i="33"/>
  <c r="S30" i="33"/>
  <c r="AA30" i="33"/>
  <c r="AC14" i="33"/>
  <c r="W14" i="33"/>
  <c r="AC30" i="33"/>
  <c r="W30" i="33"/>
  <c r="S31" i="33"/>
  <c r="AA31" i="33"/>
  <c r="W9" i="33"/>
  <c r="S44" i="21"/>
  <c r="AB42" i="21"/>
  <c r="U28" i="21"/>
  <c r="F33" i="21"/>
  <c r="AA33" i="21" s="1"/>
  <c r="J33" i="21"/>
  <c r="AC33" i="21" s="1"/>
  <c r="H33" i="21"/>
  <c r="AB33" i="21" s="1"/>
  <c r="F37" i="21"/>
  <c r="AA37" i="21" s="1"/>
  <c r="AA26" i="21"/>
  <c r="AB14" i="21"/>
  <c r="AB46" i="21"/>
  <c r="U40" i="21"/>
  <c r="AB31" i="21"/>
  <c r="U31" i="21"/>
  <c r="AC15" i="21"/>
  <c r="S35" i="21"/>
  <c r="J37" i="21"/>
  <c r="W37" i="21" s="1"/>
  <c r="H15" i="21"/>
  <c r="U15" i="21" s="1"/>
  <c r="J17" i="21"/>
  <c r="W17" i="21" s="1"/>
  <c r="AC19" i="21"/>
  <c r="W39" i="21"/>
  <c r="AC14" i="21"/>
  <c r="W30" i="21"/>
  <c r="S46" i="21"/>
  <c r="H45" i="21"/>
  <c r="U45" i="21" s="1"/>
  <c r="F29" i="21"/>
  <c r="AA29" i="21" s="1"/>
  <c r="F13" i="21"/>
  <c r="AC38" i="21"/>
  <c r="H32" i="21"/>
  <c r="AB32" i="21" s="1"/>
  <c r="H9" i="21"/>
  <c r="AB9" i="21" s="1"/>
  <c r="J9" i="21"/>
  <c r="W9" i="21" s="1"/>
  <c r="J32" i="21"/>
  <c r="W32" i="21" s="1"/>
  <c r="F32" i="21"/>
  <c r="S32" i="21" s="1"/>
  <c r="AA31" i="21"/>
  <c r="U17" i="21"/>
  <c r="S19" i="21"/>
  <c r="S9" i="21"/>
  <c r="AA9" i="21"/>
  <c r="K141" i="21"/>
  <c r="K144" i="21"/>
  <c r="K143" i="21"/>
  <c r="U27" i="21"/>
  <c r="AB25" i="21"/>
  <c r="AB44" i="21"/>
  <c r="AA30" i="21"/>
  <c r="W42"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2" i="15"/>
  <c r="E4" i="4"/>
  <c r="B5" i="62" s="1"/>
  <c r="B73" i="72" s="1"/>
  <c r="C4" i="4"/>
  <c r="S39" i="40"/>
  <c r="S12" i="33"/>
  <c r="AA12" i="33"/>
  <c r="J32" i="39"/>
  <c r="H32" i="39"/>
  <c r="AB32" i="39" s="1"/>
  <c r="AA32" i="39"/>
  <c r="S32" i="39"/>
  <c r="AA21" i="39"/>
  <c r="S21" i="39"/>
  <c r="AC17" i="37"/>
  <c r="S17" i="37"/>
  <c r="J19" i="37"/>
  <c r="W19" i="37" s="1"/>
  <c r="AA23" i="37"/>
  <c r="J23" i="37"/>
  <c r="W23" i="37" s="1"/>
  <c r="G79" i="37"/>
  <c r="J10" i="37"/>
  <c r="W10" i="37" s="1"/>
  <c r="G63" i="37"/>
  <c r="H63" i="37" s="1"/>
  <c r="I63" i="37" s="1"/>
  <c r="H11" i="37"/>
  <c r="AB11" i="37" s="1"/>
  <c r="H11" i="34"/>
  <c r="U11" i="34" s="1"/>
  <c r="J10" i="34"/>
  <c r="AC10" i="34" s="1"/>
  <c r="AB41" i="33"/>
  <c r="U41" i="33"/>
  <c r="W35" i="33"/>
  <c r="G91" i="33"/>
  <c r="H91" i="33"/>
  <c r="I91" i="33" s="1"/>
  <c r="J91" i="33" s="1"/>
  <c r="K91" i="33" s="1"/>
  <c r="L91" i="33" s="1"/>
  <c r="M91" i="33" s="1"/>
  <c r="J27" i="33"/>
  <c r="W27" i="33" s="1"/>
  <c r="G87" i="33"/>
  <c r="H87" i="33" s="1"/>
  <c r="I87" i="33"/>
  <c r="J87" i="33" s="1"/>
  <c r="K87" i="33" s="1"/>
  <c r="L87" i="33" s="1"/>
  <c r="M87" i="33" s="1"/>
  <c r="J25" i="33"/>
  <c r="AC25" i="33" s="1"/>
  <c r="F23" i="33"/>
  <c r="G85" i="33"/>
  <c r="H19" i="33"/>
  <c r="U19" i="33" s="1"/>
  <c r="H17" i="33"/>
  <c r="U17" i="33" s="1"/>
  <c r="F17" i="33"/>
  <c r="S17" i="33" s="1"/>
  <c r="AB15" i="21"/>
  <c r="J23" i="21"/>
  <c r="AC23" i="21" s="1"/>
  <c r="F85" i="21"/>
  <c r="G85" i="21" s="1"/>
  <c r="H23" i="21"/>
  <c r="AB23" i="21" s="1"/>
  <c r="D6" i="52"/>
  <c r="AP7" i="1"/>
  <c r="U9" i="21"/>
  <c r="AA32" i="21"/>
  <c r="A18" i="62"/>
  <c r="B64" i="72" s="1"/>
  <c r="AC32" i="39"/>
  <c r="W32" i="39"/>
  <c r="J63" i="37"/>
  <c r="K63" i="37" s="1"/>
  <c r="L63" i="37" s="1"/>
  <c r="M63" i="37" s="1"/>
  <c r="J11" i="37"/>
  <c r="AC11" i="37" s="1"/>
  <c r="J11" i="34"/>
  <c r="W11" i="34" s="1"/>
  <c r="W23" i="21"/>
  <c r="H109" i="9"/>
  <c r="M49" i="9" s="1"/>
  <c r="H112" i="9"/>
  <c r="D21" i="53"/>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67"/>
  <c r="M8" i="15"/>
  <c r="E2" i="69"/>
  <c r="M8" i="67"/>
  <c r="F26" i="67"/>
  <c r="E7" i="76"/>
  <c r="E8" i="76"/>
  <c r="AO13" i="1"/>
  <c r="M23" i="15"/>
  <c r="F6" i="73"/>
  <c r="D34" i="9"/>
  <c r="F36" i="67"/>
  <c r="D35" i="9"/>
  <c r="B8" i="76"/>
  <c r="M24" i="67"/>
  <c r="F37" i="67"/>
  <c r="B7" i="76"/>
  <c r="M6" i="67"/>
  <c r="D6" i="73"/>
  <c r="E13" i="76"/>
  <c r="M9" i="67"/>
  <c r="E10" i="76"/>
  <c r="E12" i="76"/>
  <c r="F40" i="67"/>
  <c r="M29" i="67"/>
  <c r="M23" i="67"/>
  <c r="F8" i="67"/>
  <c r="F4" i="73"/>
  <c r="C76" i="67"/>
  <c r="M29" i="15"/>
  <c r="M22" i="67"/>
  <c r="F13" i="67"/>
  <c r="E2" i="68"/>
  <c r="B10" i="76"/>
  <c r="B13" i="76"/>
  <c r="M22" i="15"/>
  <c r="F9" i="67"/>
  <c r="F42" i="67"/>
  <c r="F5" i="73"/>
  <c r="J15" i="67"/>
  <c r="B9" i="76"/>
  <c r="F16" i="67"/>
  <c r="F6" i="15"/>
  <c r="F43" i="67"/>
  <c r="M28" i="67"/>
  <c r="F3" i="73"/>
  <c r="L47" i="67"/>
  <c r="E11" i="76"/>
  <c r="E9" i="76"/>
  <c r="F20" i="31"/>
  <c r="B11" i="76"/>
  <c r="F38" i="15"/>
  <c r="L48" i="67"/>
  <c r="B12" i="76"/>
  <c r="M28" i="15"/>
  <c r="F38" i="67"/>
  <c r="F7" i="73"/>
  <c r="AB21" i="39" l="1"/>
  <c r="U21" i="39"/>
  <c r="AC5" i="3"/>
  <c r="S11" i="39"/>
  <c r="AA11" i="39"/>
  <c r="U37" i="40"/>
  <c r="AB37" i="40"/>
  <c r="AC27" i="40"/>
  <c r="W27" i="40"/>
  <c r="AB32" i="37"/>
  <c r="U32" i="37"/>
  <c r="W15" i="37"/>
  <c r="AC15" i="37"/>
  <c r="AB21" i="40"/>
  <c r="U21" i="40"/>
  <c r="AZ552" i="3"/>
  <c r="S25" i="35"/>
  <c r="AA25" i="35"/>
  <c r="AA17" i="34"/>
  <c r="S17" i="34"/>
  <c r="AC19" i="33"/>
  <c r="W19" i="33"/>
  <c r="AA41" i="33"/>
  <c r="S41" i="33"/>
  <c r="U23" i="34"/>
  <c r="AB23" i="34"/>
  <c r="AA37" i="34"/>
  <c r="S37" i="34"/>
  <c r="AA24" i="36"/>
  <c r="S24" i="36"/>
  <c r="U32" i="21"/>
  <c r="AZ325" i="3"/>
  <c r="W13" i="40"/>
  <c r="AC13" i="40"/>
  <c r="BA586" i="3"/>
  <c r="BA585" i="3"/>
  <c r="AB43" i="34"/>
  <c r="U43" i="34"/>
  <c r="J9" i="35"/>
  <c r="H9" i="35"/>
  <c r="U9" i="35" s="1"/>
  <c r="F9" i="35"/>
  <c r="S9" i="35" s="1"/>
  <c r="H34" i="36"/>
  <c r="F34" i="36"/>
  <c r="J34" i="36"/>
  <c r="W34" i="36" s="1"/>
  <c r="U29" i="36"/>
  <c r="AB29" i="36"/>
  <c r="H45" i="39"/>
  <c r="F45" i="39"/>
  <c r="J45" i="39"/>
  <c r="W45" i="39" s="1"/>
  <c r="AB9" i="40"/>
  <c r="U9" i="40"/>
  <c r="BL581" i="3"/>
  <c r="BA581" i="3"/>
  <c r="BL580" i="3"/>
  <c r="AZ580" i="3" s="1"/>
  <c r="BA579" i="3"/>
  <c r="BL578" i="3"/>
  <c r="BA578" i="3"/>
  <c r="BA577" i="3"/>
  <c r="BL576" i="3"/>
  <c r="BA576" i="3"/>
  <c r="BL575" i="3"/>
  <c r="BA575" i="3"/>
  <c r="BL574" i="3"/>
  <c r="BA574" i="3"/>
  <c r="BA573" i="3"/>
  <c r="BA572" i="3"/>
  <c r="AZ572" i="3" s="1"/>
  <c r="BL570" i="3"/>
  <c r="BA570" i="3"/>
  <c r="BA569" i="3"/>
  <c r="BL568" i="3"/>
  <c r="BA568" i="3"/>
  <c r="BL567" i="3"/>
  <c r="BA567" i="3"/>
  <c r="BL566" i="3"/>
  <c r="BA566" i="3"/>
  <c r="AZ566" i="3" s="1"/>
  <c r="BA565" i="3"/>
  <c r="BL564" i="3"/>
  <c r="AZ564" i="3" s="1"/>
  <c r="BA563" i="3"/>
  <c r="AZ563" i="3" s="1"/>
  <c r="BL562" i="3"/>
  <c r="BA562" i="3"/>
  <c r="BL561" i="3"/>
  <c r="AZ561" i="3" s="1"/>
  <c r="BA561" i="3"/>
  <c r="BL560" i="3"/>
  <c r="BA560" i="3"/>
  <c r="BA559" i="3"/>
  <c r="BL558" i="3"/>
  <c r="BA558" i="3"/>
  <c r="AZ558" i="3" s="1"/>
  <c r="BA556" i="3"/>
  <c r="AZ556" i="3" s="1"/>
  <c r="BL555" i="3"/>
  <c r="BA555" i="3"/>
  <c r="BL554" i="3"/>
  <c r="BA554" i="3"/>
  <c r="BL552" i="3"/>
  <c r="BL551" i="3"/>
  <c r="BL549" i="3"/>
  <c r="AZ549" i="3" s="1"/>
  <c r="BA549" i="3"/>
  <c r="BA548" i="3"/>
  <c r="AZ542" i="3"/>
  <c r="AZ532" i="3"/>
  <c r="AZ506" i="3"/>
  <c r="BS5" i="3"/>
  <c r="BN5" i="3"/>
  <c r="G29" i="6" s="1"/>
  <c r="BI5" i="3"/>
  <c r="AZ498" i="3"/>
  <c r="BL497" i="3"/>
  <c r="BK5" i="3"/>
  <c r="BC5" i="3"/>
  <c r="BJ5" i="3"/>
  <c r="BF5" i="3"/>
  <c r="AA23" i="21"/>
  <c r="AB45" i="21"/>
  <c r="S37" i="21"/>
  <c r="W37" i="33"/>
  <c r="AC37" i="33"/>
  <c r="AZ373" i="3"/>
  <c r="AZ362" i="3"/>
  <c r="W36" i="40"/>
  <c r="AC36" i="40"/>
  <c r="AA31" i="40"/>
  <c r="S31" i="40"/>
  <c r="AC32" i="37"/>
  <c r="W32" i="37"/>
  <c r="U41" i="34"/>
  <c r="AB41" i="34"/>
  <c r="S22" i="36"/>
  <c r="AA22" i="36"/>
  <c r="S14" i="39"/>
  <c r="AA14" i="39"/>
  <c r="W25" i="36"/>
  <c r="AC25" i="36"/>
  <c r="W28" i="33"/>
  <c r="AC28" i="33"/>
  <c r="S14" i="21"/>
  <c r="AA14" i="21"/>
  <c r="S38" i="21"/>
  <c r="AA38" i="21"/>
  <c r="F77" i="33"/>
  <c r="G77" i="33" s="1"/>
  <c r="J15" i="33"/>
  <c r="AC15" i="33" s="1"/>
  <c r="F15" i="33"/>
  <c r="AA15" i="33" s="1"/>
  <c r="H15" i="33"/>
  <c r="AB15" i="33" s="1"/>
  <c r="J27" i="34"/>
  <c r="H27" i="34"/>
  <c r="AB27" i="34" s="1"/>
  <c r="U20" i="36"/>
  <c r="AB20" i="36"/>
  <c r="AZ509" i="3"/>
  <c r="BL559" i="3"/>
  <c r="AZ526" i="3"/>
  <c r="AZ534" i="3"/>
  <c r="AB29" i="34"/>
  <c r="U29" i="34"/>
  <c r="AB46" i="33"/>
  <c r="U46" i="33"/>
  <c r="S44" i="33"/>
  <c r="AA44" i="33"/>
  <c r="W29" i="37"/>
  <c r="AC29" i="37"/>
  <c r="AA11" i="40"/>
  <c r="S11" i="40"/>
  <c r="BM5" i="3"/>
  <c r="AZ334" i="3"/>
  <c r="AZ318" i="3"/>
  <c r="AZ389" i="3"/>
  <c r="AZ336" i="3"/>
  <c r="AZ310" i="3"/>
  <c r="AZ376" i="3"/>
  <c r="AZ327" i="3"/>
  <c r="AZ309" i="3"/>
  <c r="BL527" i="3"/>
  <c r="AZ527" i="3" s="1"/>
  <c r="BL547" i="3"/>
  <c r="AZ547" i="3" s="1"/>
  <c r="BL553" i="3"/>
  <c r="AZ553" i="3" s="1"/>
  <c r="BL573" i="3"/>
  <c r="BL579" i="3"/>
  <c r="BL557" i="3"/>
  <c r="H13" i="34"/>
  <c r="U13" i="34" s="1"/>
  <c r="F13" i="34"/>
  <c r="H31" i="34"/>
  <c r="J31" i="34"/>
  <c r="J47" i="34"/>
  <c r="H47" i="34"/>
  <c r="AC23" i="35"/>
  <c r="W23" i="35"/>
  <c r="H35" i="35"/>
  <c r="F35" i="35"/>
  <c r="J32" i="40"/>
  <c r="H32" i="40"/>
  <c r="I7" i="33"/>
  <c r="G7" i="33"/>
  <c r="E7" i="33"/>
  <c r="BE5" i="3"/>
  <c r="BO5" i="3"/>
  <c r="AZ377" i="3"/>
  <c r="AZ361" i="3"/>
  <c r="AZ347" i="3"/>
  <c r="AZ375" i="3"/>
  <c r="BL503" i="3"/>
  <c r="AZ503" i="3" s="1"/>
  <c r="BL535" i="3"/>
  <c r="BL569" i="3"/>
  <c r="AZ569" i="3" s="1"/>
  <c r="AB30" i="21"/>
  <c r="S14" i="33"/>
  <c r="AA14" i="33"/>
  <c r="AC44" i="21"/>
  <c r="W44" i="21"/>
  <c r="S44" i="34"/>
  <c r="AA44" i="34"/>
  <c r="W36" i="34"/>
  <c r="AC36" i="34"/>
  <c r="AA41" i="21"/>
  <c r="S40" i="21"/>
  <c r="AA40" i="21"/>
  <c r="BL546" i="3"/>
  <c r="BL545" i="3"/>
  <c r="BA545" i="3"/>
  <c r="BA544" i="3"/>
  <c r="AZ544" i="3" s="1"/>
  <c r="BL541" i="3"/>
  <c r="AZ541" i="3" s="1"/>
  <c r="BA541" i="3"/>
  <c r="BL540" i="3"/>
  <c r="BL538" i="3"/>
  <c r="BA538" i="3"/>
  <c r="AZ538" i="3" s="1"/>
  <c r="BA537" i="3"/>
  <c r="BA536" i="3"/>
  <c r="AZ536" i="3" s="1"/>
  <c r="BA534" i="3"/>
  <c r="BA533" i="3"/>
  <c r="AZ533" i="3" s="1"/>
  <c r="BL530" i="3"/>
  <c r="AZ530" i="3" s="1"/>
  <c r="BL529" i="3"/>
  <c r="BA529" i="3"/>
  <c r="BA528" i="3"/>
  <c r="BA525" i="3"/>
  <c r="AZ525" i="3" s="1"/>
  <c r="BA524" i="3"/>
  <c r="AZ524" i="3" s="1"/>
  <c r="BL522" i="3"/>
  <c r="AZ522" i="3" s="1"/>
  <c r="BA520" i="3"/>
  <c r="AZ520" i="3" s="1"/>
  <c r="BA519" i="3"/>
  <c r="BL518" i="3"/>
  <c r="AZ518" i="3" s="1"/>
  <c r="BA516" i="3"/>
  <c r="AZ516" i="3" s="1"/>
  <c r="BA515" i="3"/>
  <c r="AZ515" i="3" s="1"/>
  <c r="BL512" i="3"/>
  <c r="BA512" i="3"/>
  <c r="BA511" i="3"/>
  <c r="BL510" i="3"/>
  <c r="AZ510" i="3" s="1"/>
  <c r="BA508" i="3"/>
  <c r="AZ508" i="3" s="1"/>
  <c r="BA505" i="3"/>
  <c r="AZ505" i="3" s="1"/>
  <c r="BA504" i="3"/>
  <c r="AZ504" i="3" s="1"/>
  <c r="BL502" i="3"/>
  <c r="BL501" i="3"/>
  <c r="BA501" i="3"/>
  <c r="AZ501" i="3" s="1"/>
  <c r="BL500" i="3"/>
  <c r="BA500" i="3"/>
  <c r="AZ500" i="3" s="1"/>
  <c r="BA497" i="3"/>
  <c r="BA496" i="3"/>
  <c r="AZ496" i="3" s="1"/>
  <c r="G496" i="3"/>
  <c r="H5" i="3"/>
  <c r="BL494" i="3"/>
  <c r="AZ494" i="3" s="1"/>
  <c r="BA493" i="3"/>
  <c r="AZ493" i="3" s="1"/>
  <c r="AZ17" i="3"/>
  <c r="M54" i="43"/>
  <c r="N54" i="43" s="1"/>
  <c r="K54" i="43"/>
  <c r="BB5" i="3"/>
  <c r="AZ342" i="3"/>
  <c r="AZ337" i="3"/>
  <c r="AZ156" i="3"/>
  <c r="BL499" i="3"/>
  <c r="AZ499" i="3" s="1"/>
  <c r="BL511" i="3"/>
  <c r="BL539" i="3"/>
  <c r="AZ539" i="3" s="1"/>
  <c r="BL565" i="3"/>
  <c r="W44" i="33"/>
  <c r="AC44" i="33"/>
  <c r="U46" i="34"/>
  <c r="AB46" i="34"/>
  <c r="H13" i="21"/>
  <c r="J13" i="21"/>
  <c r="J29" i="21"/>
  <c r="W29" i="21" s="1"/>
  <c r="H29" i="21"/>
  <c r="J45" i="21"/>
  <c r="F45" i="21"/>
  <c r="B97" i="43"/>
  <c r="B75" i="43"/>
  <c r="AC39" i="33"/>
  <c r="W39" i="33"/>
  <c r="U12" i="36"/>
  <c r="AB12" i="36"/>
  <c r="S34" i="37"/>
  <c r="AA34" i="37"/>
  <c r="AA31" i="35"/>
  <c r="S31" i="35"/>
  <c r="H35" i="39"/>
  <c r="F35" i="39"/>
  <c r="BL584" i="3"/>
  <c r="AZ584" i="3" s="1"/>
  <c r="BA582" i="3"/>
  <c r="AZ582" i="3" s="1"/>
  <c r="BL495" i="3"/>
  <c r="BL519" i="3"/>
  <c r="BL521" i="3"/>
  <c r="AZ521" i="3" s="1"/>
  <c r="BL523" i="3"/>
  <c r="AZ523" i="3" s="1"/>
  <c r="BL577" i="3"/>
  <c r="AZ577" i="3" s="1"/>
  <c r="BL583" i="3"/>
  <c r="G556" i="3"/>
  <c r="AC11" i="40"/>
  <c r="U34" i="35"/>
  <c r="G14" i="3"/>
  <c r="BL400" i="3"/>
  <c r="BA419" i="3"/>
  <c r="AZ419" i="3" s="1"/>
  <c r="G425" i="3"/>
  <c r="BA425" i="3"/>
  <c r="BA426" i="3"/>
  <c r="BA427" i="3"/>
  <c r="AZ427" i="3" s="1"/>
  <c r="G430" i="3"/>
  <c r="BL430" i="3"/>
  <c r="BL443" i="3"/>
  <c r="G458" i="3"/>
  <c r="BA465" i="3"/>
  <c r="AZ465" i="3" s="1"/>
  <c r="BA478" i="3"/>
  <c r="BL484" i="3"/>
  <c r="G489" i="3"/>
  <c r="BA489" i="3"/>
  <c r="BL316" i="3"/>
  <c r="BL383" i="3"/>
  <c r="AZ383" i="3" s="1"/>
  <c r="BA392" i="3"/>
  <c r="AZ392" i="3" s="1"/>
  <c r="BL211" i="3"/>
  <c r="BA214" i="3"/>
  <c r="BA225" i="3"/>
  <c r="BA247" i="3"/>
  <c r="BL247" i="3"/>
  <c r="BA251" i="3"/>
  <c r="BL251" i="3"/>
  <c r="BL259" i="3"/>
  <c r="BL267" i="3"/>
  <c r="BA269" i="3"/>
  <c r="AZ269" i="3" s="1"/>
  <c r="G574" i="3"/>
  <c r="E5" i="6"/>
  <c r="BD5" i="3"/>
  <c r="B14" i="74"/>
  <c r="D33" i="43"/>
  <c r="D1" i="43" s="1"/>
  <c r="AH6" i="1"/>
  <c r="BL13" i="3"/>
  <c r="A24" i="51"/>
  <c r="B18" i="72" s="1"/>
  <c r="G400" i="3"/>
  <c r="BA402" i="3"/>
  <c r="AZ402" i="3" s="1"/>
  <c r="G407" i="3"/>
  <c r="G408" i="3"/>
  <c r="BL408" i="3"/>
  <c r="BL412" i="3"/>
  <c r="BA413" i="3"/>
  <c r="AZ413" i="3" s="1"/>
  <c r="G417" i="3"/>
  <c r="BL417" i="3"/>
  <c r="BL418" i="3"/>
  <c r="BL420" i="3"/>
  <c r="G422" i="3"/>
  <c r="G423" i="3"/>
  <c r="BA424" i="3"/>
  <c r="G428" i="3"/>
  <c r="BL431" i="3"/>
  <c r="G433" i="3"/>
  <c r="BL440" i="3"/>
  <c r="G442" i="3"/>
  <c r="G443" i="3"/>
  <c r="BA445" i="3"/>
  <c r="BA447" i="3"/>
  <c r="AZ447" i="3" s="1"/>
  <c r="BA451" i="3"/>
  <c r="BL455" i="3"/>
  <c r="G465" i="3"/>
  <c r="BA467" i="3"/>
  <c r="BA468" i="3"/>
  <c r="G470" i="3"/>
  <c r="G471" i="3"/>
  <c r="BL471" i="3"/>
  <c r="BA477" i="3"/>
  <c r="BA481" i="3"/>
  <c r="G484" i="3"/>
  <c r="BA487" i="3"/>
  <c r="AZ487" i="3" s="1"/>
  <c r="BL490" i="3"/>
  <c r="G318" i="3"/>
  <c r="BL340" i="3"/>
  <c r="AZ340" i="3" s="1"/>
  <c r="G343" i="3"/>
  <c r="G347" i="3"/>
  <c r="BA348" i="3"/>
  <c r="BA350" i="3"/>
  <c r="AZ350" i="3" s="1"/>
  <c r="BA354" i="3"/>
  <c r="BL381" i="3"/>
  <c r="AZ381" i="3" s="1"/>
  <c r="BA212" i="3"/>
  <c r="BL216" i="3"/>
  <c r="G218" i="3"/>
  <c r="BL222" i="3"/>
  <c r="G223" i="3"/>
  <c r="BL227" i="3"/>
  <c r="G229" i="3"/>
  <c r="G236" i="3"/>
  <c r="BA241" i="3"/>
  <c r="BL241" i="3"/>
  <c r="G249" i="3"/>
  <c r="BA250" i="3"/>
  <c r="G253" i="3"/>
  <c r="BL254" i="3"/>
  <c r="C64" i="71"/>
  <c r="D63" i="71"/>
  <c r="BL399" i="3"/>
  <c r="BA400" i="3"/>
  <c r="AZ400" i="3" s="1"/>
  <c r="BA406" i="3"/>
  <c r="AZ406" i="3" s="1"/>
  <c r="BA407" i="3"/>
  <c r="BL409" i="3"/>
  <c r="G411" i="3"/>
  <c r="BL411" i="3"/>
  <c r="BL416" i="3"/>
  <c r="G420" i="3"/>
  <c r="G426" i="3"/>
  <c r="G431" i="3"/>
  <c r="BA437" i="3"/>
  <c r="BA438" i="3"/>
  <c r="BL462" i="3"/>
  <c r="AZ462" i="3" s="1"/>
  <c r="BA466" i="3"/>
  <c r="BA476" i="3"/>
  <c r="BA480" i="3"/>
  <c r="BA488" i="3"/>
  <c r="AZ488" i="3" s="1"/>
  <c r="BA491" i="3"/>
  <c r="BA331" i="3"/>
  <c r="AZ331" i="3" s="1"/>
  <c r="BA335" i="3"/>
  <c r="AZ335" i="3" s="1"/>
  <c r="BA339" i="3"/>
  <c r="AZ339" i="3" s="1"/>
  <c r="BL359" i="3"/>
  <c r="AZ359" i="3" s="1"/>
  <c r="BL367" i="3"/>
  <c r="BL375" i="3"/>
  <c r="BA385" i="3"/>
  <c r="BL386" i="3"/>
  <c r="G392" i="3"/>
  <c r="BL395" i="3"/>
  <c r="G396" i="3"/>
  <c r="BA397" i="3"/>
  <c r="BL397" i="3"/>
  <c r="BL214" i="3"/>
  <c r="G216" i="3"/>
  <c r="BL225" i="3"/>
  <c r="BL226" i="3"/>
  <c r="G227" i="3"/>
  <c r="G234" i="3"/>
  <c r="BA240" i="3"/>
  <c r="BL242" i="3"/>
  <c r="G243" i="3"/>
  <c r="BA249" i="3"/>
  <c r="AZ249" i="3" s="1"/>
  <c r="BL249" i="3"/>
  <c r="BL252" i="3"/>
  <c r="BA253" i="3"/>
  <c r="BA270" i="3"/>
  <c r="G283" i="3"/>
  <c r="C44" i="71"/>
  <c r="D43" i="71"/>
  <c r="D59" i="71"/>
  <c r="C60" i="71"/>
  <c r="BL289" i="3"/>
  <c r="G291" i="3"/>
  <c r="BL141" i="3"/>
  <c r="BA174" i="3"/>
  <c r="BL181" i="3"/>
  <c r="BL186" i="3"/>
  <c r="G187" i="3"/>
  <c r="BL198" i="3"/>
  <c r="G204" i="3"/>
  <c r="G205" i="3"/>
  <c r="BA22" i="3"/>
  <c r="BA30" i="3"/>
  <c r="BL30" i="3"/>
  <c r="BL31" i="3"/>
  <c r="BA40" i="3"/>
  <c r="BL40" i="3"/>
  <c r="BL41" i="3"/>
  <c r="BA48" i="3"/>
  <c r="BA49" i="3"/>
  <c r="G53" i="3"/>
  <c r="G68" i="3"/>
  <c r="G73" i="3"/>
  <c r="G78" i="3"/>
  <c r="BL79" i="3"/>
  <c r="G82" i="3"/>
  <c r="G83" i="3"/>
  <c r="G87" i="3"/>
  <c r="BL91" i="3"/>
  <c r="G95" i="3"/>
  <c r="BL99" i="3"/>
  <c r="BA105" i="3"/>
  <c r="G108" i="3"/>
  <c r="C78" i="71"/>
  <c r="D78" i="71" s="1"/>
  <c r="D75" i="71"/>
  <c r="AB27" i="71"/>
  <c r="E75" i="71"/>
  <c r="E74" i="71" s="1"/>
  <c r="C71" i="71"/>
  <c r="O68" i="71"/>
  <c r="AB25" i="71"/>
  <c r="C38" i="71"/>
  <c r="D38" i="71" s="1"/>
  <c r="Y26" i="71"/>
  <c r="Z26" i="71" s="1"/>
  <c r="Y35" i="71"/>
  <c r="Z35" i="71" s="1"/>
  <c r="X35" i="71"/>
  <c r="AB37" i="71"/>
  <c r="AA38" i="71"/>
  <c r="B43" i="71"/>
  <c r="B44" i="71" s="1"/>
  <c r="S44" i="71" s="1"/>
  <c r="B63" i="71"/>
  <c r="B64" i="71" s="1"/>
  <c r="S64" i="71" s="1"/>
  <c r="BA301" i="3"/>
  <c r="BA132" i="3"/>
  <c r="AZ132" i="3" s="1"/>
  <c r="BL133" i="3"/>
  <c r="BL135" i="3"/>
  <c r="AZ135" i="3" s="1"/>
  <c r="BA157" i="3"/>
  <c r="BL166" i="3"/>
  <c r="BA173" i="3"/>
  <c r="AZ173" i="3" s="1"/>
  <c r="BA177" i="3"/>
  <c r="BA182" i="3"/>
  <c r="BL185" i="3"/>
  <c r="BA47" i="3"/>
  <c r="BA62" i="3"/>
  <c r="BA63" i="3"/>
  <c r="BA67" i="3"/>
  <c r="BA72" i="3"/>
  <c r="BA78" i="3"/>
  <c r="BA88" i="3"/>
  <c r="BA89" i="3"/>
  <c r="BA94" i="3"/>
  <c r="BA98" i="3"/>
  <c r="BL103" i="3"/>
  <c r="BA104" i="3"/>
  <c r="BL110" i="3"/>
  <c r="C40" i="68"/>
  <c r="W18" i="36"/>
  <c r="S18" i="36"/>
  <c r="O67" i="71"/>
  <c r="E67" i="71"/>
  <c r="X34" i="71"/>
  <c r="AA34" i="71"/>
  <c r="X36" i="71"/>
  <c r="BL266" i="3"/>
  <c r="G269" i="3"/>
  <c r="G276" i="3"/>
  <c r="BA277" i="3"/>
  <c r="AZ277" i="3" s="1"/>
  <c r="BL277" i="3"/>
  <c r="BL280" i="3"/>
  <c r="BA281" i="3"/>
  <c r="BA286" i="3"/>
  <c r="G289" i="3"/>
  <c r="G295" i="3"/>
  <c r="BA120" i="3"/>
  <c r="AZ120" i="3" s="1"/>
  <c r="BA126" i="3"/>
  <c r="G135" i="3"/>
  <c r="BA145" i="3"/>
  <c r="BL146" i="3"/>
  <c r="G147" i="3"/>
  <c r="BA156" i="3"/>
  <c r="BL157" i="3"/>
  <c r="BL159" i="3"/>
  <c r="AZ159" i="3" s="1"/>
  <c r="G160" i="3"/>
  <c r="BL170" i="3"/>
  <c r="G171" i="3"/>
  <c r="BL179" i="3"/>
  <c r="AZ179" i="3" s="1"/>
  <c r="G180" i="3"/>
  <c r="BA181" i="3"/>
  <c r="AZ181" i="3" s="1"/>
  <c r="BA194" i="3"/>
  <c r="AZ194" i="3" s="1"/>
  <c r="BL194" i="3"/>
  <c r="BA198" i="3"/>
  <c r="AZ198" i="3" s="1"/>
  <c r="G206" i="3"/>
  <c r="BL206" i="3"/>
  <c r="G21" i="3"/>
  <c r="BL24" i="3"/>
  <c r="G25" i="3"/>
  <c r="G29" i="3"/>
  <c r="BL34" i="3"/>
  <c r="G35" i="3"/>
  <c r="G39" i="3"/>
  <c r="BL44" i="3"/>
  <c r="G45" i="3"/>
  <c r="BL45" i="3"/>
  <c r="BA50" i="3"/>
  <c r="G56" i="3"/>
  <c r="BL56" i="3"/>
  <c r="BA58" i="3"/>
  <c r="BL59" i="3"/>
  <c r="BL60" i="3"/>
  <c r="BA61" i="3"/>
  <c r="G69" i="3"/>
  <c r="G70" i="3"/>
  <c r="G71" i="3"/>
  <c r="G74" i="3"/>
  <c r="G75" i="3"/>
  <c r="BL86" i="3"/>
  <c r="G90" i="3"/>
  <c r="BL93" i="3"/>
  <c r="G98" i="3"/>
  <c r="G102" i="3"/>
  <c r="G103" i="3"/>
  <c r="BA103" i="3"/>
  <c r="BA109" i="3"/>
  <c r="G110" i="3"/>
  <c r="AC21" i="21"/>
  <c r="AA18" i="35"/>
  <c r="BA284" i="3"/>
  <c r="G294" i="3"/>
  <c r="G116" i="3"/>
  <c r="BA125" i="3"/>
  <c r="BL127" i="3"/>
  <c r="AZ127" i="3" s="1"/>
  <c r="G128" i="3"/>
  <c r="BA129" i="3"/>
  <c r="G146" i="3"/>
  <c r="G159" i="3"/>
  <c r="BL163" i="3"/>
  <c r="AZ163" i="3" s="1"/>
  <c r="BA201" i="3"/>
  <c r="BL205" i="3"/>
  <c r="BL23" i="3"/>
  <c r="C21" i="68"/>
  <c r="AA3" i="71"/>
  <c r="C83" i="71"/>
  <c r="X26" i="71"/>
  <c r="X38" i="71"/>
  <c r="C31" i="71"/>
  <c r="S33" i="33"/>
  <c r="U40" i="33"/>
  <c r="AA40" i="33"/>
  <c r="I111" i="33"/>
  <c r="J111" i="33" s="1"/>
  <c r="K111" i="33" s="1"/>
  <c r="L111" i="33" s="1"/>
  <c r="M111" i="33" s="1"/>
  <c r="AA36" i="33"/>
  <c r="U36" i="33"/>
  <c r="W36" i="33"/>
  <c r="U29" i="33"/>
  <c r="AB29" i="33"/>
  <c r="F29" i="33"/>
  <c r="AC27" i="33"/>
  <c r="U39" i="33"/>
  <c r="S42" i="33"/>
  <c r="U42" i="33"/>
  <c r="W42" i="33"/>
  <c r="U37" i="33"/>
  <c r="U35" i="33"/>
  <c r="U33" i="33"/>
  <c r="W32" i="33"/>
  <c r="S32" i="33"/>
  <c r="U32" i="33"/>
  <c r="S28" i="33"/>
  <c r="AB27" i="33"/>
  <c r="S27" i="33"/>
  <c r="W26" i="33"/>
  <c r="AB26" i="33"/>
  <c r="S26" i="33"/>
  <c r="S25" i="33"/>
  <c r="U25" i="33"/>
  <c r="W25" i="33"/>
  <c r="AA19" i="33"/>
  <c r="AB19" i="33"/>
  <c r="W15" i="33"/>
  <c r="U15" i="33"/>
  <c r="S15" i="33"/>
  <c r="J13" i="33"/>
  <c r="AB14" i="33"/>
  <c r="H11" i="33"/>
  <c r="AB11" i="33" s="1"/>
  <c r="F11" i="33"/>
  <c r="AA11" i="33" s="1"/>
  <c r="AC11" i="33"/>
  <c r="U9" i="33"/>
  <c r="W8" i="33"/>
  <c r="F34" i="15"/>
  <c r="F62" i="15" s="1"/>
  <c r="M20" i="67"/>
  <c r="B41" i="1"/>
  <c r="D68" i="9"/>
  <c r="F30" i="69"/>
  <c r="F48" i="69" s="1"/>
  <c r="F31" i="12"/>
  <c r="F28" i="15"/>
  <c r="C28" i="15" s="1"/>
  <c r="F32" i="67"/>
  <c r="F60" i="67" s="1"/>
  <c r="F28" i="67"/>
  <c r="M18" i="15"/>
  <c r="M18" i="67"/>
  <c r="F30" i="11"/>
  <c r="C48" i="11" s="1"/>
  <c r="D93" i="9"/>
  <c r="C40" i="69"/>
  <c r="C40" i="11"/>
  <c r="D23" i="15"/>
  <c r="BA13" i="3"/>
  <c r="BT5" i="3"/>
  <c r="AA17" i="33"/>
  <c r="U23" i="21"/>
  <c r="AC23" i="37"/>
  <c r="AC17" i="33"/>
  <c r="AB23" i="33"/>
  <c r="W33" i="34"/>
  <c r="AA43" i="34"/>
  <c r="S43" i="34"/>
  <c r="S35" i="33"/>
  <c r="AA35" i="33"/>
  <c r="AA13" i="21"/>
  <c r="S13" i="21"/>
  <c r="AC17" i="21"/>
  <c r="AB25" i="39"/>
  <c r="U25" i="39"/>
  <c r="AA20" i="35"/>
  <c r="S20" i="35"/>
  <c r="U35" i="37"/>
  <c r="AB35" i="37"/>
  <c r="AC29" i="21"/>
  <c r="U25" i="37"/>
  <c r="AB25" i="37"/>
  <c r="U32" i="39"/>
  <c r="AC9" i="21"/>
  <c r="S23" i="39"/>
  <c r="S19" i="37"/>
  <c r="AA19" i="37"/>
  <c r="AZ579" i="3"/>
  <c r="F25" i="37"/>
  <c r="AB9" i="39"/>
  <c r="U9" i="39"/>
  <c r="AC40" i="39"/>
  <c r="W40" i="39"/>
  <c r="S9" i="40"/>
  <c r="AA34" i="40"/>
  <c r="S34" i="40"/>
  <c r="G566" i="3"/>
  <c r="G558" i="3"/>
  <c r="AZ387" i="3"/>
  <c r="AZ338" i="3"/>
  <c r="AZ371" i="3"/>
  <c r="AZ305" i="3"/>
  <c r="AZ360" i="3"/>
  <c r="AZ529" i="3"/>
  <c r="AZ537" i="3"/>
  <c r="AZ546" i="3"/>
  <c r="AZ585" i="3"/>
  <c r="AA29" i="35"/>
  <c r="BL585" i="3"/>
  <c r="AC33" i="33"/>
  <c r="W33" i="33"/>
  <c r="F9" i="34"/>
  <c r="AA9" i="34" s="1"/>
  <c r="J9" i="34"/>
  <c r="H9" i="34"/>
  <c r="J12" i="34"/>
  <c r="H12" i="34"/>
  <c r="F12" i="34"/>
  <c r="S12" i="34" s="1"/>
  <c r="AB34" i="40"/>
  <c r="U34" i="40"/>
  <c r="J39" i="40"/>
  <c r="H39" i="40"/>
  <c r="AB34" i="33"/>
  <c r="U28" i="34"/>
  <c r="W41" i="34"/>
  <c r="AZ14" i="3"/>
  <c r="AZ391" i="3"/>
  <c r="AZ364" i="3"/>
  <c r="AZ329" i="3"/>
  <c r="AZ304" i="3"/>
  <c r="AZ306" i="3"/>
  <c r="W35" i="40"/>
  <c r="AA13" i="33"/>
  <c r="AZ535" i="3"/>
  <c r="AZ557" i="3"/>
  <c r="AZ513" i="3"/>
  <c r="AZ575" i="3"/>
  <c r="AZ528" i="3"/>
  <c r="AZ574" i="3"/>
  <c r="AZ540" i="3"/>
  <c r="AZ502" i="3"/>
  <c r="S28" i="34"/>
  <c r="S38" i="39"/>
  <c r="J36" i="39"/>
  <c r="AC36" i="39" s="1"/>
  <c r="H12" i="33"/>
  <c r="U12" i="33" s="1"/>
  <c r="AC40" i="33"/>
  <c r="W40" i="33"/>
  <c r="AC8" i="34"/>
  <c r="W8" i="34"/>
  <c r="J37" i="39"/>
  <c r="F37" i="39"/>
  <c r="BA551" i="3"/>
  <c r="AZ551" i="3" s="1"/>
  <c r="BA550" i="3"/>
  <c r="BL548" i="3"/>
  <c r="AZ548" i="3" s="1"/>
  <c r="S39" i="33"/>
  <c r="U27" i="34"/>
  <c r="AB17" i="37"/>
  <c r="S43" i="39"/>
  <c r="AZ357" i="3"/>
  <c r="AZ322" i="3"/>
  <c r="AZ313" i="3"/>
  <c r="AZ394" i="3"/>
  <c r="S14" i="40"/>
  <c r="AA25" i="21"/>
  <c r="AZ519" i="3"/>
  <c r="AZ531" i="3"/>
  <c r="AZ573" i="3"/>
  <c r="AZ583" i="3"/>
  <c r="AZ568" i="3"/>
  <c r="AZ576" i="3"/>
  <c r="AA14" i="34"/>
  <c r="AB8" i="39"/>
  <c r="W31" i="40"/>
  <c r="H36" i="39"/>
  <c r="AA27" i="35"/>
  <c r="S27" i="35"/>
  <c r="H23" i="36"/>
  <c r="J23" i="36"/>
  <c r="J33" i="36"/>
  <c r="AC33" i="36" s="1"/>
  <c r="F33" i="36"/>
  <c r="H31" i="39"/>
  <c r="J31" i="39"/>
  <c r="AA38" i="40"/>
  <c r="BL424" i="3"/>
  <c r="AZ424" i="3" s="1"/>
  <c r="BL428" i="3"/>
  <c r="BL429" i="3"/>
  <c r="BA432" i="3"/>
  <c r="BL438" i="3"/>
  <c r="BL439" i="3"/>
  <c r="BA441" i="3"/>
  <c r="AZ441" i="3" s="1"/>
  <c r="B79" i="43"/>
  <c r="H23" i="35"/>
  <c r="G551" i="3"/>
  <c r="BL550" i="3"/>
  <c r="G542" i="3"/>
  <c r="BL398" i="3"/>
  <c r="G402" i="3"/>
  <c r="BL403" i="3"/>
  <c r="G405" i="3"/>
  <c r="G406" i="3"/>
  <c r="BA408" i="3"/>
  <c r="AZ408" i="3" s="1"/>
  <c r="BA409" i="3"/>
  <c r="AZ409" i="3" s="1"/>
  <c r="BA411" i="3"/>
  <c r="AZ411" i="3" s="1"/>
  <c r="BL414" i="3"/>
  <c r="BL415" i="3"/>
  <c r="BA417" i="3"/>
  <c r="AZ417" i="3" s="1"/>
  <c r="BL421" i="3"/>
  <c r="BL422" i="3"/>
  <c r="BL425" i="3"/>
  <c r="AZ425" i="3" s="1"/>
  <c r="BL426" i="3"/>
  <c r="BA428" i="3"/>
  <c r="BA429" i="3"/>
  <c r="BA430" i="3"/>
  <c r="AZ430" i="3" s="1"/>
  <c r="BL433" i="3"/>
  <c r="BL434" i="3"/>
  <c r="G436" i="3"/>
  <c r="BA439" i="3"/>
  <c r="BA440" i="3"/>
  <c r="AZ440" i="3" s="1"/>
  <c r="BA442" i="3"/>
  <c r="BA446" i="3"/>
  <c r="G449" i="3"/>
  <c r="BL449" i="3"/>
  <c r="BL450" i="3"/>
  <c r="BL469" i="3"/>
  <c r="AZ469" i="3" s="1"/>
  <c r="BA485" i="3"/>
  <c r="G490" i="3"/>
  <c r="G585" i="3"/>
  <c r="BL587" i="3"/>
  <c r="AZ587" i="3" s="1"/>
  <c r="BL586" i="3"/>
  <c r="AZ586" i="3" s="1"/>
  <c r="BL15" i="3"/>
  <c r="AZ15" i="3" s="1"/>
  <c r="BA398" i="3"/>
  <c r="BA399" i="3"/>
  <c r="AZ399" i="3" s="1"/>
  <c r="BL401" i="3"/>
  <c r="BL404" i="3"/>
  <c r="BL405" i="3"/>
  <c r="BL407" i="3"/>
  <c r="AZ407" i="3" s="1"/>
  <c r="BA412" i="3"/>
  <c r="AZ412" i="3" s="1"/>
  <c r="BA414" i="3"/>
  <c r="BA415" i="3"/>
  <c r="BA416" i="3"/>
  <c r="AZ416" i="3" s="1"/>
  <c r="BA418" i="3"/>
  <c r="AZ418" i="3" s="1"/>
  <c r="BA421" i="3"/>
  <c r="AZ443" i="3"/>
  <c r="BL16" i="3"/>
  <c r="AZ16" i="3" s="1"/>
  <c r="BA401" i="3"/>
  <c r="BA403" i="3"/>
  <c r="BA404" i="3"/>
  <c r="AZ404" i="3" s="1"/>
  <c r="BA405" i="3"/>
  <c r="AZ405" i="3" s="1"/>
  <c r="G409" i="3"/>
  <c r="BL410" i="3"/>
  <c r="G412" i="3"/>
  <c r="G418" i="3"/>
  <c r="G419" i="3"/>
  <c r="BA422" i="3"/>
  <c r="AZ422" i="3" s="1"/>
  <c r="G429" i="3"/>
  <c r="BL432" i="3"/>
  <c r="BA434" i="3"/>
  <c r="BA436" i="3"/>
  <c r="AZ436" i="3" s="1"/>
  <c r="G445" i="3"/>
  <c r="BL445" i="3"/>
  <c r="AZ445" i="3" s="1"/>
  <c r="BL446" i="3"/>
  <c r="BL451" i="3"/>
  <c r="AZ451" i="3" s="1"/>
  <c r="G456" i="3"/>
  <c r="AZ458" i="3"/>
  <c r="BA463" i="3"/>
  <c r="G467" i="3"/>
  <c r="G477" i="3"/>
  <c r="G481" i="3"/>
  <c r="G492" i="3"/>
  <c r="BA244" i="3"/>
  <c r="AZ244" i="3" s="1"/>
  <c r="BL244" i="3"/>
  <c r="BA246" i="3"/>
  <c r="BA252" i="3"/>
  <c r="AZ252" i="3" s="1"/>
  <c r="BA254" i="3"/>
  <c r="AZ254" i="3" s="1"/>
  <c r="BA256" i="3"/>
  <c r="BL256" i="3"/>
  <c r="BA258" i="3"/>
  <c r="BL264" i="3"/>
  <c r="BA267" i="3"/>
  <c r="AZ267" i="3" s="1"/>
  <c r="BA274" i="3"/>
  <c r="AZ274" i="3" s="1"/>
  <c r="BL274" i="3"/>
  <c r="BL278" i="3"/>
  <c r="BA279" i="3"/>
  <c r="BA116" i="3"/>
  <c r="AZ116" i="3" s="1"/>
  <c r="BA121" i="3"/>
  <c r="BL121"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AZ263" i="3" s="1"/>
  <c r="G268" i="3"/>
  <c r="BA271" i="3"/>
  <c r="BL271" i="3"/>
  <c r="G281" i="3"/>
  <c r="BA282" i="3"/>
  <c r="BL282" i="3"/>
  <c r="BA288" i="3"/>
  <c r="BL290" i="3"/>
  <c r="BL291" i="3"/>
  <c r="AZ291" i="3" s="1"/>
  <c r="BL293" i="3"/>
  <c r="BL294" i="3"/>
  <c r="BA297" i="3"/>
  <c r="BL297" i="3"/>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AZ478" i="3" s="1"/>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6" i="3"/>
  <c r="BA268" i="3"/>
  <c r="BA296" i="3"/>
  <c r="G299" i="3"/>
  <c r="BL300" i="3"/>
  <c r="BL122" i="3"/>
  <c r="BA134" i="3"/>
  <c r="BL452" i="3"/>
  <c r="AZ452" i="3" s="1"/>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AZ220" i="3" s="1"/>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76" i="3"/>
  <c r="AZ284" i="3"/>
  <c r="BL286" i="3"/>
  <c r="AZ286" i="3" s="1"/>
  <c r="BL298" i="3"/>
  <c r="BA117" i="3"/>
  <c r="BA124" i="3"/>
  <c r="AZ124" i="3" s="1"/>
  <c r="G127" i="3"/>
  <c r="BA133" i="3"/>
  <c r="AZ133" i="3" s="1"/>
  <c r="G136"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AZ49" i="3"/>
  <c r="D44" i="71"/>
  <c r="T44" i="71"/>
  <c r="C55" i="71"/>
  <c r="D54" i="71"/>
  <c r="BL177" i="3"/>
  <c r="AZ177" i="3" s="1"/>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L49" i="3"/>
  <c r="BL50" i="3"/>
  <c r="AZ50" i="3" s="1"/>
  <c r="BL51" i="3"/>
  <c r="AZ51" i="3" s="1"/>
  <c r="BL53" i="3"/>
  <c r="BA56" i="3"/>
  <c r="BA57" i="3"/>
  <c r="AZ57" i="3" s="1"/>
  <c r="BL58" i="3"/>
  <c r="AZ58" i="3" s="1"/>
  <c r="G60" i="3"/>
  <c r="BA60" i="3"/>
  <c r="G265" i="3"/>
  <c r="BL265" i="3"/>
  <c r="AZ265" i="3" s="1"/>
  <c r="G267" i="3"/>
  <c r="BA273" i="3"/>
  <c r="AZ273" i="3" s="1"/>
  <c r="BA278" i="3"/>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AZ134" i="3" s="1"/>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BA36" i="3"/>
  <c r="BL38" i="3"/>
  <c r="AZ38" i="3" s="1"/>
  <c r="BA39" i="3"/>
  <c r="BL47" i="3"/>
  <c r="AZ47" i="3" s="1"/>
  <c r="G49" i="3"/>
  <c r="G50" i="3"/>
  <c r="G52" i="3"/>
  <c r="BA52" i="3"/>
  <c r="AZ52" i="3" s="1"/>
  <c r="BA53" i="3"/>
  <c r="BA54" i="3"/>
  <c r="BL57" i="3"/>
  <c r="G59" i="3"/>
  <c r="G62" i="3"/>
  <c r="G63" i="3"/>
  <c r="BA65" i="3"/>
  <c r="BA66" i="3"/>
  <c r="AZ66" i="3" s="1"/>
  <c r="BA70" i="3"/>
  <c r="D31" i="71"/>
  <c r="C32" i="71"/>
  <c r="D50" i="71"/>
  <c r="C51" i="71"/>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G38" i="3"/>
  <c r="BA38" i="3"/>
  <c r="BA41" i="3"/>
  <c r="AZ41" i="3" s="1"/>
  <c r="BA42" i="3"/>
  <c r="G46" i="3"/>
  <c r="BL48" i="3"/>
  <c r="BL54" i="3"/>
  <c r="BL55" i="3"/>
  <c r="AZ55" i="3" s="1"/>
  <c r="G57" i="3"/>
  <c r="BA59" i="3"/>
  <c r="AZ59" i="3" s="1"/>
  <c r="G61" i="3"/>
  <c r="BL61" i="3"/>
  <c r="AZ61" i="3" s="1"/>
  <c r="BA68" i="3"/>
  <c r="D34" i="71"/>
  <c r="C35" i="71"/>
  <c r="F66" i="71"/>
  <c r="Q67" i="71"/>
  <c r="V24" i="71"/>
  <c r="E23" i="71"/>
  <c r="E22" i="71" s="1"/>
  <c r="E21" i="71" s="1"/>
  <c r="E20" i="71" s="1"/>
  <c r="E19" i="71" s="1"/>
  <c r="E18" i="71" s="1"/>
  <c r="E17" i="71" s="1"/>
  <c r="E16" i="71" s="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Y25" i="71"/>
  <c r="Z25" i="71" s="1"/>
  <c r="Y29" i="71"/>
  <c r="Z29" i="71" s="1"/>
  <c r="AB32" i="71"/>
  <c r="X33" i="71"/>
  <c r="BA73" i="3"/>
  <c r="AZ73" i="3" s="1"/>
  <c r="AZ103" i="3"/>
  <c r="C66" i="71"/>
  <c r="AA27" i="71"/>
  <c r="AB26" i="71"/>
  <c r="S28" i="71"/>
  <c r="C39" i="71"/>
  <c r="Y28" i="71"/>
  <c r="Z28" i="71" s="1"/>
  <c r="C28" i="71"/>
  <c r="Y30" i="71"/>
  <c r="Z30" i="71" s="1"/>
  <c r="X28" i="71"/>
  <c r="X32" i="71"/>
  <c r="F38" i="71"/>
  <c r="F39" i="71" s="1"/>
  <c r="F40" i="71" s="1"/>
  <c r="V40" i="71" s="1"/>
  <c r="AB38" i="71"/>
  <c r="AA39" i="71"/>
  <c r="F75" i="71"/>
  <c r="F74" i="71" s="1"/>
  <c r="B79" i="71"/>
  <c r="B78" i="71" s="1"/>
  <c r="BL77" i="3"/>
  <c r="AZ77" i="3" s="1"/>
  <c r="BA79" i="3"/>
  <c r="AZ79" i="3" s="1"/>
  <c r="BA84" i="3"/>
  <c r="AZ84" i="3" s="1"/>
  <c r="BL88" i="3"/>
  <c r="AZ88" i="3" s="1"/>
  <c r="BL90" i="3"/>
  <c r="BL92" i="3"/>
  <c r="G101" i="3"/>
  <c r="BA101" i="3"/>
  <c r="AZ101" i="3" s="1"/>
  <c r="G109" i="3"/>
  <c r="BL112" i="3"/>
  <c r="AB21" i="33"/>
  <c r="U25" i="40"/>
  <c r="S21" i="34"/>
  <c r="B68" i="43"/>
  <c r="B88" i="43"/>
  <c r="BL62" i="3"/>
  <c r="AZ62" i="3" s="1"/>
  <c r="BL63" i="3"/>
  <c r="AZ63" i="3" s="1"/>
  <c r="G65" i="3"/>
  <c r="BL65" i="3"/>
  <c r="BL66" i="3"/>
  <c r="BL67" i="3"/>
  <c r="AZ67" i="3" s="1"/>
  <c r="BL70" i="3"/>
  <c r="BL71" i="3"/>
  <c r="AZ71" i="3" s="1"/>
  <c r="BL72" i="3"/>
  <c r="AZ72" i="3" s="1"/>
  <c r="BL75" i="3"/>
  <c r="BL81" i="3"/>
  <c r="BA82" i="3"/>
  <c r="AZ82" i="3" s="1"/>
  <c r="BL83" i="3"/>
  <c r="G88" i="3"/>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9" i="3"/>
  <c r="AZ456" i="3"/>
  <c r="AZ468" i="3"/>
  <c r="AZ470" i="3"/>
  <c r="W35" i="39"/>
  <c r="F27" i="34"/>
  <c r="C21" i="39"/>
  <c r="U9" i="36"/>
  <c r="U14" i="37"/>
  <c r="H12" i="21"/>
  <c r="G526" i="3"/>
  <c r="AZ420" i="3"/>
  <c r="AZ434" i="3"/>
  <c r="AZ438" i="3"/>
  <c r="AZ446" i="3"/>
  <c r="AZ450" i="3"/>
  <c r="G28" i="6"/>
  <c r="G30" i="6" s="1"/>
  <c r="G31" i="6" s="1"/>
  <c r="U26" i="21"/>
  <c r="W36" i="39"/>
  <c r="U23" i="40"/>
  <c r="AA39" i="37"/>
  <c r="AC16" i="36"/>
  <c r="C27" i="39"/>
  <c r="U40" i="40"/>
  <c r="AC9" i="40"/>
  <c r="W36" i="35"/>
  <c r="J12" i="21"/>
  <c r="B73" i="43"/>
  <c r="B76" i="43"/>
  <c r="F9" i="36"/>
  <c r="J40" i="40"/>
  <c r="G562" i="3"/>
  <c r="AZ426" i="3"/>
  <c r="AZ463" i="3"/>
  <c r="AZ489" i="3"/>
  <c r="AZ385" i="3"/>
  <c r="AZ212"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G56" i="43" s="1"/>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G55" i="43" s="1"/>
  <c r="H86" i="43"/>
  <c r="H87" i="43"/>
  <c r="N370" i="46"/>
  <c r="N94" i="46"/>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F66" i="15"/>
  <c r="Q71" i="67"/>
  <c r="C27" i="67"/>
  <c r="F71" i="67"/>
  <c r="N59" i="67"/>
  <c r="L59" i="67"/>
  <c r="L58" i="67"/>
  <c r="M59" i="67"/>
  <c r="B13" i="70"/>
  <c r="F68" i="67"/>
  <c r="F64" i="67"/>
  <c r="F16" i="15"/>
  <c r="M9" i="15"/>
  <c r="L47" i="15"/>
  <c r="C36" i="68"/>
  <c r="J15" i="15"/>
  <c r="F36" i="15"/>
  <c r="F13" i="15"/>
  <c r="F37" i="15"/>
  <c r="M24" i="15"/>
  <c r="M26" i="15"/>
  <c r="C36" i="69"/>
  <c r="M6" i="15"/>
  <c r="F8" i="15"/>
  <c r="D7" i="73"/>
  <c r="L48" i="15"/>
  <c r="D5" i="73"/>
  <c r="F9" i="15"/>
  <c r="C16" i="67"/>
  <c r="F7" i="67"/>
  <c r="F40" i="15"/>
  <c r="F26" i="15"/>
  <c r="F7" i="15"/>
  <c r="D9" i="69"/>
  <c r="C76" i="15"/>
  <c r="F43" i="15"/>
  <c r="D4" i="73"/>
  <c r="D3" i="73"/>
  <c r="D9" i="68"/>
  <c r="F42" i="15"/>
  <c r="M7" i="67" l="1"/>
  <c r="J6" i="67" s="1"/>
  <c r="F50" i="67"/>
  <c r="F59" i="67" s="1"/>
  <c r="K56" i="43"/>
  <c r="M56" i="43"/>
  <c r="N56" i="43" s="1"/>
  <c r="AC32" i="40"/>
  <c r="W32" i="40"/>
  <c r="U45" i="39"/>
  <c r="AB45" i="39"/>
  <c r="S34" i="36"/>
  <c r="AA34" i="36"/>
  <c r="W9" i="35"/>
  <c r="AC9" i="35"/>
  <c r="K51" i="43"/>
  <c r="M51" i="43"/>
  <c r="N51" i="43" s="1"/>
  <c r="AZ288" i="3"/>
  <c r="AZ482" i="3"/>
  <c r="AZ271" i="3"/>
  <c r="AZ256" i="3"/>
  <c r="D83" i="71"/>
  <c r="C82" i="71"/>
  <c r="D82" i="71" s="1"/>
  <c r="D71" i="71"/>
  <c r="C70" i="71"/>
  <c r="D70" i="71" s="1"/>
  <c r="AZ241" i="3"/>
  <c r="AZ251" i="3"/>
  <c r="AZ214" i="3"/>
  <c r="S35" i="39"/>
  <c r="AA35" i="39"/>
  <c r="AA45" i="21"/>
  <c r="S45" i="21"/>
  <c r="AC13" i="21"/>
  <c r="W13" i="21"/>
  <c r="AZ511" i="3"/>
  <c r="J54" i="43"/>
  <c r="D54" i="43"/>
  <c r="AZ497" i="3"/>
  <c r="AZ512" i="3"/>
  <c r="AA35" i="35"/>
  <c r="S35" i="35"/>
  <c r="U47" i="34"/>
  <c r="AB47" i="34"/>
  <c r="AA13" i="34"/>
  <c r="S13" i="34"/>
  <c r="U34" i="36"/>
  <c r="AB34" i="36"/>
  <c r="M57" i="43"/>
  <c r="N57" i="43" s="1"/>
  <c r="K57" i="43"/>
  <c r="J57" i="43" s="1"/>
  <c r="D57" i="43" s="1"/>
  <c r="M58" i="43"/>
  <c r="N58" i="43" s="1"/>
  <c r="K58" i="43"/>
  <c r="J58" i="43" s="1"/>
  <c r="D58" i="43" s="1"/>
  <c r="M50" i="43"/>
  <c r="N50" i="43" s="1"/>
  <c r="K50" i="43"/>
  <c r="J50" i="43" s="1"/>
  <c r="AZ403" i="3"/>
  <c r="AZ429" i="3"/>
  <c r="AZ550" i="3"/>
  <c r="AZ157" i="3"/>
  <c r="AB35" i="39"/>
  <c r="U35" i="39"/>
  <c r="W45" i="21"/>
  <c r="AC45" i="21"/>
  <c r="AB13" i="21"/>
  <c r="U13" i="21"/>
  <c r="AC47" i="34"/>
  <c r="W47" i="34"/>
  <c r="AC27" i="34"/>
  <c r="W27" i="34"/>
  <c r="AZ559" i="3"/>
  <c r="M53" i="43"/>
  <c r="N53" i="43" s="1"/>
  <c r="K53" i="43"/>
  <c r="M52" i="43"/>
  <c r="N52" i="43" s="1"/>
  <c r="K52" i="43"/>
  <c r="M55" i="43"/>
  <c r="N55" i="43" s="1"/>
  <c r="K55" i="43"/>
  <c r="AZ113" i="3"/>
  <c r="AZ197" i="3"/>
  <c r="AZ297" i="3"/>
  <c r="AZ368" i="3"/>
  <c r="AZ353" i="3"/>
  <c r="AZ121" i="3"/>
  <c r="AZ414" i="3"/>
  <c r="AZ442" i="3"/>
  <c r="AZ428" i="3"/>
  <c r="P67" i="71"/>
  <c r="E66" i="71"/>
  <c r="T60" i="71"/>
  <c r="D60" i="71"/>
  <c r="AZ397" i="3"/>
  <c r="AZ247" i="3"/>
  <c r="U29" i="21"/>
  <c r="AB29" i="21"/>
  <c r="AB32" i="40"/>
  <c r="U32" i="40"/>
  <c r="W31" i="34"/>
  <c r="AC31" i="34"/>
  <c r="F29" i="6"/>
  <c r="E29" i="6" s="1"/>
  <c r="K15" i="1" s="1"/>
  <c r="AZ554" i="3"/>
  <c r="AZ560" i="3"/>
  <c r="AZ565" i="3"/>
  <c r="AZ570" i="3"/>
  <c r="S45" i="39"/>
  <c r="AA45" i="39"/>
  <c r="AB36" i="33"/>
  <c r="S36" i="33"/>
  <c r="S29" i="33"/>
  <c r="AA29" i="33"/>
  <c r="U11" i="33"/>
  <c r="S11" i="33"/>
  <c r="W13" i="33"/>
  <c r="AC13" i="33"/>
  <c r="F48" i="9"/>
  <c r="O52" i="9" s="1"/>
  <c r="F32" i="15"/>
  <c r="F60" i="15" s="1"/>
  <c r="F54" i="9"/>
  <c r="F52" i="9"/>
  <c r="F30" i="68"/>
  <c r="G26" i="43"/>
  <c r="J26" i="43"/>
  <c r="G16" i="1"/>
  <c r="F10" i="39" s="1"/>
  <c r="AA10" i="39" s="1"/>
  <c r="Q16" i="1"/>
  <c r="F27" i="11" s="1"/>
  <c r="C29" i="11" s="1"/>
  <c r="D27" i="11" s="1"/>
  <c r="P6" i="1"/>
  <c r="C13" i="12" s="1"/>
  <c r="E59" i="40"/>
  <c r="K16" i="1"/>
  <c r="H16" i="1"/>
  <c r="F26" i="43"/>
  <c r="D26" i="43" s="1"/>
  <c r="C25" i="43" s="1"/>
  <c r="J53" i="15"/>
  <c r="L56" i="15" s="1"/>
  <c r="J57" i="15"/>
  <c r="J55" i="15" s="1"/>
  <c r="J58" i="15" s="1"/>
  <c r="Q50" i="15" s="1"/>
  <c r="I54" i="15"/>
  <c r="F50" i="15"/>
  <c r="F31" i="15"/>
  <c r="M7" i="15"/>
  <c r="J6" i="15" s="1"/>
  <c r="J18" i="15" s="1"/>
  <c r="F71" i="15"/>
  <c r="F65" i="15"/>
  <c r="C6" i="15"/>
  <c r="F51" i="15"/>
  <c r="M59" i="15"/>
  <c r="N59" i="15"/>
  <c r="L58" i="15"/>
  <c r="Q60" i="15" s="1"/>
  <c r="L59" i="15"/>
  <c r="Q74" i="15" s="1"/>
  <c r="F68" i="15"/>
  <c r="Q71" i="15"/>
  <c r="C27" i="15"/>
  <c r="F64" i="15"/>
  <c r="AZ107" i="3"/>
  <c r="AZ26" i="3"/>
  <c r="AZ268" i="3"/>
  <c r="T28" i="71"/>
  <c r="D28" i="71"/>
  <c r="U28" i="71" s="1"/>
  <c r="C27" i="71"/>
  <c r="T32" i="71"/>
  <c r="D32" i="71"/>
  <c r="AZ65" i="3"/>
  <c r="AZ39" i="3"/>
  <c r="U23" i="35"/>
  <c r="AB23" i="35"/>
  <c r="AB31" i="39"/>
  <c r="U31" i="39"/>
  <c r="U23" i="36"/>
  <c r="AB23" i="36"/>
  <c r="AC37" i="39"/>
  <c r="W37" i="39"/>
  <c r="W39" i="40"/>
  <c r="AC39" i="40"/>
  <c r="U12" i="34"/>
  <c r="AB12" i="34"/>
  <c r="C36" i="71"/>
  <c r="D35" i="71"/>
  <c r="AZ190" i="3"/>
  <c r="S33" i="36"/>
  <c r="AA33" i="36"/>
  <c r="W12" i="34"/>
  <c r="AC12" i="34"/>
  <c r="J7" i="36"/>
  <c r="AC7" i="36" s="1"/>
  <c r="V36" i="36" s="1"/>
  <c r="I36" i="36" s="1"/>
  <c r="E26" i="43"/>
  <c r="AZ492" i="3"/>
  <c r="AB12" i="33"/>
  <c r="V20" i="71"/>
  <c r="C40" i="71"/>
  <c r="D39" i="71"/>
  <c r="O65" i="71"/>
  <c r="D66" i="71"/>
  <c r="O66" i="71"/>
  <c r="AZ28" i="3"/>
  <c r="C52" i="71"/>
  <c r="D51" i="71"/>
  <c r="AZ70" i="3"/>
  <c r="AZ53" i="3"/>
  <c r="AZ25" i="3"/>
  <c r="C56" i="71"/>
  <c r="D55" i="71"/>
  <c r="AZ464" i="3"/>
  <c r="AZ461" i="3"/>
  <c r="AZ282" i="3"/>
  <c r="AZ223" i="3"/>
  <c r="AZ401" i="3"/>
  <c r="AZ415" i="3"/>
  <c r="AZ398" i="3"/>
  <c r="AZ432" i="3"/>
  <c r="AB9" i="34"/>
  <c r="U9" i="34"/>
  <c r="J7" i="37"/>
  <c r="W7" i="37" s="1"/>
  <c r="G5" i="3"/>
  <c r="B3" i="3" s="1"/>
  <c r="E510" i="3" s="1"/>
  <c r="AZ29" i="3"/>
  <c r="AZ278" i="3"/>
  <c r="AZ460" i="3"/>
  <c r="AZ243" i="3"/>
  <c r="AZ421" i="3"/>
  <c r="AC31" i="39"/>
  <c r="W31" i="39"/>
  <c r="AC23" i="36"/>
  <c r="W23" i="36"/>
  <c r="U36" i="39"/>
  <c r="AB36" i="39"/>
  <c r="AA37" i="39"/>
  <c r="S37" i="39"/>
  <c r="U39" i="40"/>
  <c r="AB39" i="40"/>
  <c r="AC9" i="34"/>
  <c r="W9" i="34"/>
  <c r="AA25" i="37"/>
  <c r="S25" i="37"/>
  <c r="K1" i="73"/>
  <c r="E575" i="3"/>
  <c r="E449" i="3"/>
  <c r="E255" i="3"/>
  <c r="E417" i="3"/>
  <c r="E241" i="3"/>
  <c r="E292" i="3"/>
  <c r="E409" i="3"/>
  <c r="E267" i="3"/>
  <c r="E249" i="3"/>
  <c r="E67" i="3"/>
  <c r="E63" i="3"/>
  <c r="E81" i="3"/>
  <c r="E198" i="3"/>
  <c r="E18" i="3"/>
  <c r="E96" i="3"/>
  <c r="E34" i="3"/>
  <c r="E22" i="3"/>
  <c r="E205" i="3"/>
  <c r="E405" i="3"/>
  <c r="E451" i="3"/>
  <c r="E360" i="3"/>
  <c r="E13" i="3"/>
  <c r="E26" i="3"/>
  <c r="E104" i="3"/>
  <c r="E225" i="3"/>
  <c r="E412" i="3"/>
  <c r="E78" i="3"/>
  <c r="E324" i="3"/>
  <c r="E232" i="3"/>
  <c r="E370" i="3"/>
  <c r="E326" i="3"/>
  <c r="E188" i="3"/>
  <c r="E223" i="3"/>
  <c r="E393" i="3"/>
  <c r="E427" i="3"/>
  <c r="E486" i="3"/>
  <c r="E440" i="3"/>
  <c r="J6" i="3"/>
  <c r="E498" i="3"/>
  <c r="E463" i="3"/>
  <c r="E178" i="3"/>
  <c r="E202" i="3"/>
  <c r="E346" i="3"/>
  <c r="E60" i="3"/>
  <c r="E43" i="3"/>
  <c r="E15" i="3"/>
  <c r="E170" i="3"/>
  <c r="E137" i="3"/>
  <c r="E299" i="3"/>
  <c r="AQ6" i="3"/>
  <c r="E52" i="3"/>
  <c r="E123" i="3"/>
  <c r="E364" i="3"/>
  <c r="E50" i="3"/>
  <c r="E20" i="3"/>
  <c r="E176" i="3"/>
  <c r="E218" i="3"/>
  <c r="E2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51" i="40"/>
  <c r="E16" i="6"/>
  <c r="E58" i="40"/>
  <c r="E62" i="39"/>
  <c r="M14" i="1"/>
  <c r="D5" i="43"/>
  <c r="J10" i="40"/>
  <c r="AC10" i="40" s="1"/>
  <c r="H10" i="39"/>
  <c r="U10" i="39" s="1"/>
  <c r="H10" i="40"/>
  <c r="AB10" i="40" s="1"/>
  <c r="C7" i="43"/>
  <c r="C5" i="43" s="1"/>
  <c r="D10" i="52"/>
  <c r="D125" i="9"/>
  <c r="D11" i="52" s="1"/>
  <c r="B7" i="74"/>
  <c r="C7" i="74" s="1"/>
  <c r="E69" i="39"/>
  <c r="H7" i="37"/>
  <c r="AB7" i="37" s="1"/>
  <c r="T42" i="37" s="1"/>
  <c r="G42" i="37" s="1"/>
  <c r="S10" i="39"/>
  <c r="H7" i="33"/>
  <c r="J7" i="33"/>
  <c r="D65" i="40"/>
  <c r="E63" i="40"/>
  <c r="F48" i="35"/>
  <c r="AA7" i="36"/>
  <c r="R36" i="36" s="1"/>
  <c r="AC7" i="37"/>
  <c r="AB7" i="36"/>
  <c r="T36" i="36" s="1"/>
  <c r="G36" i="36" s="1"/>
  <c r="U7" i="36"/>
  <c r="F7" i="33"/>
  <c r="E58" i="21"/>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AE7" i="1"/>
  <c r="AE8" i="1"/>
  <c r="AE12" i="1"/>
  <c r="AE10" i="1"/>
  <c r="G1" i="73"/>
  <c r="AE6" i="1"/>
  <c r="F27" i="69"/>
  <c r="C16" i="15"/>
  <c r="F27" i="68"/>
  <c r="F28" i="12" l="1"/>
  <c r="C29" i="12" s="1"/>
  <c r="D28" i="12" s="1"/>
  <c r="J55" i="43"/>
  <c r="D55" i="43"/>
  <c r="J53" i="43"/>
  <c r="D53" i="43"/>
  <c r="P65" i="71"/>
  <c r="P66" i="71"/>
  <c r="F30" i="6"/>
  <c r="F31" i="6" s="1"/>
  <c r="J56" i="43"/>
  <c r="D56" i="43"/>
  <c r="H6" i="3"/>
  <c r="J52" i="43"/>
  <c r="D52" i="43"/>
  <c r="E365" i="3"/>
  <c r="E62" i="3"/>
  <c r="E147" i="3"/>
  <c r="E339" i="3"/>
  <c r="E455" i="3"/>
  <c r="E333" i="3"/>
  <c r="E40" i="3"/>
  <c r="E490" i="3"/>
  <c r="E493" i="3"/>
  <c r="E83" i="3"/>
  <c r="E342" i="3"/>
  <c r="E243" i="3"/>
  <c r="E452" i="3"/>
  <c r="E456" i="3"/>
  <c r="E206" i="3"/>
  <c r="E281" i="3"/>
  <c r="E33" i="3"/>
  <c r="E484" i="3"/>
  <c r="E479" i="3"/>
  <c r="E499" i="3"/>
  <c r="J51" i="43"/>
  <c r="D51" i="43"/>
  <c r="F1" i="15"/>
  <c r="C47" i="69"/>
  <c r="D45" i="69" s="1"/>
  <c r="Q73" i="15"/>
  <c r="Q52" i="15"/>
  <c r="M17" i="15"/>
  <c r="F48" i="68"/>
  <c r="C48" i="68"/>
  <c r="C30" i="68"/>
  <c r="F45" i="69"/>
  <c r="C29" i="69"/>
  <c r="D27" i="69" s="1"/>
  <c r="Q61" i="15"/>
  <c r="J10" i="39"/>
  <c r="W10" i="39" s="1"/>
  <c r="J5" i="15"/>
  <c r="J24" i="15" s="1"/>
  <c r="F10" i="40"/>
  <c r="S10" i="40" s="1"/>
  <c r="E340" i="3"/>
  <c r="E112" i="3"/>
  <c r="E392" i="3"/>
  <c r="E234" i="3"/>
  <c r="E38" i="3"/>
  <c r="E473" i="3"/>
  <c r="L6" i="3"/>
  <c r="E276" i="3"/>
  <c r="E108" i="3"/>
  <c r="E401" i="3"/>
  <c r="AH6" i="3"/>
  <c r="E422" i="3"/>
  <c r="E543" i="3"/>
  <c r="E105" i="3"/>
  <c r="E16" i="3"/>
  <c r="E158" i="3"/>
  <c r="E49" i="3"/>
  <c r="E220" i="3"/>
  <c r="E428" i="3"/>
  <c r="E115" i="3"/>
  <c r="E420" i="3"/>
  <c r="E497" i="3"/>
  <c r="E408" i="3"/>
  <c r="E525" i="3"/>
  <c r="E113" i="3"/>
  <c r="E383" i="3"/>
  <c r="E42" i="3"/>
  <c r="E513" i="3"/>
  <c r="E355" i="3"/>
  <c r="E492" i="3"/>
  <c r="E46" i="3"/>
  <c r="E544" i="3"/>
  <c r="E152" i="3"/>
  <c r="E517" i="3"/>
  <c r="E466" i="3"/>
  <c r="E212" i="3"/>
  <c r="E3" i="6"/>
  <c r="E289" i="3"/>
  <c r="E36" i="3"/>
  <c r="E325" i="3"/>
  <c r="E194" i="3"/>
  <c r="E79" i="3"/>
  <c r="E540" i="3"/>
  <c r="E372" i="3"/>
  <c r="E226" i="3"/>
  <c r="E25" i="3"/>
  <c r="E419" i="3"/>
  <c r="E376" i="3"/>
  <c r="E507" i="3"/>
  <c r="E564" i="3"/>
  <c r="E116" i="3"/>
  <c r="E329" i="3"/>
  <c r="E80" i="3"/>
  <c r="E35" i="3"/>
  <c r="E190" i="3"/>
  <c r="E356" i="3"/>
  <c r="E41" i="3"/>
  <c r="E470" i="3"/>
  <c r="E556" i="3"/>
  <c r="E469" i="3"/>
  <c r="E173" i="3"/>
  <c r="E102" i="3"/>
  <c r="E235" i="3"/>
  <c r="AL6" i="3"/>
  <c r="E309" i="3"/>
  <c r="E233" i="3"/>
  <c r="E310" i="3"/>
  <c r="E64" i="3"/>
  <c r="E389" i="3"/>
  <c r="E95" i="3"/>
  <c r="E554" i="3"/>
  <c r="E442" i="3"/>
  <c r="E536" i="3"/>
  <c r="W7" i="36"/>
  <c r="C49" i="15"/>
  <c r="F59" i="15"/>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52" i="71"/>
  <c r="D52" i="71"/>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D36" i="71"/>
  <c r="T36" i="71"/>
  <c r="D56" i="71"/>
  <c r="T56"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53" i="15"/>
  <c r="C10" i="15"/>
  <c r="C5" i="15" s="1"/>
  <c r="C38" i="15" s="1"/>
  <c r="F41" i="67"/>
  <c r="M27" i="15"/>
  <c r="F41" i="15"/>
  <c r="M27" i="67"/>
  <c r="AA10" i="40" l="1"/>
  <c r="F69" i="67"/>
  <c r="E50" i="43"/>
  <c r="B48" i="43" s="1"/>
  <c r="C28" i="43" s="1"/>
  <c r="C48" i="15"/>
  <c r="C66" i="15" s="1"/>
  <c r="F24" i="67"/>
  <c r="C24" i="67" s="1"/>
  <c r="F22" i="68"/>
  <c r="F41" i="68" s="1"/>
  <c r="F25" i="12"/>
  <c r="C26" i="12" s="1"/>
  <c r="D25" i="12" s="1"/>
  <c r="F24" i="15"/>
  <c r="C24" i="15" s="1"/>
  <c r="F22" i="69"/>
  <c r="F41" i="69" s="1"/>
  <c r="F22" i="11"/>
  <c r="C23" i="11" s="1"/>
  <c r="AC6" i="3"/>
  <c r="E6" i="3" s="1"/>
  <c r="G54" i="34"/>
  <c r="H54" i="34" s="1"/>
  <c r="D116" i="43"/>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14" i="67"/>
  <c r="C34" i="69"/>
  <c r="C17" i="15"/>
  <c r="D10" i="68"/>
  <c r="D10" i="69"/>
  <c r="T15" i="43" l="1"/>
  <c r="V15" i="43" s="1"/>
  <c r="T7" i="43"/>
  <c r="V7" i="43" s="1"/>
  <c r="T10" i="43"/>
  <c r="V10" i="43" s="1"/>
  <c r="T2" i="43"/>
  <c r="V2" i="43" s="1"/>
  <c r="C40" i="43"/>
  <c r="C42" i="43"/>
  <c r="T11" i="43"/>
  <c r="V11" i="43" s="1"/>
  <c r="T14" i="43"/>
  <c r="V14" i="43" s="1"/>
  <c r="T4" i="43"/>
  <c r="V4" i="43" s="1"/>
  <c r="T5" i="43"/>
  <c r="V5" i="43" s="1"/>
  <c r="C41" i="43"/>
  <c r="T9" i="43"/>
  <c r="V9" i="43" s="1"/>
  <c r="T12" i="43"/>
  <c r="V12" i="43" s="1"/>
  <c r="T3" i="43"/>
  <c r="V3" i="43" s="1"/>
  <c r="C39" i="43"/>
  <c r="T13" i="43"/>
  <c r="V13" i="43" s="1"/>
  <c r="T16" i="43"/>
  <c r="V16" i="43" s="1"/>
  <c r="T8" i="43"/>
  <c r="V8" i="43" s="1"/>
  <c r="T6" i="43"/>
  <c r="V6" i="43" s="1"/>
  <c r="C37" i="43"/>
  <c r="C38" i="43"/>
  <c r="C33" i="43"/>
  <c r="C26" i="69"/>
  <c r="D22" i="69" s="1"/>
  <c r="C25" i="11"/>
  <c r="C44" i="68"/>
  <c r="D41" i="68" s="1"/>
  <c r="C44" i="11"/>
  <c r="D41" i="11" s="1"/>
  <c r="C26" i="11"/>
  <c r="D22" i="11" s="1"/>
  <c r="C26" i="68"/>
  <c r="D22" i="68" s="1"/>
  <c r="C24" i="11"/>
  <c r="C44" i="69"/>
  <c r="D41" i="69" s="1"/>
  <c r="C16" i="71"/>
  <c r="M23" i="43" s="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E39" i="43"/>
  <c r="G39" i="43"/>
  <c r="I39" i="43" s="1"/>
  <c r="E41" i="43"/>
  <c r="G41" i="43"/>
  <c r="I41" i="43" s="1"/>
  <c r="C6" i="69"/>
  <c r="C7" i="69" s="1"/>
  <c r="E33" i="43"/>
  <c r="C6" i="68" s="1"/>
  <c r="C7" i="68" s="1"/>
  <c r="E42" i="43"/>
  <c r="G42" i="43"/>
  <c r="I42" i="43" s="1"/>
  <c r="G38" i="43"/>
  <c r="I38" i="43" s="1"/>
  <c r="E38" i="43"/>
  <c r="G40" i="43"/>
  <c r="I40" i="43" s="1"/>
  <c r="E40" i="43"/>
  <c r="C5" i="69"/>
  <c r="G37" i="43"/>
  <c r="I37" i="43" s="1"/>
  <c r="E37" i="43"/>
  <c r="C30" i="43" s="1"/>
  <c r="C34" i="43"/>
  <c r="E34" i="43" s="1"/>
  <c r="U6" i="1"/>
  <c r="C50" i="33"/>
  <c r="C31" i="1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6" i="67"/>
  <c r="B2" i="43" l="1"/>
  <c r="C31" i="43"/>
  <c r="C5" i="68"/>
  <c r="C23" i="68" s="1"/>
  <c r="F31" i="67"/>
  <c r="C6" i="67"/>
  <c r="C10" i="67" s="1"/>
  <c r="C5" i="67" s="1"/>
  <c r="C38" i="67"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6" i="76"/>
  <c r="E6" i="76"/>
  <c r="C20" i="68" l="1"/>
  <c r="C28" i="68" s="1"/>
  <c r="C27" i="68" s="1"/>
  <c r="E2" i="76"/>
  <c r="B2" i="76"/>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B3" i="76" l="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B3" i="68"/>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10" i="1"/>
  <c r="AO9" i="1"/>
  <c r="AO7" i="1"/>
  <c r="AO6" i="1"/>
  <c r="C7" i="71" l="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D103" i="9"/>
  <c r="G20" i="9"/>
  <c r="G22" i="9" s="1"/>
  <c r="D6" i="71"/>
  <c r="C5" i="71"/>
  <c r="D5" i="71" s="1"/>
  <c r="M24" i="43" s="1"/>
  <c r="C42" i="40"/>
  <c r="C43" i="40"/>
  <c r="E47" i="40"/>
  <c r="F47" i="40" s="1"/>
  <c r="E46" i="40"/>
  <c r="F46" i="40" s="1"/>
  <c r="I47" i="40"/>
  <c r="J47" i="40" s="1"/>
  <c r="C32" i="9" l="1"/>
  <c r="C35" i="9" s="1"/>
  <c r="C34" i="9" s="1"/>
  <c r="I20" i="9"/>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6" i="74"/>
  <c r="N58" i="9"/>
  <c r="P57" i="9"/>
  <c r="D8" i="52"/>
  <c r="C5" i="74"/>
  <c r="D52" i="9"/>
  <c r="D53" i="9"/>
  <c r="C104" i="9"/>
  <c r="H4" i="52"/>
  <c r="N61" i="9"/>
  <c r="N59" i="9"/>
  <c r="N60" i="9"/>
  <c r="D7" i="53"/>
  <c r="B21" i="72"/>
  <c r="B32" i="72"/>
  <c r="C81" i="9"/>
  <c r="M55" i="9"/>
  <c r="I4" i="52"/>
  <c r="C105" i="9"/>
  <c r="H102" i="9"/>
  <c r="B20" i="72"/>
  <c r="M48" i="9"/>
  <c r="B48" i="72"/>
  <c r="B30" i="72"/>
  <c r="D13" i="53"/>
  <c r="D14" i="53"/>
  <c r="B52" i="72"/>
  <c r="M54" i="9"/>
  <c r="B49" i="72"/>
  <c r="E4" i="52"/>
  <c r="D58" i="9"/>
  <c r="D56" i="9"/>
  <c r="E96" i="9"/>
  <c r="E97" i="9"/>
  <c r="H108" i="9"/>
  <c r="D15" i="53"/>
  <c r="B31" i="72"/>
  <c r="H107" i="9"/>
  <c r="D122" i="9"/>
  <c r="D123" i="9"/>
  <c r="D9" i="52"/>
  <c r="C93" i="9"/>
  <c r="C86" i="9"/>
  <c r="F4" i="52"/>
  <c r="B51" i="72"/>
  <c r="D5" i="53"/>
  <c r="D6" i="53"/>
  <c r="B22" i="72"/>
  <c r="C78" i="9"/>
  <c r="C73" i="9"/>
  <c r="C72" i="9"/>
  <c r="C79" i="9"/>
  <c r="C80" i="9"/>
  <c r="E80" i="9"/>
  <c r="E81" i="9"/>
  <c r="D5" i="52"/>
  <c r="H119" i="9"/>
  <c r="H5" i="52"/>
  <c r="D119" i="9"/>
  <c r="G4" i="52"/>
  <c r="G118" i="9"/>
  <c r="F118" i="9"/>
  <c r="F119" i="9"/>
  <c r="F5" i="52"/>
  <c r="B53" i="72"/>
  <c r="D59" i="9"/>
  <c r="E118" i="9"/>
  <c r="D118" i="9"/>
  <c r="D4" i="52"/>
  <c r="B47" i="72"/>
  <c r="C97" i="9"/>
  <c r="C85" i="9"/>
  <c r="C95" i="9"/>
  <c r="C96" i="9"/>
  <c r="D55" i="9"/>
  <c r="M53" i="9"/>
  <c r="N57"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<sst xmlns="http://schemas.openxmlformats.org/spreadsheetml/2006/main" count="7948" uniqueCount="3494">
  <si>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</si>
  <si>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</si>
  <si>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</si>
  <si>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</si>
  <si>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</si>
  <si>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</si>
  <si>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</si>
  <si>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</si>
  <si>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</si>
  <si>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</si>
  <si>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</si>
  <si>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</si>
  <si>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</si>
  <si>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</si>
  <si>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</si>
  <si>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</si>
  <si>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</si>
  <si>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</si>
  <si>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</si>
  <si>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</si>
  <si>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</si>
  <si>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</si>
  <si>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</si>
  <si>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</si>
  <si>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</si>
  <si>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</si>
  <si>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</si>
  <si>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</si>
  <si>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</si>
  <si>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</si>
  <si>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</si>
  <si>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</si>
  <si>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</si>
  <si>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</si>
  <si>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</si>
  <si>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</si>
  <si>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</si>
  <si>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</si>
  <si>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</si>
  <si>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</si>
  <si>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</si>
  <si>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</si>
  <si>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</si>
  <si>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</si>
  <si>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</si>
  <si>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</si>
  <si>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</si>
  <si>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</si>
  <si>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</si>
  <si>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</si>
  <si>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</si>
  <si>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</si>
  <si>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</si>
  <si>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</si>
  <si>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</si>
  <si>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</si>
  <si>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</si>
  <si>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</si>
  <si>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</si>
  <si>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</si>
  <si>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</si>
  <si>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</si>
  <si>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</si>
  <si>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</si>
  <si>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</si>
  <si>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</si>
  <si>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</si>
  <si>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</si>
  <si>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</si>
  <si>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</si>
  <si>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</si>
  <si>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</si>
  <si>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</si>
  <si>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</si>
  <si>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</si>
  <si>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</si>
  <si>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</si>
  <si>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</si>
  <si>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</si>
  <si>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</si>
  <si>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</si>
  <si>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</si>
  <si>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</si>
  <si>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</si>
  <si>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</si>
  <si>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</si>
  <si>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</si>
  <si>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</si>
  <si>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</si>
  <si>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</si>
  <si>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</si>
  <si>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</si>
  <si>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</si>
  <si>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</si>
  <si>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</si>
  <si>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</si>
  <si>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</si>
  <si>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</si>
  <si>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</si>
  <si>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</si>
  <si>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</si>
  <si>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</si>
  <si>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</si>
  <si>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</si>
  <si>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</si>
  <si>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</si>
  <si>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</si>
  <si>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</si>
  <si>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</si>
  <si>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</si>
  <si>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</si>
  <si>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</si>
  <si>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</si>
  <si>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</si>
  <si>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</si>
  <si>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</si>
  <si>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</si>
  <si>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</si>
  <si>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</si>
  <si>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</si>
  <si>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</si>
  <si>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</si>
  <si>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</si>
  <si>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</si>
  <si>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</si>
  <si>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</si>
  <si>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</si>
  <si>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</si>
  <si>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</si>
  <si>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</si>
  <si>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</si>
  <si>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</si>
  <si>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</si>
  <si>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</si>
  <si>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</si>
  <si>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</si>
  <si>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</si>
  <si>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</si>
  <si>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</si>
  <si>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</si>
  <si>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</si>
  <si>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</si>
  <si>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</si>
  <si>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</si>
  <si>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</si>
  <si>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</si>
  <si>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</si>
  <si>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</si>
  <si>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</si>
  <si>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</si>
  <si>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</si>
  <si>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</si>
  <si>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</si>
  <si>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</si>
  <si>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</si>
  <si>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</si>
  <si>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</si>
  <si>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</si>
  <si>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</si>
  <si>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</si>
  <si>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</si>
  <si>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</si>
  <si>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</si>
  <si>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</si>
  <si>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</si>
  <si>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</si>
  <si>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</si>
  <si>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</si>
  <si>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</si>
  <si>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</si>
  <si>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</si>
  <si>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</si>
  <si>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</si>
  <si>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</si>
  <si>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</si>
  <si>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</si>
  <si>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</si>
  <si>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</si>
  <si>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</si>
  <si>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</si>
  <si>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</si>
  <si>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</si>
  <si>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</si>
  <si>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</si>
  <si>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</si>
  <si>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</si>
  <si>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</si>
  <si>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</si>
  <si>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</si>
  <si>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</si>
  <si>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</si>
  <si>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</si>
  <si>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</si>
  <si>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</si>
  <si>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</si>
  <si>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</si>
  <si>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</si>
  <si>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</si>
  <si>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</si>
  <si>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</si>
  <si>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</si>
  <si>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</si>
  <si>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</si>
  <si>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</si>
  <si>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</si>
  <si>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</si>
  <si>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</si>
  <si>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</si>
  <si>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</si>
  <si>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</si>
  <si>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</si>
  <si>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</si>
  <si>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</si>
  <si>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</si>
  <si>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</si>
  <si>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</si>
  <si>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</si>
  <si>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</si>
  <si>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</si>
  <si>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</si>
  <si>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</si>
  <si>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</si>
  <si>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</si>
  <si>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</si>
  <si>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</si>
  <si>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</si>
  <si>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</si>
  <si>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</si>
  <si>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</si>
  <si>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</si>
  <si>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</si>
  <si>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</si>
  <si>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</si>
  <si>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</si>
  <si>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</si>
  <si>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</si>
  <si>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</si>
  <si>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</si>
  <si>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</si>
  <si>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</si>
  <si>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</si>
  <si>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</si>
  <si>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</si>
  <si>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</si>
  <si>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</si>
  <si>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</si>
  <si>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</si>
  <si>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</si>
  <si>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</si>
  <si>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</si>
  <si>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</si>
  <si>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</si>
  <si>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</si>
  <si>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</si>
  <si>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</si>
  <si>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</si>
  <si>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</si>
  <si>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</si>
  <si>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</si>
  <si>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</si>
  <si>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</si>
  <si>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</si>
  <si>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</si>
  <si>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</si>
  <si>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</si>
  <si>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</si>
  <si>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</si>
  <si>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</si>
  <si>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</si>
  <si>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</si>
  <si>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</si>
  <si>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</si>
  <si>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</si>
  <si>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</si>
  <si>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</si>
  <si>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</si>
  <si>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</si>
  <si>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</si>
  <si>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</si>
  <si>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</si>
  <si>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</si>
  <si>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</si>
  <si>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</si>
  <si>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</si>
  <si>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</si>
  <si>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</si>
  <si>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</si>
  <si>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</si>
  <si>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</si>
  <si>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</si>
  <si>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</si>
  <si>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</si>
  <si>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</si>
  <si>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</si>
  <si>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</si>
  <si>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</si>
  <si>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</si>
  <si>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</si>
  <si>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</si>
  <si>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</si>
  <si>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</si>
  <si>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</si>
  <si>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</si>
  <si>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</si>
  <si>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</si>
  <si>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</si>
  <si>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</si>
  <si>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</si>
  <si>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</si>
  <si>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</si>
  <si>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</si>
  <si>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</si>
  <si>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</si>
  <si>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</si>
  <si>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</si>
  <si>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</si>
  <si>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</si>
  <si>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</si>
  <si>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</si>
  <si>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</si>
  <si>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</si>
  <si>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</si>
  <si>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</si>
  <si>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</si>
  <si>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</si>
  <si>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</si>
  <si>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</si>
  <si>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</si>
  <si>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</si>
  <si>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</si>
  <si>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</si>
  <si>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</si>
  <si>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</si>
  <si>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</si>
  <si>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</si>
  <si>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</si>
  <si>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</si>
  <si>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</si>
  <si>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</si>
  <si>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</si>
  <si>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</si>
  <si>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</si>
  <si>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</si>
  <si>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</si>
  <si>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</si>
  <si>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</si>
  <si>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</si>
  <si>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</si>
  <si>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</si>
  <si>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</si>
  <si>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</si>
  <si>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</si>
  <si>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</si>
  <si>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</si>
  <si>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</si>
  <si>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</si>
  <si>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</si>
  <si>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</si>
  <si>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</si>
  <si>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</si>
  <si>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</si>
  <si>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</si>
  <si>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</si>
  <si>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</si>
  <si>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</si>
  <si>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</si>
  <si>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</si>
  <si>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</si>
  <si>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</si>
  <si>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</si>
  <si>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</si>
  <si>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</si>
  <si>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</si>
  <si>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</si>
  <si>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</si>
  <si>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</si>
  <si>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</si>
  <si>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</si>
  <si>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</si>
  <si>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</si>
  <si>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</si>
  <si>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</si>
  <si>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</si>
  <si>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</si>
  <si>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</si>
  <si>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</si>
  <si>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</si>
  <si>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</si>
  <si>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</si>
  <si>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</si>
  <si>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</si>
  <si>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</si>
  <si>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</si>
  <si>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</si>
  <si>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</si>
  <si>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</si>
  <si>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</si>
  <si>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</si>
  <si>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</si>
  <si>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</si>
  <si>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</si>
  <si>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</si>
  <si>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</si>
  <si>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</si>
  <si>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</si>
  <si>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</si>
  <si>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</si>
  <si>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</si>
  <si>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</si>
  <si>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</si>
  <si>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</si>
  <si>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</si>
  <si>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</si>
  <si>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</si>
  <si>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</si>
  <si>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</si>
  <si>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</si>
  <si>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</si>
  <si>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</si>
  <si>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</si>
  <si>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</si>
  <si>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</si>
  <si>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</si>
  <si>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</si>
  <si>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</si>
  <si>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</si>
  <si>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</si>
  <si>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</si>
  <si>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</si>
  <si>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</si>
  <si>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</si>
  <si>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</si>
  <si>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</si>
  <si>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</si>
  <si>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</si>
  <si>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</si>
  <si>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</si>
  <si>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</si>
  <si>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</si>
  <si>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</si>
  <si>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</si>
  <si>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</si>
  <si>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</si>
  <si>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</si>
  <si>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</si>
  <si>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</si>
  <si>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</si>
  <si>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</si>
  <si>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</si>
  <si>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</si>
  <si>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</si>
  <si>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</si>
  <si>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</si>
  <si>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</si>
  <si>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</si>
  <si>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</si>
  <si>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</si>
  <si>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</si>
  <si>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</si>
  <si>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</si>
  <si>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</si>
  <si>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</si>
  <si>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</si>
  <si>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</si>
  <si>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</si>
  <si>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</si>
  <si>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</si>
  <si>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</si>
  <si>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</si>
  <si>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</si>
  <si>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</si>
  <si>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</si>
  <si>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</si>
  <si>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</si>
  <si>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</si>
  <si>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</si>
  <si>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</si>
  <si>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</si>
  <si>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</si>
  <si>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</si>
  <si>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</si>
  <si>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</si>
  <si>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</si>
  <si>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</si>
  <si>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</si>
  <si>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</si>
  <si>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</si>
  <si>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</si>
  <si>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</si>
  <si>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</si>
  <si>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</si>
  <si>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</si>
  <si>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</si>
  <si>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</si>
  <si>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</si>
  <si>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</si>
  <si>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</si>
  <si>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</si>
  <si>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</si>
  <si>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</si>
  <si>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</si>
  <si>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</si>
  <si>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</si>
  <si>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</si>
  <si>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</si>
  <si>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</si>
  <si>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</si>
  <si>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</si>
  <si>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</si>
  <si>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</si>
  <si>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</si>
  <si>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</si>
  <si>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</si>
  <si>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</si>
  <si>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</si>
  <si>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</si>
  <si>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</si>
  <si>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</si>
  <si>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</si>
  <si>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</si>
  <si>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</si>
  <si>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</si>
  <si>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</si>
  <si>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</si>
  <si>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</si>
  <si>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</si>
  <si>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</si>
  <si>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</si>
  <si>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</si>
  <si>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</si>
  <si>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</si>
  <si>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</si>
  <si>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</si>
  <si>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</si>
  <si>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</si>
  <si>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</si>
  <si>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</si>
  <si>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</si>
  <si>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</si>
  <si>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</si>
  <si>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</si>
  <si>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</si>
  <si>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</si>
  <si>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</si>
  <si>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</si>
  <si>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</si>
  <si>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</si>
  <si>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</si>
  <si>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</si>
  <si>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</si>
  <si>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</si>
  <si>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</si>
  <si>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</si>
  <si>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</si>
  <si>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</si>
  <si>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</si>
  <si>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</si>
  <si>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</si>
  <si>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</si>
  <si>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</si>
  <si>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</si>
  <si>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</si>
  <si>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</si>
  <si>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</si>
  <si>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</si>
  <si>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</si>
  <si>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</si>
  <si>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</si>
  <si>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</si>
  <si>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</si>
  <si>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</si>
  <si>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</si>
  <si>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</si>
  <si>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</si>
  <si>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</si>
  <si>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</si>
  <si>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</si>
  <si>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</si>
  <si>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</si>
  <si>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</si>
  <si>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</si>
  <si>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</si>
  <si>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</si>
  <si>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</si>
  <si>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</si>
  <si>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</si>
  <si>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</si>
  <si>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</si>
  <si>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</si>
  <si>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</si>
  <si>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</si>
  <si>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</si>
  <si>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</si>
  <si>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</si>
  <si>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</si>
  <si>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</si>
  <si>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</si>
  <si>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</si>
  <si>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</si>
  <si>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</si>
  <si>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</si>
  <si>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</si>
  <si>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</si>
  <si>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</si>
  <si>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</si>
  <si>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</si>
  <si>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</si>
  <si>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</si>
  <si>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</si>
  <si>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</si>
  <si>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</si>
  <si>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</si>
  <si>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</si>
  <si>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</si>
  <si>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</si>
  <si>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</si>
  <si>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</si>
  <si>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</si>
  <si>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</si>
  <si>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</si>
  <si>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</si>
  <si>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</si>
  <si>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</si>
  <si>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</si>
  <si>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</si>
  <si>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</si>
  <si>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</si>
  <si>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</si>
  <si>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</si>
  <si>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</si>
  <si>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</si>
  <si>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</si>
  <si>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</si>
  <si>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</si>
  <si>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</si>
  <si>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</si>
  <si>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</si>
  <si>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</si>
  <si>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</si>
  <si>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</si>
  <si>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</si>
  <si>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</si>
  <si>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</si>
  <si>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</si>
  <si>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</si>
  <si>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</si>
  <si>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</si>
  <si>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</si>
  <si>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</si>
  <si>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</si>
  <si>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</si>
  <si>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</si>
  <si>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</si>
  <si>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</si>
  <si>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</si>
  <si>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</si>
  <si>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</si>
  <si>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</si>
  <si>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</si>
  <si>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</si>
  <si>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</si>
  <si>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</si>
  <si>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</si>
  <si>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</si>
  <si>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</si>
  <si>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</si>
  <si>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</si>
  <si>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</si>
  <si>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</si>
  <si>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</si>
  <si>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</si>
  <si>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</si>
  <si>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</si>
  <si>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</si>
  <si>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</si>
  <si>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</si>
  <si>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</si>
  <si>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</si>
  <si>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</si>
  <si>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</si>
  <si>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</si>
  <si>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</si>
  <si>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</si>
  <si>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</si>
  <si>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</si>
  <si>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</si>
  <si>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</si>
  <si>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</si>
  <si>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</si>
  <si>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</si>
  <si>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</si>
  <si>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</si>
  <si>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</si>
  <si>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</si>
  <si>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</si>
  <si>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</si>
  <si>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</si>
  <si>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</si>
  <si>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</si>
  <si>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</si>
  <si>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</si>
  <si>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</si>
  <si>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</si>
  <si>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</si>
  <si>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</si>
  <si>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</si>
  <si>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</si>
  <si>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</si>
  <si>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</si>
  <si>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</si>
  <si>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</si>
  <si>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</si>
  <si>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</si>
  <si>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</si>
  <si>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</si>
  <si>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</si>
  <si>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</si>
  <si>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</si>
  <si>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</si>
  <si>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</si>
  <si>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</si>
  <si>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</si>
  <si>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</si>
  <si>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</si>
  <si>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</si>
  <si>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</si>
  <si>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</si>
  <si>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</si>
  <si>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</si>
  <si>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</si>
  <si>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</si>
  <si>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</si>
  <si>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</si>
  <si>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</si>
  <si>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</si>
  <si>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</si>
  <si>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</si>
  <si>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</si>
  <si>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</si>
  <si>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</si>
  <si>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</si>
  <si>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</si>
  <si>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</si>
  <si>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</si>
  <si>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</si>
  <si>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</si>
  <si>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</si>
  <si>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</si>
  <si>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</si>
  <si>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</si>
  <si>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</si>
  <si>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</si>
  <si>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</si>
  <si>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</si>
  <si>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</si>
  <si>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</si>
  <si>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</si>
  <si>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</si>
  <si>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</si>
  <si>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</si>
  <si>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</si>
  <si>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</si>
  <si>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</si>
  <si>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</si>
  <si>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</si>
  <si>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</si>
  <si>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</si>
  <si>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</si>
  <si>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</si>
  <si>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</si>
  <si>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</si>
  <si>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</si>
  <si>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</si>
  <si>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</si>
  <si>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</si>
  <si>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</si>
  <si>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</si>
  <si>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</si>
  <si>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</si>
  <si>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</si>
  <si>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</si>
  <si>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</si>
  <si>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</si>
  <si>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</si>
  <si>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</si>
  <si>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</si>
  <si>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</si>
  <si>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</si>
  <si>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</si>
  <si>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</si>
  <si>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</si>
  <si>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</si>
  <si>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</si>
  <si>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</si>
  <si>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</si>
  <si>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</si>
  <si>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</si>
  <si>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</si>
  <si>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</si>
  <si>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</si>
  <si>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</si>
  <si>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</si>
  <si>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</si>
  <si>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</si>
  <si>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</si>
  <si>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</si>
  <si>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</si>
  <si>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</si>
  <si>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</si>
  <si>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</si>
  <si>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</si>
  <si>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</si>
  <si>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</si>
  <si>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</si>
  <si>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</si>
  <si>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</si>
  <si>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</si>
  <si>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</si>
  <si>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</si>
  <si>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</si>
  <si>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</si>
  <si>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</si>
  <si>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</si>
  <si>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</si>
  <si>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</si>
  <si>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</si>
  <si>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</si>
  <si>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</si>
  <si>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</si>
  <si>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</si>
  <si>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</si>
  <si>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</si>
  <si>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</si>
  <si>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</si>
  <si>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</si>
  <si>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</si>
  <si>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</si>
  <si>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</si>
  <si>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</si>
  <si>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</si>
  <si>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</si>
  <si>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</si>
  <si>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</si>
  <si>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</si>
  <si>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</si>
  <si>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</si>
  <si>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</si>
  <si>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</si>
  <si>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</si>
  <si>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</si>
  <si>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</si>
  <si>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</si>
  <si>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</si>
  <si>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</si>
  <si>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</si>
  <si>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</si>
  <si>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</si>
  <si>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</si>
  <si>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</si>
  <si>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</si>
  <si>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</si>
  <si>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</si>
  <si>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</si>
  <si>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</si>
  <si>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</si>
  <si>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</si>
  <si>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</si>
  <si>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</si>
  <si>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</si>
  <si>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</si>
  <si>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</si>
  <si>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</si>
  <si>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</si>
  <si>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</si>
  <si>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</si>
  <si>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</si>
  <si>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</si>
  <si>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</si>
  <si>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</si>
  <si>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</si>
  <si>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</si>
  <si>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</si>
  <si>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</si>
  <si>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</si>
  <si>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</si>
  <si>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</si>
  <si>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</si>
  <si>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</si>
  <si>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</si>
  <si>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</si>
  <si>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</si>
  <si>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</si>
  <si>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</si>
  <si>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</si>
  <si>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</si>
  <si>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</si>
  <si>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</si>
  <si>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</si>
  <si>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</si>
  <si>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</si>
  <si>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</si>
  <si>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</si>
  <si>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</si>
  <si>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</si>
  <si>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</si>
  <si>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</si>
  <si>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</si>
  <si>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</si>
  <si>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</si>
  <si>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</si>
  <si>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</si>
  <si>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</si>
  <si>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</si>
  <si>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</si>
  <si>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</si>
  <si>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</si>
  <si>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</si>
  <si>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</si>
  <si>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</si>
  <si>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</si>
  <si>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</si>
  <si>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</si>
  <si>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</si>
  <si>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</si>
  <si>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</si>
  <si>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</si>
  <si>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</si>
  <si>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</si>
  <si>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</si>
  <si>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</si>
  <si>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</si>
  <si>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</si>
  <si>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</si>
  <si>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</si>
  <si>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</si>
  <si>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</si>
  <si>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</si>
  <si>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</si>
  <si>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</si>
  <si>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</si>
  <si>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</si>
  <si>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</si>
  <si>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</si>
  <si>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</si>
  <si>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</si>
  <si>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</si>
  <si>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</si>
  <si>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</si>
  <si>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</si>
  <si>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</si>
  <si>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</si>
  <si>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</si>
  <si>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</si>
  <si>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</si>
  <si>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</si>
  <si>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</si>
  <si>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</si>
  <si>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</si>
  <si>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</si>
  <si>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</si>
  <si>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</si>
  <si>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</si>
  <si>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</si>
  <si>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</si>
  <si>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</si>
  <si>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</si>
  <si>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</si>
  <si>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</si>
  <si>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</si>
  <si>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</si>
  <si>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</si>
  <si>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</si>
  <si>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</si>
  <si>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</si>
  <si>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</si>
  <si>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</si>
  <si>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</si>
  <si>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</si>
  <si>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</si>
  <si>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</si>
  <si>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</si>
  <si>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</si>
  <si>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</si>
  <si>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</si>
  <si>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</si>
  <si>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</si>
  <si>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</si>
  <si>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</si>
  <si>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</si>
  <si>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</si>
  <si>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</si>
  <si>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</si>
  <si>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</si>
  <si>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</si>
  <si>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</si>
  <si>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</si>
  <si>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</si>
  <si>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</si>
  <si>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</si>
  <si>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</si>
  <si>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</si>
  <si>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</si>
  <si>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</si>
  <si>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</si>
  <si>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</si>
  <si>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</si>
  <si>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</si>
  <si>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</si>
  <si>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</si>
  <si>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</si>
  <si>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</si>
  <si>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</si>
  <si>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</si>
  <si>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</si>
  <si>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</si>
  <si>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</si>
  <si>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</si>
  <si>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</si>
  <si>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</si>
  <si>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</si>
  <si>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</si>
  <si>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</si>
  <si>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</si>
  <si>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</si>
  <si>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</si>
  <si>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</si>
  <si>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</si>
  <si>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</si>
  <si>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</si>
  <si>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</si>
  <si>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</si>
  <si>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</si>
  <si>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</si>
  <si>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</si>
  <si>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</si>
  <si>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</si>
  <si>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</si>
  <si>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</si>
  <si>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</si>
  <si>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</si>
  <si>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</si>
  <si>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</si>
  <si>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</si>
  <si>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</si>
  <si>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</si>
  <si>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</si>
  <si>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</si>
  <si>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</si>
  <si>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</si>
  <si>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</si>
  <si>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</si>
  <si>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</si>
  <si>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</si>
  <si>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</si>
  <si>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</si>
  <si>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</si>
  <si>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</si>
  <si>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</si>
  <si>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</si>
  <si>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</si>
  <si>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</si>
  <si>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</si>
  <si>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</si>
  <si>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</si>
  <si>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</si>
  <si>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</si>
  <si>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</si>
  <si>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</si>
  <si>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</si>
  <si>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</si>
  <si>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</si>
  <si>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</si>
  <si>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</si>
  <si>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</si>
  <si>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</si>
  <si>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</si>
  <si>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</si>
  <si>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</si>
  <si>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</si>
  <si>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</si>
  <si>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</si>
  <si>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</si>
  <si>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</si>
  <si>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</si>
  <si>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</si>
  <si>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</si>
  <si>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</si>
  <si>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</si>
  <si>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</si>
  <si>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</si>
  <si>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</si>
  <si>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</si>
  <si>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</si>
  <si>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</si>
  <si>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</si>
  <si>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</si>
  <si>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</si>
  <si>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</si>
  <si>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</si>
  <si>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</si>
  <si>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</si>
  <si>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</si>
  <si>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</si>
  <si>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</si>
  <si>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</si>
  <si>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</si>
  <si>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</si>
  <si>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</si>
  <si>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</si>
  <si>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</si>
  <si>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</si>
  <si>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</si>
  <si>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</si>
  <si>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</si>
  <si>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</si>
  <si>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</si>
  <si>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</si>
  <si>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</si>
  <si>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</si>
  <si>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</si>
  <si>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</si>
  <si>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</si>
  <si>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</si>
  <si>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</si>
  <si>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</si>
  <si>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</si>
  <si>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</si>
  <si>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</si>
  <si>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</si>
  <si>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</si>
  <si>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</si>
  <si>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</si>
  <si>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</si>
  <si>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</si>
  <si>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</si>
  <si>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</si>
  <si>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</si>
  <si>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</si>
  <si>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</si>
  <si>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</si>
  <si>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</si>
  <si>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</si>
  <si>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</si>
  <si>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</si>
  <si>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</si>
  <si>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</si>
  <si>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</si>
  <si>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</si>
  <si>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</si>
  <si>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</si>
  <si>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</si>
  <si>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</si>
  <si>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</si>
  <si>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</si>
  <si>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</si>
  <si>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</si>
  <si>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</si>
  <si>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</si>
  <si>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</si>
  <si>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</si>
  <si>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</si>
  <si>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</si>
  <si>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</si>
  <si>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</si>
  <si>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</si>
  <si>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</si>
  <si>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</si>
  <si>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</si>
  <si>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</si>
  <si>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</si>
  <si>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</si>
  <si>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</si>
  <si>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</si>
  <si>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</si>
  <si>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</si>
  <si>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</si>
  <si>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</si>
  <si>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</si>
  <si>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</si>
  <si>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</si>
  <si>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</si>
  <si>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</si>
  <si>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</si>
  <si>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</si>
  <si>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</si>
  <si>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</si>
  <si>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</si>
  <si>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</si>
  <si>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</si>
  <si>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</si>
  <si>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</si>
  <si>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</si>
  <si>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</si>
  <si>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</si>
  <si>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</si>
  <si>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</si>
  <si>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</si>
  <si>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</si>
  <si>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</si>
  <si>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</si>
  <si>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</si>
  <si>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</si>
  <si>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</si>
  <si>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</si>
  <si>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</si>
  <si>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</si>
  <si>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</si>
  <si>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</si>
  <si>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</si>
  <si>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</si>
  <si>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</si>
  <si>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</si>
  <si>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</si>
  <si>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</si>
  <si>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</si>
  <si>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</si>
  <si>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</si>
  <si>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</si>
  <si>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</si>
  <si>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</si>
  <si>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</si>
  <si>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</si>
  <si>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</si>
  <si>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</si>
  <si>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</si>
  <si>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</si>
  <si>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</si>
  <si>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</si>
  <si>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</si>
  <si>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</si>
  <si>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</si>
  <si>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</si>
  <si>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</si>
  <si>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</si>
  <si>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</si>
  <si>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</si>
  <si>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</si>
  <si>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</si>
  <si>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</si>
  <si>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</si>
  <si>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</si>
  <si>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</si>
  <si>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</si>
  <si>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</si>
  <si>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</si>
  <si>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</si>
  <si>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</si>
  <si>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</si>
  <si>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</si>
  <si>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</si>
  <si>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</si>
  <si>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</si>
  <si>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</si>
  <si>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</si>
  <si>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</si>
  <si>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</si>
  <si>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</si>
  <si>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</si>
  <si>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</si>
  <si>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</si>
  <si>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</si>
  <si>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</si>
  <si>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</si>
  <si>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</si>
  <si>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</si>
  <si>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</si>
  <si>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</si>
  <si>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</si>
  <si>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</si>
  <si>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</si>
  <si>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</si>
  <si>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</si>
  <si>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</si>
  <si>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</si>
  <si>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</si>
  <si>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</si>
  <si>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</si>
  <si>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</si>
  <si>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</si>
  <si>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</si>
  <si>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</si>
  <si>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</si>
  <si>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</si>
  <si>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</si>
  <si>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</si>
  <si>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</si>
  <si>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</si>
  <si>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</si>
  <si>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</si>
  <si>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</si>
  <si>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</si>
  <si>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</si>
  <si>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</si>
  <si>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</si>
  <si>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</si>
  <si>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</si>
  <si>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</si>
  <si>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</si>
  <si>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</si>
  <si>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</si>
  <si>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</si>
  <si>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</si>
  <si>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</si>
  <si>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</si>
  <si>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</si>
  <si>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</si>
  <si>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</si>
  <si>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</si>
  <si>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</si>
  <si>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</si>
  <si>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</si>
  <si>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</si>
  <si>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</si>
  <si>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</si>
  <si>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</si>
  <si>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</si>
  <si>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</si>
  <si>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</si>
  <si>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</si>
  <si>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</si>
  <si>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</si>
  <si>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</si>
  <si>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</si>
  <si>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</si>
  <si>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</si>
  <si>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</si>
  <si>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</si>
  <si>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</si>
  <si>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</si>
  <si>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</si>
  <si>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</si>
  <si>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</si>
  <si>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</si>
  <si>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</si>
  <si>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</si>
  <si>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</si>
  <si>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</si>
  <si>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</si>
  <si>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</si>
  <si>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</si>
  <si>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</si>
  <si>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</si>
  <si>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</si>
  <si>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</si>
  <si>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</si>
  <si>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</si>
  <si>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</si>
  <si>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</si>
  <si>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</si>
  <si>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</si>
  <si>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</si>
  <si>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</si>
  <si>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</si>
  <si>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</si>
  <si>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</si>
  <si>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</si>
  <si>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</si>
  <si>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</si>
  <si>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</si>
  <si>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</si>
  <si>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</si>
  <si>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</si>
  <si>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</si>
  <si>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</si>
  <si>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</si>
  <si>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</si>
  <si>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</si>
  <si>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</si>
  <si>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</si>
  <si>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</si>
  <si>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</si>
  <si>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</si>
  <si>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</si>
  <si>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</si>
  <si>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</si>
  <si>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</si>
  <si>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</si>
  <si>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</si>
  <si>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</si>
  <si>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</si>
  <si>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</si>
  <si>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</si>
  <si>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</si>
  <si>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</si>
  <si>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</si>
  <si>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</si>
  <si>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</si>
  <si>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</si>
  <si>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</si>
  <si>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</si>
  <si>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</si>
  <si>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</si>
  <si>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</si>
  <si>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</si>
  <si>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</si>
  <si>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</si>
  <si>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</si>
  <si>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</si>
  <si>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</si>
  <si>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</si>
  <si>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</si>
  <si>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</si>
  <si>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</si>
  <si>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</si>
  <si>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</si>
  <si>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</si>
  <si>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</si>
  <si>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</si>
  <si>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</si>
  <si>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</si>
  <si>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</si>
  <si>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</si>
  <si>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</si>
  <si>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</si>
  <si>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</si>
  <si>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</si>
  <si>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</si>
  <si>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</si>
  <si>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</si>
  <si>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</si>
  <si>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</si>
  <si>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</si>
  <si>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</si>
  <si>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</si>
  <si>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</si>
  <si>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</si>
  <si>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</si>
  <si>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</si>
  <si>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</si>
  <si>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</si>
  <si>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</si>
  <si>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</si>
  <si>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</si>
  <si>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</si>
  <si>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</si>
  <si>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</si>
  <si>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</si>
  <si>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</si>
  <si>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</si>
  <si>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</si>
  <si>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</si>
  <si>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</si>
  <si>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</si>
  <si>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</si>
  <si>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</si>
  <si>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</si>
  <si>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</si>
  <si>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</si>
  <si>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</si>
  <si>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</si>
  <si>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</si>
  <si>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</si>
  <si>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</si>
  <si>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</si>
  <si>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</si>
  <si>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</si>
  <si>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</si>
  <si>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</si>
  <si>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</si>
  <si>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</si>
  <si>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</si>
  <si>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</si>
  <si>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</si>
  <si>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</si>
  <si>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</si>
  <si>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</si>
  <si>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</si>
  <si>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</si>
  <si>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</si>
  <si>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</si>
  <si>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</si>
  <si>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</si>
  <si>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</si>
  <si>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</si>
  <si>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</si>
  <si>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</si>
  <si>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</si>
  <si>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</si>
  <si>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</si>
  <si>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</si>
  <si>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</si>
  <si>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</si>
  <si>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</si>
  <si>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</si>
  <si>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</si>
  <si>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</si>
  <si>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</si>
  <si>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</si>
  <si>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</si>
  <si>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</si>
  <si>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</si>
  <si>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</si>
  <si>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</si>
  <si>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</si>
  <si>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</si>
  <si>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</si>
  <si>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</si>
  <si>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</si>
  <si>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</si>
  <si>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</si>
  <si>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</si>
  <si>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</si>
  <si>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</si>
  <si>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</si>
  <si>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</si>
  <si>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</si>
  <si>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</si>
  <si>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</si>
  <si>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</si>
  <si>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</si>
  <si>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</si>
  <si>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</si>
  <si>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</si>
  <si>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</si>
  <si>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</si>
  <si>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</si>
  <si>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</si>
  <si>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</si>
  <si>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</si>
  <si>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</si>
  <si>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</si>
  <si>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</si>
  <si>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</si>
  <si>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</si>
  <si>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</si>
  <si>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</si>
  <si>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</si>
  <si>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</si>
  <si>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</si>
  <si>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</si>
  <si>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</si>
  <si>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</si>
  <si>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</si>
  <si>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</si>
  <si>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</si>
  <si>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</si>
  <si>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</si>
  <si>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</si>
  <si>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</si>
  <si>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</si>
  <si>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</si>
  <si>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</si>
  <si>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</si>
  <si>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</si>
  <si>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</si>
  <si>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</si>
  <si>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</si>
  <si>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</si>
  <si>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</si>
  <si>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</si>
  <si>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</si>
  <si>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</si>
  <si>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</si>
  <si>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</si>
  <si>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</si>
  <si>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</si>
  <si>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</si>
  <si>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</si>
  <si>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</si>
  <si>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</si>
  <si>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</si>
  <si>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</si>
  <si>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</si>
  <si>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</si>
  <si>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</si>
  <si>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</si>
  <si>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</si>
  <si>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</si>
  <si>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</si>
  <si>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</si>
  <si>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</si>
  <si>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</si>
  <si>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</si>
  <si>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</si>
  <si>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</si>
  <si>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</si>
  <si>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</si>
  <si>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</si>
  <si>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</si>
  <si>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</si>
  <si>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</si>
  <si>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</si>
  <si>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</si>
  <si>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</si>
  <si>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</si>
  <si>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</si>
  <si>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</si>
  <si>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</si>
  <si>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</si>
  <si>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</si>
  <si>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</si>
  <si>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</si>
  <si>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</si>
  <si>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</si>
  <si>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</si>
  <si>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</si>
  <si>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</si>
  <si>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</si>
  <si>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</si>
  <si>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</si>
  <si>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</si>
  <si>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</si>
  <si>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</si>
  <si>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</si>
  <si>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</si>
  <si>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</si>
  <si>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</si>
  <si>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</si>
  <si>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</si>
  <si>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</si>
  <si>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</si>
  <si>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</si>
  <si>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</si>
  <si>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</si>
  <si>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</si>
  <si>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</si>
  <si>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</si>
  <si>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</si>
  <si>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</si>
  <si>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</si>
  <si>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</si>
  <si>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</si>
  <si>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</si>
  <si>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</si>
  <si>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</si>
  <si>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</si>
  <si>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</si>
  <si>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</si>
  <si>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</si>
  <si>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</si>
  <si>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</si>
  <si>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</si>
  <si>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</si>
  <si>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</si>
  <si>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</si>
  <si>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</si>
  <si>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</si>
  <si>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</si>
  <si>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</si>
  <si>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</si>
  <si>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</si>
  <si>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</si>
  <si>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</si>
  <si>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</si>
  <si>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</si>
  <si>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</si>
  <si>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</si>
  <si>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</si>
  <si>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</si>
  <si>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</si>
  <si>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</si>
  <si>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</si>
  <si>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</si>
  <si>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</si>
  <si>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</si>
  <si>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</si>
  <si>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</si>
  <si>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</si>
  <si>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</si>
  <si>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</si>
  <si>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</si>
  <si>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</si>
  <si>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</si>
  <si>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</si>
  <si>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</si>
  <si>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</si>
  <si>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</si>
  <si>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</si>
  <si>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</si>
  <si>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</si>
  <si>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</si>
  <si>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</si>
  <si>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</si>
  <si>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</si>
  <si>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</si>
  <si>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</si>
  <si>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</si>
  <si>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</si>
  <si>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</si>
  <si>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</si>
  <si>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</si>
  <si>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</si>
  <si>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</si>
  <si>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</si>
  <si>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</si>
  <si>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</si>
  <si>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</si>
  <si>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</si>
  <si>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</si>
  <si>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</si>
  <si>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</si>
  <si>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</si>
  <si>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</si>
  <si>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</si>
  <si>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</si>
  <si>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</si>
  <si>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</si>
  <si>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</si>
  <si>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</si>
  <si>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</si>
  <si>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</si>
  <si>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</si>
  <si>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</si>
  <si>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</si>
  <si>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</si>
  <si>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</si>
  <si>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</si>
  <si>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</si>
  <si>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</si>
  <si>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</si>
  <si>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</si>
  <si>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</si>
  <si>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</si>
  <si>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</si>
  <si>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</si>
  <si>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</si>
  <si>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</si>
  <si>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</si>
  <si>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</si>
  <si>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</si>
  <si>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</si>
  <si>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</si>
  <si>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</si>
  <si>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</si>
  <si>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</si>
  <si>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</si>
  <si>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</si>
  <si>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</si>
  <si>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</si>
  <si>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</si>
  <si>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</si>
  <si>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</si>
  <si>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</si>
  <si>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</si>
  <si>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</si>
  <si>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</si>
  <si>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</si>
  <si>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</si>
  <si>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</si>
  <si>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</si>
  <si>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</si>
  <si>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</si>
  <si>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</si>
  <si>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</si>
  <si>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</si>
  <si>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</si>
  <si>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</si>
  <si>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</si>
  <si>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</si>
  <si>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</si>
  <si>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</si>
  <si>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</si>
  <si>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</si>
  <si>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</si>
  <si>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</si>
  <si>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</si>
  <si>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</si>
  <si>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</si>
  <si>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</si>
  <si>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</si>
  <si>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</si>
  <si>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</si>
  <si>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</si>
  <si>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</si>
  <si>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</si>
  <si>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</si>
  <si>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</si>
  <si>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</si>
  <si>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</si>
  <si>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</si>
  <si>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</si>
  <si>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</si>
  <si>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</si>
  <si>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</si>
  <si>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</si>
  <si>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</si>
  <si>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</si>
  <si>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</si>
  <si>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</si>
  <si>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</si>
  <si>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</si>
  <si>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</si>
  <si>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</si>
  <si>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</si>
  <si>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</si>
  <si>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</si>
  <si>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</si>
  <si>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</si>
  <si>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</si>
  <si>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</si>
  <si>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</si>
  <si>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</si>
  <si>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</si>
  <si>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</si>
  <si>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</si>
  <si>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</si>
  <si>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</si>
  <si>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</si>
  <si>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</si>
  <si>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</si>
  <si>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</si>
  <si>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</si>
  <si>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</si>
  <si>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</si>
  <si>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</si>
  <si>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</si>
  <si>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</si>
  <si>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</si>
  <si>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</si>
  <si>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</si>
  <si>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</si>
  <si>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</si>
  <si>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</si>
  <si>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</si>
  <si>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</si>
  <si>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</si>
  <si>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</si>
  <si>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</si>
  <si>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</si>
  <si>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</si>
  <si>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</si>
  <si>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</si>
  <si>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</si>
  <si>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</si>
  <si>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</si>
  <si>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</si>
  <si>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</si>
  <si>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</si>
  <si>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</si>
  <si>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</si>
  <si>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</si>
  <si>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</si>
  <si>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</si>
  <si>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</si>
  <si>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</si>
  <si>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</si>
  <si>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</si>
  <si>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</si>
  <si>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</si>
  <si>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</si>
  <si>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</si>
  <si>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</si>
  <si>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</si>
  <si>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</si>
  <si>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</si>
  <si>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</si>
  <si>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</si>
  <si>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</si>
  <si>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</si>
  <si>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</si>
  <si>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</si>
  <si>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</si>
  <si>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</si>
  <si>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</si>
  <si>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</si>
  <si>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</si>
  <si>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</si>
  <si>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</si>
  <si>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</si>
  <si>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</si>
  <si>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</si>
  <si>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</si>
  <si>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</si>
  <si>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</si>
  <si>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</si>
  <si>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</si>
  <si>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</si>
  <si>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</si>
  <si>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</si>
  <si>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</si>
  <si>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</si>
  <si>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</si>
  <si>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</si>
  <si>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</si>
  <si>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</si>
  <si>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</si>
  <si>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</si>
  <si>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</si>
  <si>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</si>
  <si>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</si>
  <si>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</si>
  <si>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</si>
  <si>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</si>
  <si>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</si>
  <si>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</si>
  <si>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</si>
  <si>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</si>
  <si>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</si>
  <si>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</si>
  <si>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</si>
  <si>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</si>
  <si>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</si>
  <si>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</si>
  <si>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</si>
  <si>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</si>
  <si>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</si>
  <si>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</si>
  <si>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</si>
  <si>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</si>
  <si>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</si>
  <si>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</si>
  <si>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</si>
  <si>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</si>
  <si>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</si>
  <si>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</si>
  <si>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</si>
  <si>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</si>
  <si>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</si>
  <si>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</si>
  <si>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</si>
  <si>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</si>
  <si>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</si>
  <si>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</si>
  <si>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</si>
  <si>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</si>
  <si>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</si>
  <si>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</si>
  <si>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</si>
  <si>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</si>
  <si>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</si>
  <si>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</si>
  <si>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</si>
  <si>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</si>
  <si>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</si>
  <si>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</si>
  <si>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</si>
  <si>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</si>
  <si>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</si>
  <si>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</si>
  <si>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</si>
  <si>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</si>
  <si>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</si>
  <si>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</si>
  <si>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</si>
  <si>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</si>
  <si>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</si>
  <si>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</si>
  <si>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</si>
  <si>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</si>
  <si>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</si>
  <si>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</si>
  <si>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</si>
  <si>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</si>
  <si>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</si>
  <si>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</si>
  <si>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</si>
  <si>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</si>
  <si>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</si>
  <si>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</si>
  <si>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</si>
  <si>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</si>
  <si>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</si>
  <si>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</si>
  <si>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</si>
  <si>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</si>
  <si>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</si>
  <si>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</si>
  <si>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</si>
  <si>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</si>
  <si>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</si>
  <si>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</si>
  <si>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</si>
  <si>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</si>
  <si>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</si>
  <si>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</si>
  <si>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</si>
  <si>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</si>
  <si>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</si>
  <si>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</si>
  <si>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</si>
  <si>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</si>
  <si>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</si>
  <si>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</si>
  <si>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</si>
  <si>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</si>
  <si>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</si>
  <si>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</si>
  <si>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</si>
  <si>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</si>
  <si>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</si>
  <si>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</si>
  <si>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</si>
  <si>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</si>
  <si>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</si>
  <si>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</si>
  <si>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</si>
  <si>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</si>
  <si>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</si>
  <si>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</si>
  <si>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</si>
  <si>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</si>
  <si>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</si>
  <si>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</si>
  <si>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</si>
  <si>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</si>
  <si>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</si>
  <si>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</si>
  <si>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</si>
  <si>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</si>
  <si>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</si>
  <si>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</si>
  <si>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</si>
  <si>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</si>
  <si>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</si>
  <si>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</si>
  <si>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</si>
  <si>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</si>
  <si>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</si>
  <si>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</si>
  <si>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</si>
  <si>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</si>
  <si>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</si>
  <si>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</si>
  <si>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</si>
  <si>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</si>
  <si>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</si>
  <si>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</si>
  <si>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</si>
  <si>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</si>
  <si>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</si>
  <si>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</si>
  <si>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</si>
  <si>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</si>
  <si>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</si>
  <si>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</si>
  <si>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</si>
  <si>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</si>
  <si>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</si>
  <si>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</si>
  <si>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</si>
  <si>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</si>
  <si>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</si>
  <si>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</si>
  <si>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</si>
  <si>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</si>
  <si>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</si>
  <si>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</si>
  <si>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</si>
  <si>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</si>
  <si>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</si>
  <si>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</si>
  <si>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</si>
  <si>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</si>
  <si>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</si>
  <si>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</si>
  <si>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</si>
  <si>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</si>
  <si>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</si>
  <si>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</si>
  <si>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</si>
  <si>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</si>
  <si>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</si>
  <si>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</si>
  <si>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</si>
  <si>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</si>
  <si>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</si>
  <si>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</si>
  <si>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</si>
  <si>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</si>
  <si>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</si>
  <si>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</si>
  <si>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</si>
  <si>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</si>
  <si>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</si>
  <si>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</si>
  <si>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</si>
  <si>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</si>
  <si>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</si>
  <si>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</si>
  <si>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</si>
  <si>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</si>
  <si>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</si>
  <si>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</si>
  <si>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</si>
  <si>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</si>
  <si>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</si>
  <si>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</si>
  <si>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</si>
  <si>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</si>
  <si>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</si>
  <si>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</si>
  <si>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</si>
  <si>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</si>
  <si>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</si>
  <si>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</si>
  <si>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</si>
  <si>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</si>
  <si>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</si>
  <si>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</si>
  <si>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</si>
  <si>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</si>
  <si>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</si>
  <si>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</si>
  <si>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</si>
  <si>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</si>
  <si>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</si>
  <si>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</si>
  <si>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</si>
  <si>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</si>
  <si>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</si>
  <si>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</si>
  <si>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</si>
  <si>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</si>
  <si>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</si>
  <si>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</si>
  <si>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</si>
  <si>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</si>
  <si>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</si>
  <si>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</si>
  <si>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</si>
  <si>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</si>
  <si>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</si>
  <si>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</si>
  <si>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</si>
  <si>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</si>
  <si>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</si>
  <si>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</si>
  <si>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</si>
  <si>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</si>
  <si>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</si>
  <si>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</si>
  <si>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</si>
  <si>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</si>
  <si>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</si>
  <si>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</si>
  <si>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</si>
  <si>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</si>
  <si>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</si>
  <si>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</si>
  <si>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</si>
  <si>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</si>
  <si>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</si>
  <si>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</si>
  <si>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</si>
  <si>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</si>
  <si>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</si>
  <si>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</si>
  <si>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</si>
  <si>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</si>
  <si>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</si>
  <si>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</si>
  <si>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</si>
  <si>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</si>
  <si>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</si>
  <si>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</si>
  <si>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</si>
  <si>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</si>
  <si>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</si>
  <si>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</si>
  <si>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</si>
  <si>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</si>
  <si>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</si>
  <si>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</si>
  <si>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</si>
  <si>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</si>
  <si>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</si>
  <si>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</si>
  <si>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</si>
  <si>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</si>
  <si>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</si>
  <si>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</si>
  <si>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</si>
  <si>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</si>
  <si>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</si>
  <si>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</si>
  <si>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</si>
  <si>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</si>
  <si>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</si>
  <si>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</si>
  <si>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</si>
  <si>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</si>
  <si>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</si>
  <si>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</si>
  <si>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</si>
  <si>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</si>
  <si>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</si>
  <si>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</si>
  <si>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</si>
  <si>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</si>
  <si>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</si>
  <si>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</si>
  <si>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</si>
  <si>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</si>
  <si>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</si>
  <si>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</si>
  <si>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</si>
  <si>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</si>
  <si>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</si>
  <si>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</si>
  <si>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</si>
  <si>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</si>
  <si>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</si>
  <si>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</si>
  <si>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</si>
  <si>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</si>
  <si>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</si>
  <si>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</si>
  <si>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</si>
  <si>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</si>
  <si>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</si>
  <si>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</si>
  <si>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</si>
  <si>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</si>
  <si>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</si>
  <si>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</si>
  <si>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</si>
  <si>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</si>
  <si>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</si>
  <si>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</si>
  <si>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</si>
  <si>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</si>
  <si>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</si>
  <si>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</si>
  <si>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</si>
  <si>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</si>
  <si>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</si>
  <si>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</si>
  <si>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</si>
  <si>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</si>
  <si>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</si>
  <si>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</si>
  <si>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</si>
  <si>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</si>
  <si>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</si>
  <si>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</si>
  <si>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</si>
  <si>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</si>
  <si>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</si>
  <si>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</si>
  <si>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</si>
  <si>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</si>
  <si>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</si>
  <si>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</si>
  <si>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</si>
  <si>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</si>
  <si>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</si>
  <si>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</si>
  <si>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</si>
  <si>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</si>
  <si>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</si>
  <si>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</si>
  <si>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</si>
  <si>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</si>
  <si>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</si>
  <si>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</si>
  <si>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</si>
  <si>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</si>
  <si>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</si>
  <si>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</si>
  <si>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</si>
  <si>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</si>
  <si>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</si>
  <si>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</si>
  <si>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</si>
  <si>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</si>
  <si>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</si>
  <si>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</si>
  <si>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</si>
  <si>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</si>
  <si>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</si>
  <si>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</si>
  <si>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</si>
  <si>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</si>
  <si>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</si>
  <si>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</si>
  <si>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</si>
  <si>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</si>
  <si>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</si>
  <si>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</si>
  <si>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</si>
  <si>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</si>
  <si>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</si>
  <si>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</si>
  <si>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</si>
  <si>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</si>
  <si>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</si>
  <si>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</si>
  <si>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</si>
  <si>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</si>
  <si>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</si>
  <si>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</si>
  <si>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</si>
  <si>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</si>
  <si>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</si>
  <si>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</si>
  <si>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</si>
  <si>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</si>
  <si>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</si>
  <si>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</si>
  <si>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</si>
  <si>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</si>
  <si>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</si>
  <si>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</si>
  <si>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</si>
  <si>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</si>
  <si>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</si>
  <si>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</si>
  <si>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</si>
  <si>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</si>
  <si>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</si>
  <si>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</si>
  <si>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</si>
  <si>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</si>
  <si>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</si>
  <si>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</si>
  <si>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</si>
  <si>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</si>
  <si>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</si>
  <si>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</si>
  <si>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</si>
  <si>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</si>
  <si>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</si>
  <si>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</si>
  <si>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</si>
  <si>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</si>
  <si>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</si>
  <si>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</si>
  <si>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</si>
  <si>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</si>
  <si>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</si>
  <si>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</si>
  <si>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</si>
  <si>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</si>
  <si>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</si>
  <si>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</si>
  <si>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</si>
  <si>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</si>
  <si>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</si>
  <si>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</si>
  <si>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</si>
  <si>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</si>
  <si>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</si>
  <si>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</si>
  <si>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</si>
  <si>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</si>
  <si>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</si>
  <si>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</si>
  <si>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</si>
  <si>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</si>
  <si>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</si>
  <si>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</si>
  <si>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</si>
  <si>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</si>
  <si>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</si>
  <si>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</si>
  <si>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</si>
  <si>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</si>
  <si>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</si>
  <si>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</si>
  <si>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</si>
  <si>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</si>
  <si>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</si>
  <si>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</si>
  <si>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</si>
  <si>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</si>
  <si>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</si>
  <si>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</si>
  <si>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</si>
  <si>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</si>
  <si>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</si>
  <si>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</si>
  <si>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</si>
  <si>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</si>
  <si>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</si>
  <si>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</si>
  <si>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</si>
  <si>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</si>
  <si>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</si>
  <si>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</si>
  <si>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</si>
  <si>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</si>
  <si>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</si>
  <si>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</si>
  <si>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</si>
  <si>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</si>
  <si>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</si>
  <si>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</si>
  <si>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</si>
  <si>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</si>
  <si>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</si>
  <si>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</si>
  <si>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</si>
  <si>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</si>
  <si>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</si>
  <si>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</si>
  <si>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</si>
  <si>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</si>
  <si>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</si>
  <si>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</si>
  <si>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</si>
  <si>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</si>
  <si>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</si>
  <si>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</si>
  <si>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</si>
  <si>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</si>
  <si>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</si>
  <si>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</si>
  <si>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</si>
  <si>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</si>
  <si>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</si>
  <si>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</si>
  <si>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</si>
  <si>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</si>
  <si>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</si>
  <si>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</si>
  <si>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</si>
  <si>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</si>
  <si>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</si>
  <si>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</si>
  <si>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</si>
  <si>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</si>
  <si>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</si>
  <si>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</si>
  <si>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</si>
  <si>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</si>
  <si>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</si>
  <si>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</si>
  <si>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</si>
  <si>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</si>
  <si>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</si>
  <si>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</si>
  <si>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</si>
  <si>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</si>
  <si>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</si>
  <si>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</si>
  <si>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</si>
  <si>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</si>
  <si>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</si>
  <si>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</si>
  <si>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</si>
  <si>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</si>
  <si>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</si>
  <si>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</si>
  <si>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</si>
  <si>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</si>
  <si>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</si>
  <si>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</si>
  <si>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</si>
  <si>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</si>
  <si>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</si>
  <si>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</si>
  <si>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</si>
  <si>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</si>
  <si>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</si>
  <si>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</si>
  <si>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</si>
  <si>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</si>
  <si>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</si>
  <si>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</si>
  <si>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</si>
  <si>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</si>
  <si>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</si>
  <si>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</si>
  <si>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</si>
  <si>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</si>
  <si>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</si>
  <si>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</si>
  <si>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</si>
  <si>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</si>
  <si>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</si>
  <si>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</si>
  <si>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</si>
  <si>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</si>
  <si>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</si>
  <si>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</si>
  <si>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</si>
  <si>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</si>
  <si>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</si>
  <si>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</si>
  <si>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</si>
  <si>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</si>
  <si>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</si>
  <si>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</si>
  <si>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</si>
  <si>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</si>
  <si>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</si>
  <si>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</si>
  <si>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</si>
  <si>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</si>
  <si>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</si>
  <si>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</si>
  <si>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</si>
  <si>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</si>
  <si>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</si>
  <si>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</si>
  <si>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</si>
  <si>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</si>
  <si>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</si>
  <si>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</si>
  <si>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</si>
  <si>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</si>
  <si>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</si>
  <si>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</si>
  <si>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</si>
  <si>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</si>
  <si>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</si>
  <si>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</si>
  <si>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</si>
  <si>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</si>
  <si>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</si>
  <si>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</si>
  <si>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</si>
  <si>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</si>
  <si>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</si>
  <si>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</si>
  <si>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</si>
  <si>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</si>
  <si>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</si>
  <si>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</si>
  <si>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</si>
  <si>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</si>
  <si>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</si>
  <si>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</si>
  <si>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</si>
  <si>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</si>
  <si>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</si>
  <si>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</si>
  <si>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</si>
  <si>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</si>
  <si>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</si>
  <si>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</si>
  <si>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</si>
  <si>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</si>
  <si>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</si>
  <si>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</si>
  <si>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</si>
  <si>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</si>
  <si>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</si>
  <si>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</si>
  <si>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</si>
  <si>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</si>
  <si>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</si>
  <si>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</si>
  <si>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</si>
  <si>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</si>
  <si>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</si>
  <si>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</si>
  <si>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</si>
  <si>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</si>
  <si>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</si>
  <si>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</si>
  <si>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</si>
  <si>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</si>
  <si>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</si>
  <si>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</si>
  <si>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</si>
  <si>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</si>
  <si>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</si>
  <si>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</si>
  <si>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</si>
  <si>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</si>
  <si>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</si>
  <si>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</si>
  <si>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</si>
  <si>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</si>
  <si>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</si>
  <si>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</si>
  <si>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</si>
  <si>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</si>
  <si>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</si>
  <si>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</si>
  <si>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</si>
  <si>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</si>
  <si>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</si>
  <si>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</si>
  <si>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</si>
  <si>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</si>
  <si>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</si>
  <si>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</si>
  <si>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</si>
  <si>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</si>
  <si>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</si>
  <si>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</si>
  <si>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</si>
  <si>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</si>
  <si>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</si>
  <si>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</si>
  <si>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</si>
  <si>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</si>
  <si>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</si>
  <si>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</si>
  <si>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</si>
  <si>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</si>
  <si>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</si>
  <si>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</si>
  <si>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</si>
  <si>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</si>
  <si>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</si>
  <si>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</si>
  <si>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</si>
  <si>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</si>
  <si>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</si>
  <si>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</si>
  <si>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</si>
  <si>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</si>
  <si>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</si>
  <si>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</si>
  <si>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</si>
  <si>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</si>
  <si>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</si>
  <si>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</si>
  <si>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</si>
  <si>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</si>
  <si>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</si>
  <si>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</si>
  <si>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</si>
  <si>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</si>
  <si>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</si>
  <si>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</si>
  <si>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</si>
  <si>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</si>
  <si>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</si>
  <si>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</si>
  <si>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</si>
  <si>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</si>
  <si>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</si>
  <si>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</si>
  <si>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</si>
  <si>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</si>
  <si>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</si>
  <si>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</si>
  <si>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</si>
  <si>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</si>
  <si>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</si>
  <si>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</si>
  <si>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</si>
  <si>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</si>
  <si>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</si>
  <si>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</si>
  <si>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</si>
  <si>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</si>
  <si>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</si>
  <si>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</si>
  <si>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</si>
  <si>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</si>
  <si>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</si>
  <si>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</si>
  <si>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</si>
  <si>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</si>
  <si>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</si>
  <si>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</si>
  <si>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</si>
  <si>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</si>
  <si>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</si>
  <si>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</si>
  <si>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</si>
  <si>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</si>
  <si>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</si>
  <si>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</si>
  <si>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</si>
  <si>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</si>
  <si>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</si>
  <si>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</si>
  <si>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</si>
  <si>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</si>
  <si>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</si>
  <si>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</si>
  <si>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</si>
  <si>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</si>
  <si>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</si>
  <si>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</si>
  <si>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</si>
  <si>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</si>
  <si>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</si>
  <si>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</si>
  <si>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</si>
  <si>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</si>
  <si>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</si>
  <si>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</si>
  <si>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</si>
  <si>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</si>
  <si>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</si>
  <si>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</si>
  <si>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</si>
  <si>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</si>
  <si>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</si>
  <si>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</si>
  <si>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</si>
  <si>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</si>
  <si>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</si>
  <si>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</si>
  <si>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</si>
  <si>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</si>
  <si>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</si>
  <si>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</si>
  <si>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</si>
  <si>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</si>
  <si>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</si>
  <si>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</si>
  <si>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</si>
  <si>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</si>
  <si>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</si>
  <si>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</si>
  <si>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</si>
  <si>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</si>
  <si>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</si>
  <si>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</si>
  <si>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</si>
  <si>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</si>
  <si>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</si>
  <si>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</si>
  <si>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</si>
  <si>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</si>
  <si>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</si>
  <si>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</si>
  <si>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</si>
  <si>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</si>
  <si>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</si>
  <si>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</si>
  <si>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</si>
  <si>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</si>
  <si>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</si>
  <si>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</si>
  <si>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</si>
  <si>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</si>
  <si>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</si>
  <si>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</si>
  <si>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</si>
  <si>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</si>
  <si>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</si>
  <si>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</si>
  <si>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</si>
  <si>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</si>
  <si>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</si>
  <si>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</si>
  <si>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</si>
  <si>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</si>
  <si>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</si>
  <si>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</si>
  <si>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</si>
  <si>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</si>
  <si>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</si>
  <si>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</si>
  <si>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</si>
  <si>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</si>
  <si>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</si>
  <si>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</si>
  <si>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</si>
  <si>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</si>
  <si>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</si>
  <si>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</si>
  <si>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</si>
  <si>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</si>
  <si>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</si>
  <si>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</si>
  <si>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</si>
  <si>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</si>
  <si>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</si>
  <si>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</si>
  <si>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</si>
  <si>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</si>
  <si>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</si>
  <si>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</si>
  <si>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</si>
  <si>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</si>
  <si>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</si>
  <si>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</si>
  <si>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</si>
  <si>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</si>
  <si>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</si>
  <si>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</si>
  <si>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</si>
  <si>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</si>
  <si>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</si>
  <si>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</si>
  <si>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</si>
  <si>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</si>
  <si>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</si>
  <si>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</si>
  <si>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</si>
  <si>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</si>
  <si>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</si>
  <si>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</si>
  <si>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</si>
  <si>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</si>
  <si>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</si>
  <si>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</si>
  <si>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</si>
  <si>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</si>
  <si>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</si>
  <si>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</si>
  <si>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</si>
  <si>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</si>
  <si>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</si>
  <si>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</si>
  <si>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</si>
  <si>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</si>
  <si>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</si>
  <si>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</si>
  <si>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</si>
  <si>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</si>
  <si>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</si>
  <si>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</si>
  <si>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</si>
  <si>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</si>
  <si>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</si>
  <si>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</si>
  <si>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</si>
  <si>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</si>
  <si>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</si>
  <si>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</si>
  <si>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</si>
  <si>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</si>
  <si>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</si>
  <si>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</si>
  <si>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</si>
  <si>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</si>
  <si>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</si>
  <si>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</si>
  <si>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</si>
  <si>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</si>
  <si>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</si>
  <si>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</si>
  <si>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</si>
  <si>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</si>
  <si>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</si>
  <si>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</si>
  <si>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</si>
  <si>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</si>
  <si>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</si>
  <si>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</si>
  <si>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</si>
  <si>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</si>
  <si>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</si>
  <si>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</si>
  <si>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</si>
  <si>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</si>
  <si>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</si>
  <si>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</si>
  <si>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</si>
  <si>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</si>
  <si>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</si>
  <si>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</si>
  <si>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</si>
  <si>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</si>
  <si>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</si>
  <si>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</si>
  <si>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</si>
  <si>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</si>
  <si>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</si>
  <si>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</si>
  <si>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</si>
  <si>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</si>
  <si>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</si>
  <si>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</si>
  <si>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</si>
  <si>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</si>
  <si>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</si>
  <si>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</si>
  <si>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</si>
  <si>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</si>
  <si>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</si>
  <si>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</si>
  <si>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</si>
  <si>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</si>
  <si>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</si>
  <si>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</si>
  <si>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</si>
  <si>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</si>
  <si>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</si>
  <si>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</si>
  <si>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</si>
  <si>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</si>
  <si>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</si>
  <si>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</si>
  <si>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</si>
  <si>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</si>
  <si>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</si>
  <si>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</si>
  <si>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</si>
  <si>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</si>
  <si>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</si>
  <si>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</si>
  <si>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</si>
  <si>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</si>
  <si>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</si>
  <si>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</si>
  <si>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</si>
  <si>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</si>
  <si>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</si>
  <si>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</si>
  <si>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</si>
  <si>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</si>
  <si>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</si>
  <si>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</si>
  <si>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</si>
  <si>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</si>
  <si>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</si>
  <si>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</si>
  <si>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</si>
  <si>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</si>
  <si>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</si>
  <si>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</si>
  <si>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</si>
  <si>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</si>
  <si>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</si>
  <si>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</si>
  <si>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</si>
  <si>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</si>
  <si>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</si>
  <si>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</si>
  <si>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</si>
  <si>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</si>
  <si>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</si>
  <si>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</si>
  <si>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</si>
  <si>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</si>
  <si>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</si>
  <si>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</si>
  <si>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</si>
  <si>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</si>
  <si>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</si>
  <si>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</si>
  <si>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</si>
  <si>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</si>
  <si>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</si>
  <si>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</si>
  <si>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</si>
  <si>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</si>
  <si>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</si>
  <si>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</si>
  <si>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</si>
  <si>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</si>
  <si>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</si>
  <si>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</si>
  <si>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</si>
  <si>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</si>
  <si>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</si>
  <si>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</si>
  <si>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</si>
  <si>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</si>
  <si>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</si>
  <si>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</si>
  <si>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</si>
  <si>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</si>
  <si>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</si>
  <si>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</si>
  <si>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</si>
  <si>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</si>
  <si>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</si>
  <si>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</si>
  <si>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</si>
  <si>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</si>
  <si>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</si>
  <si>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</si>
  <si>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</si>
  <si>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</si>
  <si>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</si>
  <si>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</si>
  <si>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</si>
  <si>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</si>
  <si>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</si>
  <si>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</si>
  <si>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</si>
  <si>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</si>
  <si>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</si>
  <si>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</si>
  <si>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</si>
  <si>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</si>
  <si>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</si>
  <si>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</si>
  <si>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</si>
  <si>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</si>
  <si>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</si>
  <si>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</si>
  <si>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</si>
  <si>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</si>
  <si>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</si>
  <si>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</si>
  <si>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</si>
  <si>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</si>
  <si>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</si>
  <si>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</si>
  <si>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</si>
  <si>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</si>
  <si>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</si>
  <si>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</si>
  <si>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</si>
  <si>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</si>
  <si>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</si>
  <si>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</si>
  <si>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</si>
  <si>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</si>
  <si>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</si>
  <si>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</si>
  <si>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</si>
  <si>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</si>
  <si>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</si>
  <si>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</si>
  <si>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</si>
  <si>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</si>
  <si>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</si>
  <si>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</si>
  <si>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</si>
  <si>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</si>
  <si>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</si>
  <si>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</si>
  <si>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</si>
  <si>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</si>
  <si>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</si>
  <si>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</si>
  <si>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</si>
  <si>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</si>
  <si>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</si>
  <si>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</si>
  <si>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</si>
  <si>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</si>
  <si>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</si>
  <si>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</si>
  <si>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</si>
  <si>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</si>
  <si>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</si>
  <si>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</si>
  <si>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</si>
  <si>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</si>
  <si>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</si>
  <si>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</si>
  <si>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</si>
  <si>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</si>
  <si>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</si>
  <si>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</si>
  <si>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</si>
  <si>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</si>
  <si>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</si>
  <si>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</si>
  <si>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</si>
  <si>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</si>
  <si>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</si>
  <si>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</si>
  <si>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</si>
  <si>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</si>
  <si>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</si>
  <si>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</si>
  <si>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</si>
  <si>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</si>
  <si>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</si>
  <si>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</si>
  <si>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</si>
  <si>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</si>
  <si>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</si>
  <si>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</si>
  <si>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</si>
  <si>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</si>
  <si>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</si>
  <si>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</si>
  <si>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</si>
  <si>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</si>
  <si>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</si>
  <si>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</si>
  <si>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</si>
  <si>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</si>
  <si>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</si>
  <si>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</si>
  <si>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</si>
  <si>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</si>
  <si>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</si>
  <si>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</si>
  <si>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</si>
  <si>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</si>
  <si>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</si>
  <si>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</si>
  <si>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</si>
  <si>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</si>
  <si>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</si>
  <si>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</si>
  <si>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</si>
  <si>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</si>
  <si>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</si>
  <si>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</si>
  <si>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</si>
  <si>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</si>
  <si>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</si>
  <si>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</si>
  <si>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</si>
  <si>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</si>
  <si>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</si>
  <si>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</si>
  <si>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</si>
  <si>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</si>
  <si>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</si>
  <si>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</si>
  <si>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</si>
  <si>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</si>
  <si>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</si>
  <si>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</si>
  <si>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</si>
  <si>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</si>
  <si>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</si>
  <si>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</si>
  <si>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</si>
  <si>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</si>
  <si>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</si>
  <si>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</si>
  <si>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</si>
  <si>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</si>
  <si>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</si>
  <si>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</si>
  <si>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</si>
  <si>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</si>
  <si>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</si>
  <si>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</si>
  <si>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</si>
  <si>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</si>
  <si>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</si>
  <si>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</si>
  <si>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</si>
  <si>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</si>
  <si>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</si>
  <si>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</si>
  <si>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</si>
  <si>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</si>
  <si>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</si>
  <si>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</si>
  <si>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</si>
  <si>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</si>
  <si>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</si>
  <si>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</si>
  <si>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</si>
  <si>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</si>
  <si>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</si>
  <si>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</si>
  <si>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</si>
  <si>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</si>
  <si>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</si>
  <si>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</si>
  <si>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</si>
  <si>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</si>
  <si>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</si>
  <si>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</si>
  <si>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</si>
  <si>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</si>
  <si>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</si>
  <si>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</si>
  <si>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</si>
  <si>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</si>
  <si>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</si>
  <si>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</si>
  <si>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</si>
  <si>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</si>
  <si>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</si>
  <si>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</si>
  <si>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</si>
  <si>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</si>
  <si>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</si>
  <si>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</si>
  <si>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</si>
  <si>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</si>
  <si>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</si>
  <si>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</si>
  <si>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</si>
  <si>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</si>
  <si>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</si>
  <si>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</si>
  <si>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</si>
  <si>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</si>
  <si>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</si>
  <si>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</si>
  <si>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</si>
  <si>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</si>
  <si>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</si>
  <si>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</si>
  <si>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</si>
  <si>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</si>
  <si>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</si>
  <si>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</si>
  <si>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</si>
  <si>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</si>
  <si>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</si>
  <si>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</si>
  <si>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</si>
  <si>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</si>
  <si>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</si>
  <si>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</si>
  <si>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</si>
  <si>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</si>
  <si>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</si>
  <si>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</si>
  <si>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</si>
  <si>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</si>
  <si>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</si>
  <si>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</si>
  <si>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</si>
  <si>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</si>
  <si>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</si>
  <si>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</si>
  <si>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</si>
  <si>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</si>
  <si>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</si>
  <si>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</si>
  <si>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</si>
  <si>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</si>
  <si>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</si>
  <si>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</si>
  <si>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</si>
  <si>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</si>
  <si>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</si>
  <si>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</si>
  <si>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</si>
  <si>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</si>
  <si>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</si>
  <si>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</si>
  <si>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</si>
  <si>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</si>
  <si>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</si>
  <si>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</si>
  <si>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</si>
  <si>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</si>
  <si>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</si>
  <si>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</si>
  <si>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</si>
  <si>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</si>
  <si>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</si>
  <si>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</si>
  <si>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</si>
  <si>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</si>
  <si>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</si>
  <si>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</si>
  <si>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</si>
  <si>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</si>
  <si>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</si>
  <si>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</si>
  <si>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</si>
  <si>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</si>
  <si>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</si>
  <si>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</si>
  <si>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</si>
  <si>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</si>
  <si>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</si>
  <si>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</si>
  <si>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</si>
  <si>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</si>
  <si>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</si>
  <si>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</si>
  <si>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</si>
  <si>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</si>
  <si>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</si>
  <si>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</si>
  <si>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</si>
  <si>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</si>
  <si>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</si>
  <si>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</si>
  <si>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</si>
  <si>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</si>
  <si>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</si>
  <si>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</si>
  <si>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</si>
  <si>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</si>
  <si>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</si>
  <si>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</si>
  <si>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</si>
  <si>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</si>
  <si>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</si>
  <si>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</si>
  <si>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</si>
  <si>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</si>
  <si>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</si>
  <si>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</si>
  <si>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</si>
  <si>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</si>
  <si>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</si>
  <si>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</si>
  <si>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</si>
  <si>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</si>
  <si>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</si>
  <si>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</si>
  <si>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</si>
  <si>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</si>
  <si>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</si>
  <si>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</si>
  <si>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</si>
  <si>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</si>
  <si>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</si>
  <si>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</si>
  <si>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</si>
  <si>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</si>
  <si>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</si>
  <si>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</si>
  <si>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</si>
  <si>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</si>
  <si>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</si>
  <si>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</si>
  <si>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</si>
  <si>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</si>
  <si>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</si>
  <si>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</si>
  <si>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</si>
  <si>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</si>
  <si>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</si>
  <si>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</si>
  <si>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</si>
  <si>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</si>
  <si>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</si>
  <si>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</si>
  <si>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</si>
  <si>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</si>
  <si>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</si>
  <si>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</si>
  <si>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</si>
  <si>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</si>
  <si>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</si>
  <si>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</si>
  <si>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</si>
  <si>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</si>
  <si>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</si>
  <si>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</si>
  <si>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</si>
  <si>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</si>
  <si>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</si>
  <si>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</si>
  <si>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</si>
  <si>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</si>
  <si>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</si>
  <si>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</si>
  <si>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</si>
  <si>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</si>
  <si>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</si>
  <si>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</si>
  <si>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</si>
  <si>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</si>
  <si>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</si>
  <si>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</si>
  <si>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</si>
  <si>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</si>
  <si>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</si>
  <si>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</si>
  <si>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</si>
  <si>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</si>
  <si>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</si>
  <si>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</si>
  <si>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</si>
  <si>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</si>
  <si>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</si>
  <si>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</si>
  <si>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</si>
  <si>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</si>
  <si>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</si>
  <si>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</si>
  <si>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</si>
  <si>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</si>
  <si>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</si>
  <si>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</si>
  <si>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</si>
  <si>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</si>
  <si>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</si>
  <si>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</si>
  <si>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</si>
  <si>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</si>
  <si>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</si>
  <si>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</si>
  <si>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</si>
  <si>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</si>
  <si>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</si>
  <si>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</si>
  <si>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</si>
  <si>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</si>
  <si>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</si>
  <si>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</si>
  <si>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</si>
  <si>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</si>
  <si>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</si>
  <si>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</si>
  <si>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</si>
  <si>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</si>
  <si>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</si>
  <si>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</si>
  <si>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</si>
  <si>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</si>
  <si>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</si>
  <si>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</si>
  <si>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</si>
  <si>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</si>
  <si>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</si>
  <si>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</si>
  <si>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</si>
  <si>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</si>
  <si>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</si>
  <si>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</si>
  <si>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</si>
  <si>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</si>
  <si>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</si>
  <si>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</si>
  <si>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</si>
  <si>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</si>
  <si>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</si>
  <si>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地上</t>
  </si>
  <si>
    <t>是</t>
  </si>
  <si>
    <t>商业</t>
    <phoneticPr fontId="7" type="noConversion"/>
  </si>
  <si>
    <t>成新度</t>
  </si>
  <si>
    <t>收益法 (元)</t>
  </si>
  <si>
    <t>自定义容积率</t>
  </si>
  <si>
    <t>有</t>
  </si>
  <si>
    <t>通路</t>
  </si>
  <si>
    <t>通电</t>
  </si>
  <si>
    <t>通讯</t>
  </si>
  <si>
    <t>通上水</t>
  </si>
  <si>
    <t>通下水</t>
  </si>
  <si>
    <t>通热</t>
  </si>
  <si>
    <t>平整</t>
  </si>
  <si>
    <t>与级别开发程度不一致</t>
  </si>
  <si>
    <t>楼层修正</t>
  </si>
  <si>
    <t>一般</t>
  </si>
  <si>
    <t>较好</t>
  </si>
  <si>
    <t>好</t>
  </si>
  <si>
    <t>未包含在土地购买价格中</t>
  </si>
  <si>
    <t>已包含在土地取得成本中</t>
  </si>
  <si>
    <t>全部缴纳</t>
  </si>
  <si>
    <t>估价对象本身</t>
    <phoneticPr fontId="134" type="noConversion"/>
  </si>
  <si>
    <t>建筑面积</t>
    <phoneticPr fontId="134" type="noConversion"/>
  </si>
  <si>
    <t>一拍</t>
    <phoneticPr fontId="134" type="noConversion"/>
  </si>
  <si>
    <t>总价</t>
    <phoneticPr fontId="134" type="noConversion"/>
  </si>
  <si>
    <t>单价</t>
    <phoneticPr fontId="134" type="noConversion"/>
  </si>
  <si>
    <t>起拍价</t>
    <phoneticPr fontId="134" type="noConversion"/>
  </si>
  <si>
    <t>评估价</t>
    <phoneticPr fontId="134" type="noConversion"/>
  </si>
  <si>
    <t>流拍时间</t>
    <phoneticPr fontId="134" type="noConversion"/>
  </si>
  <si>
    <t>二拍</t>
    <phoneticPr fontId="134" type="noConversion"/>
  </si>
  <si>
    <t>变卖</t>
    <phoneticPr fontId="134" type="noConversion"/>
  </si>
  <si>
    <t>变卖价</t>
    <phoneticPr fontId="134" type="noConversion"/>
  </si>
  <si>
    <t>一层</t>
    <phoneticPr fontId="134" type="noConversion"/>
  </si>
  <si>
    <t>二层</t>
    <phoneticPr fontId="134" type="noConversion"/>
  </si>
  <si>
    <t>地下一层</t>
    <phoneticPr fontId="134" type="noConversion"/>
  </si>
  <si>
    <t>https://paimai.jd.com/300482221</t>
    <phoneticPr fontId="134" type="noConversion"/>
  </si>
  <si>
    <t>北京市丰台区南方庄68号2层202房屋</t>
    <phoneticPr fontId="134" type="noConversion"/>
  </si>
  <si>
    <t>市场价</t>
    <phoneticPr fontId="134" type="noConversion"/>
  </si>
  <si>
    <t>成交价</t>
    <phoneticPr fontId="134" type="noConversion"/>
  </si>
  <si>
    <t>成交时间</t>
    <phoneticPr fontId="134" type="noConversion"/>
  </si>
  <si>
    <t>钢混</t>
  </si>
  <si>
    <t>非生产用房</t>
  </si>
  <si>
    <t>基准地价</t>
  </si>
  <si>
    <t>https://sf-item.taobao.com/sf_item/725074108693.htm?spm=a213w.7398504.paiList.5.36f972dfcCMpz3&amp;track_id=725711b3-6fb2-42df-97d2-7d4abf4365b3</t>
    <phoneticPr fontId="134" type="noConversion"/>
  </si>
  <si>
    <t>https://sf-item.taobao.com/sf_item/723099071084.htm?spm=a213w.7398504.paiList.7.36f972dfcCMpz3&amp;track_id=725711b3-6fb2-42df-97d2-7d4abf4365b3</t>
    <phoneticPr fontId="134" type="noConversion"/>
  </si>
  <si>
    <r>
      <t>1</t>
    </r>
    <r>
      <rPr>
        <sz val="11"/>
        <color theme="1"/>
        <rFont val="宋体"/>
        <family val="3"/>
        <charset val="134"/>
        <scheme val="minor"/>
      </rPr>
      <t>-2层</t>
    </r>
    <phoneticPr fontId="134" type="noConversion"/>
  </si>
  <si>
    <t>2层</t>
    <phoneticPr fontId="134" type="noConversion"/>
  </si>
  <si>
    <t>成本法 (元)</t>
  </si>
  <si>
    <t>https://sf-item.taobao.com/sf_item/704732695193.htm?spm=a213w.7398504.paiList.17.36f972dfcCMpz3&amp;track_id=725711b3-6fb2-42df-97d2-7d4abf4365b3</t>
    <phoneticPr fontId="134" type="noConversion"/>
  </si>
  <si>
    <t>2层</t>
    <phoneticPr fontId="134" type="noConversion"/>
  </si>
  <si>
    <t>https://sf-item.taobao.com/sf_item/671821942683.htm?spm=a213w.7398504.paiList.25.36f972dfcCMpz3&amp;track_id=725711b3-6fb2-42df-97d2-7d4abf4365b3</t>
    <phoneticPr fontId="134" type="noConversion"/>
  </si>
  <si>
    <t>成交价</t>
    <phoneticPr fontId="134" type="noConversion"/>
  </si>
  <si>
    <t>https://paimai.jd.com/282581439</t>
    <phoneticPr fontId="134" type="noConversion"/>
  </si>
  <si>
    <t>4层</t>
    <phoneticPr fontId="134" type="noConversion"/>
  </si>
  <si>
    <t>正常</t>
  </si>
  <si>
    <t>挂牌</t>
  </si>
  <si>
    <t>挂牌</t>
    <phoneticPr fontId="30" type="noConversion"/>
  </si>
  <si>
    <t>商业</t>
    <phoneticPr fontId="30" type="noConversion"/>
  </si>
  <si>
    <t>七通</t>
  </si>
  <si>
    <t>双面临街</t>
    <phoneticPr fontId="3" type="noConversion"/>
  </si>
  <si>
    <t>单面临街</t>
    <phoneticPr fontId="3" type="noConversion"/>
  </si>
  <si>
    <r>
      <rPr>
        <sz val="11"/>
        <color indexed="8"/>
        <rFont val="宋体"/>
        <family val="3"/>
        <charset val="134"/>
      </rPr>
      <t>不临街</t>
    </r>
    <r>
      <rPr>
        <sz val="11"/>
        <color indexed="8"/>
        <rFont val="Arial"/>
        <family val="2"/>
      </rPr>
      <t xml:space="preserve"> </t>
    </r>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</si>
  <si>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</si>
  <si>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</si>
  <si>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</si>
  <si>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</si>
  <si>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</si>
  <si>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</si>
  <si>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</si>
  <si>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</si>
  <si>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</si>
  <si>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</si>
  <si>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t>1-2</t>
    </r>
    <r>
      <rPr>
        <sz val="11"/>
        <color indexed="8"/>
        <rFont val="宋体"/>
        <family val="3"/>
        <charset val="134"/>
      </rPr>
      <t>层</t>
    </r>
    <phoneticPr fontId="3" type="noConversion"/>
  </si>
  <si>
    <r>
      <rPr>
        <sz val="11"/>
        <color indexed="8"/>
        <rFont val="宋体"/>
        <family val="3"/>
        <charset val="134"/>
      </rPr>
      <t>地下一至</t>
    </r>
    <r>
      <rPr>
        <sz val="11"/>
        <color indexed="8"/>
        <rFont val="Arial"/>
        <family val="2"/>
      </rPr>
      <t>2</t>
    </r>
    <r>
      <rPr>
        <sz val="11"/>
        <color indexed="8"/>
        <rFont val="宋体"/>
        <family val="3"/>
        <charset val="134"/>
      </rPr>
      <t>层</t>
    </r>
    <phoneticPr fontId="3" type="noConversion"/>
  </si>
  <si>
    <t>商业综合体</t>
    <phoneticPr fontId="3" type="noConversion"/>
  </si>
  <si>
    <t>商业街商铺</t>
    <phoneticPr fontId="3" type="noConversion"/>
  </si>
  <si>
    <t>写字楼底商</t>
    <phoneticPr fontId="3" type="noConversion"/>
  </si>
  <si>
    <t>住宅配套商业</t>
    <phoneticPr fontId="3" type="noConversion"/>
  </si>
  <si>
    <t>钢混</t>
    <phoneticPr fontId="3" type="noConversion"/>
  </si>
  <si>
    <t>混合</t>
    <phoneticPr fontId="3" type="noConversion"/>
  </si>
  <si>
    <t>精装修</t>
    <phoneticPr fontId="3" type="noConversion"/>
  </si>
  <si>
    <t>普通装修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</si>
  <si>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</si>
  <si>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</si>
  <si>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</si>
  <si>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</si>
  <si>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</si>
  <si>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</si>
  <si>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</si>
  <si>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</si>
  <si>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毛坯</t>
    <phoneticPr fontId="3" type="noConversion"/>
  </si>
  <si>
    <t>标准层高</t>
    <phoneticPr fontId="3" type="noConversion"/>
  </si>
  <si>
    <t xml:space="preserve">不临街 </t>
  </si>
  <si>
    <t>较差</t>
  </si>
  <si>
    <t>楼层</t>
    <phoneticPr fontId="30" type="noConversion"/>
  </si>
  <si>
    <r>
      <t>3</t>
    </r>
    <r>
      <rPr>
        <sz val="11"/>
        <rFont val="宋体"/>
        <family val="3"/>
        <charset val="134"/>
      </rPr>
      <t>层</t>
    </r>
    <phoneticPr fontId="30" type="noConversion"/>
  </si>
  <si>
    <r>
      <t>1</t>
    </r>
    <r>
      <rPr>
        <sz val="11"/>
        <rFont val="宋体"/>
        <family val="3"/>
        <charset val="134"/>
      </rPr>
      <t>层</t>
    </r>
    <phoneticPr fontId="30" type="noConversion"/>
  </si>
  <si>
    <t>单面临街</t>
  </si>
  <si>
    <t>育菲园东里</t>
    <phoneticPr fontId="3" type="noConversion"/>
  </si>
  <si>
    <t>花乡青旅科创园</t>
    <phoneticPr fontId="3" type="noConversion"/>
  </si>
  <si>
    <t>芳菲路66号</t>
    <phoneticPr fontId="3" type="noConversion"/>
  </si>
  <si>
    <r>
      <t>1</t>
    </r>
    <r>
      <rPr>
        <sz val="11"/>
        <color indexed="8"/>
        <rFont val="宋体"/>
        <family val="3"/>
        <charset val="134"/>
      </rPr>
      <t>层</t>
    </r>
    <phoneticPr fontId="30" type="noConversion"/>
  </si>
  <si>
    <r>
      <t>3</t>
    </r>
    <r>
      <rPr>
        <sz val="11"/>
        <color indexed="8"/>
        <rFont val="宋体"/>
        <family val="3"/>
        <charset val="134"/>
      </rPr>
      <t>层</t>
    </r>
    <phoneticPr fontId="30" type="noConversion"/>
  </si>
  <si>
    <t>较差</t>
    <phoneticPr fontId="30" type="noConversion"/>
  </si>
  <si>
    <t>一般</t>
    <phoneticPr fontId="30" type="noConversion"/>
  </si>
  <si>
    <t>利息：取LPR加浮动点数</t>
  </si>
  <si>
    <t>否</t>
    <phoneticPr fontId="137" type="noConversion"/>
  </si>
  <si>
    <t>季度增幅</t>
    <phoneticPr fontId="3" type="noConversion"/>
  </si>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</sst>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5" borderId="0" xfId="0" applyFont="1" applyFill="1">
      <alignment vertical="center"/>
    </xf>
    <xf numFmtId="14" fontId="0" fillId="0" borderId="0" xfId="0" applyNumberFormat="1">
      <alignment vertical="center"/>
    </xf>
    <xf numFmtId="0" fontId="269" fillId="0" borderId="0" xfId="19">
      <alignment vertical="center"/>
    </xf>
    <xf numFmtId="0" fontId="0" fillId="5" borderId="0" xfId="0" applyFill="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0" fillId="7" borderId="0" xfId="0" applyFill="1">
      <alignment vertical="center"/>
    </xf>
    <xf numFmtId="176" fontId="49" fillId="0" borderId="37" xfId="0" applyNumberFormat="1" applyFont="1" applyFill="1" applyBorder="1" applyAlignment="1" applyProtection="1">
      <alignment horizontal="center" vertical="center" wrapText="1"/>
      <protection locked="0"/>
    </xf>
    <xf numFmtId="10" fontId="51" fillId="0" borderId="38" xfId="0" applyNumberFormat="1" applyFont="1" applyFill="1" applyBorder="1" applyAlignment="1" applyProtection="1">
      <alignment horizontal="center" vertical="center" wrapText="1"/>
      <protection locked="0"/>
    </xf>
    <xf numFmtId="10" fontId="54" fillId="9" borderId="5" xfId="1" applyNumberFormat="1" applyFont="1" applyFill="1" applyBorder="1" applyAlignment="1" applyProtection="1">
      <alignment horizontal="center" vertical="center"/>
    </xf>
    <xf numFmtId="9" fontId="54" fillId="9" borderId="5" xfId="1" applyNumberFormat="1" applyFont="1" applyFill="1" applyBorder="1" applyAlignment="1" applyProtection="1">
      <alignment horizontal="center" vertical="center"/>
    </xf>
    <xf numFmtId="10" fontId="54" fillId="9" borderId="1" xfId="1" applyNumberFormat="1" applyFont="1" applyFill="1" applyBorder="1" applyAlignment="1" applyProtection="1">
      <alignment horizontal="center" vertical="center"/>
    </xf>
    <xf numFmtId="10" fontId="51" fillId="9" borderId="0" xfId="0" applyNumberFormat="1" applyFont="1" applyFill="1" applyAlignment="1" applyProtection="1">
      <alignment horizontal="center" vertical="center"/>
      <protection locked="0"/>
    </xf>
    <xf numFmtId="0" fontId="51" fillId="9" borderId="24" xfId="0" applyNumberFormat="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protection locked="0"/>
    </xf>
    <xf numFmtId="0" fontId="102" fillId="5" borderId="0" xfId="9" applyNumberFormat="1" applyFont="1" applyFill="1" applyAlignment="1" applyProtection="1">
      <alignment vertical="center"/>
    </xf>
    <xf numFmtId="0" fontId="22" fillId="5" borderId="119" xfId="10" applyNumberFormat="1" applyFont="1" applyFill="1" applyBorder="1" applyAlignment="1" applyProtection="1">
      <alignment horizontal="left" vertical="center"/>
    </xf>
    <xf numFmtId="0" fontId="243" fillId="5" borderId="0" xfId="9" applyNumberFormat="1" applyFont="1" applyFill="1" applyBorder="1" applyAlignment="1" applyProtection="1">
      <alignment horizontal="left" vertical="center"/>
    </xf>
    <xf numFmtId="0" fontId="102" fillId="5" borderId="0" xfId="9" applyNumberFormat="1" applyFont="1" applyFill="1" applyBorder="1" applyAlignment="1" applyProtection="1">
      <alignment horizontal="left" vertical="center"/>
    </xf>
    <xf numFmtId="0" fontId="143" fillId="5" borderId="126" xfId="16" applyNumberFormat="1" applyFont="1" applyFill="1" applyBorder="1" applyAlignment="1" applyProtection="1">
      <alignment horizontal="left" vertical="center" wrapText="1"/>
    </xf>
    <xf numFmtId="0" fontId="253" fillId="5" borderId="126" xfId="16" applyNumberFormat="1" applyFont="1" applyFill="1" applyBorder="1" applyAlignment="1" applyProtection="1">
      <alignment horizontal="left" vertical="center" wrapText="1"/>
    </xf>
    <xf numFmtId="0" fontId="143" fillId="5" borderId="168" xfId="16" applyNumberFormat="1" applyFont="1" applyFill="1" applyBorder="1" applyAlignment="1" applyProtection="1">
      <alignment horizontal="left" vertical="center" wrapText="1"/>
    </xf>
    <xf numFmtId="0" fontId="0" fillId="5" borderId="0" xfId="0" applyNumberFormat="1" applyFill="1">
      <alignment vertical="center"/>
    </xf>
    <xf numFmtId="0" fontId="94" fillId="6" borderId="19" xfId="8"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44" fillId="0" borderId="24" xfId="0" applyNumberFormat="1" applyFont="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503771</xdr:colOff>
      <xdr:row>35</xdr:row>
      <xdr:rowOff>84914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28571" cy="6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98966</xdr:colOff>
      <xdr:row>27</xdr:row>
      <xdr:rowOff>57970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71766" cy="4995730"/>
        </a:xfrm>
        <a:prstGeom prst="rect">
          <a:avLst/>
        </a:prstGeom>
      </xdr:spPr>
    </xdr:pic>
    <xdr:clientData/>
  </xdr:twoCellAnchor>
  <xdr:twoCellAnchor editAs="oneCell">
    <xdr:from>
      <xdr:col>0</xdr:col>
      <xdr:colOff>0</xdr:colOff>
      <xdr:row>28</xdr:row>
      <xdr:rowOff>8375</xdr:rowOff>
    </xdr:from>
    <xdr:to>
      <xdr:col>20</xdr:col>
      <xdr:colOff>521171</xdr:colOff>
      <xdr:row>34</xdr:row>
      <xdr:rowOff>53097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29015"/>
          <a:ext cx="12713171" cy="1142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579121</xdr:colOff>
      <xdr:row>15</xdr:row>
      <xdr:rowOff>78006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503920" cy="2821206"/>
        </a:xfrm>
        <a:prstGeom prst="rect">
          <a:avLst/>
        </a:prstGeom>
      </xdr:spPr>
    </xdr:pic>
    <xdr:clientData/>
  </xdr:twoCellAnchor>
  <xdr:twoCellAnchor editAs="oneCell">
    <xdr:from>
      <xdr:col>0</xdr:col>
      <xdr:colOff>22860</xdr:colOff>
      <xdr:row>15</xdr:row>
      <xdr:rowOff>38100</xdr:rowOff>
    </xdr:from>
    <xdr:to>
      <xdr:col>14</xdr:col>
      <xdr:colOff>12104</xdr:colOff>
      <xdr:row>38</xdr:row>
      <xdr:rowOff>86885</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2781300"/>
          <a:ext cx="8523644" cy="4255025"/>
        </a:xfrm>
        <a:prstGeom prst="rect">
          <a:avLst/>
        </a:prstGeom>
      </xdr:spPr>
    </xdr:pic>
    <xdr:clientData/>
  </xdr:twoCellAnchor>
  <xdr:twoCellAnchor editAs="oneCell">
    <xdr:from>
      <xdr:col>0</xdr:col>
      <xdr:colOff>0</xdr:colOff>
      <xdr:row>38</xdr:row>
      <xdr:rowOff>6762</xdr:rowOff>
    </xdr:from>
    <xdr:to>
      <xdr:col>13</xdr:col>
      <xdr:colOff>373380</xdr:colOff>
      <xdr:row>53</xdr:row>
      <xdr:rowOff>45225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956202"/>
          <a:ext cx="8298180" cy="2781663"/>
        </a:xfrm>
        <a:prstGeom prst="rect">
          <a:avLst/>
        </a:prstGeom>
      </xdr:spPr>
    </xdr:pic>
    <xdr:clientData/>
  </xdr:twoCellAnchor>
  <xdr:twoCellAnchor editAs="oneCell">
    <xdr:from>
      <xdr:col>0</xdr:col>
      <xdr:colOff>0</xdr:colOff>
      <xdr:row>53</xdr:row>
      <xdr:rowOff>83820</xdr:rowOff>
    </xdr:from>
    <xdr:to>
      <xdr:col>13</xdr:col>
      <xdr:colOff>182475</xdr:colOff>
      <xdr:row>76</xdr:row>
      <xdr:rowOff>46852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776460"/>
          <a:ext cx="8107275" cy="4169272"/>
        </a:xfrm>
        <a:prstGeom prst="rect">
          <a:avLst/>
        </a:prstGeom>
      </xdr:spPr>
    </xdr:pic>
    <xdr:clientData/>
  </xdr:twoCellAnchor>
  <xdr:twoCellAnchor editAs="oneCell">
    <xdr:from>
      <xdr:col>0</xdr:col>
      <xdr:colOff>0</xdr:colOff>
      <xdr:row>75</xdr:row>
      <xdr:rowOff>121920</xdr:rowOff>
    </xdr:from>
    <xdr:to>
      <xdr:col>14</xdr:col>
      <xdr:colOff>384556</xdr:colOff>
      <xdr:row>99</xdr:row>
      <xdr:rowOff>167640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37920"/>
          <a:ext cx="8918956" cy="4434840"/>
        </a:xfrm>
        <a:prstGeom prst="rect">
          <a:avLst/>
        </a:prstGeom>
      </xdr:spPr>
    </xdr:pic>
    <xdr:clientData/>
  </xdr:twoCellAnchor>
  <xdr:twoCellAnchor editAs="oneCell">
    <xdr:from>
      <xdr:col>0</xdr:col>
      <xdr:colOff>0</xdr:colOff>
      <xdr:row>99</xdr:row>
      <xdr:rowOff>78758</xdr:rowOff>
    </xdr:from>
    <xdr:to>
      <xdr:col>14</xdr:col>
      <xdr:colOff>160020</xdr:colOff>
      <xdr:row>116</xdr:row>
      <xdr:rowOff>104237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8183878"/>
          <a:ext cx="8694420" cy="3134439"/>
        </a:xfrm>
        <a:prstGeom prst="rect">
          <a:avLst/>
        </a:prstGeom>
      </xdr:spPr>
    </xdr:pic>
    <xdr:clientData/>
  </xdr:twoCellAnchor>
  <xdr:twoCellAnchor editAs="oneCell">
    <xdr:from>
      <xdr:col>0</xdr:col>
      <xdr:colOff>0</xdr:colOff>
      <xdr:row>116</xdr:row>
      <xdr:rowOff>68580</xdr:rowOff>
    </xdr:from>
    <xdr:to>
      <xdr:col>14</xdr:col>
      <xdr:colOff>342900</xdr:colOff>
      <xdr:row>124</xdr:row>
      <xdr:rowOff>108281</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1282660"/>
          <a:ext cx="8877300" cy="1502741"/>
        </a:xfrm>
        <a:prstGeom prst="rect">
          <a:avLst/>
        </a:prstGeom>
      </xdr:spPr>
    </xdr:pic>
    <xdr:clientData/>
  </xdr:twoCellAnchor>
  <xdr:twoCellAnchor editAs="oneCell">
    <xdr:from>
      <xdr:col>16</xdr:col>
      <xdr:colOff>586740</xdr:colOff>
      <xdr:row>19</xdr:row>
      <xdr:rowOff>99450</xdr:rowOff>
    </xdr:from>
    <xdr:to>
      <xdr:col>29</xdr:col>
      <xdr:colOff>593012</xdr:colOff>
      <xdr:row>49</xdr:row>
      <xdr:rowOff>42892</xdr:rowOff>
    </xdr:to>
    <xdr:pic>
      <xdr:nvPicPr>
        <xdr:cNvPr id="11" name="图片 10"/>
        <xdr:cNvPicPr>
          <a:picLocks noChangeAspect="1"/>
        </xdr:cNvPicPr>
      </xdr:nvPicPr>
      <xdr:blipFill>
        <a:blip xmlns:r="http://schemas.openxmlformats.org/officeDocument/2006/relationships" r:embed="rId8"/>
        <a:stretch>
          <a:fillRect/>
        </a:stretch>
      </xdr:blipFill>
      <xdr:spPr>
        <a:xfrm>
          <a:off x="10340340" y="3574170"/>
          <a:ext cx="7931072" cy="5429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4573</xdr:colOff>
      <xdr:row>31</xdr:row>
      <xdr:rowOff>65652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38973" cy="5734932"/>
        </a:xfrm>
        <a:prstGeom prst="rect">
          <a:avLst/>
        </a:prstGeom>
      </xdr:spPr>
    </xdr:pic>
    <xdr:clientData/>
  </xdr:twoCellAnchor>
  <xdr:twoCellAnchor editAs="oneCell">
    <xdr:from>
      <xdr:col>0</xdr:col>
      <xdr:colOff>0</xdr:colOff>
      <xdr:row>32</xdr:row>
      <xdr:rowOff>83820</xdr:rowOff>
    </xdr:from>
    <xdr:to>
      <xdr:col>13</xdr:col>
      <xdr:colOff>287234</xdr:colOff>
      <xdr:row>61</xdr:row>
      <xdr:rowOff>143785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935980"/>
          <a:ext cx="8212034" cy="5363485"/>
        </a:xfrm>
        <a:prstGeom prst="rect">
          <a:avLst/>
        </a:prstGeom>
      </xdr:spPr>
    </xdr:pic>
    <xdr:clientData/>
  </xdr:twoCellAnchor>
  <xdr:twoCellAnchor editAs="oneCell">
    <xdr:from>
      <xdr:col>15</xdr:col>
      <xdr:colOff>22860</xdr:colOff>
      <xdr:row>28</xdr:row>
      <xdr:rowOff>175260</xdr:rowOff>
    </xdr:from>
    <xdr:to>
      <xdr:col>39</xdr:col>
      <xdr:colOff>154365</xdr:colOff>
      <xdr:row>67</xdr:row>
      <xdr:rowOff>4845</xdr:rowOff>
    </xdr:to>
    <xdr:pic>
      <xdr:nvPicPr>
        <xdr:cNvPr id="4" name="图片 3"/>
        <xdr:cNvPicPr>
          <a:picLocks noChangeAspect="1"/>
        </xdr:cNvPicPr>
      </xdr:nvPicPr>
      <xdr:blipFill>
        <a:blip xmlns:r="http://schemas.openxmlformats.org/officeDocument/2006/relationships" r:embed="rId3"/>
        <a:stretch>
          <a:fillRect/>
        </a:stretch>
      </xdr:blipFill>
      <xdr:spPr>
        <a:xfrm>
          <a:off x="9166860" y="5295900"/>
          <a:ext cx="14761905" cy="6961905"/>
        </a:xfrm>
        <a:prstGeom prst="rect">
          <a:avLst/>
        </a:prstGeom>
      </xdr:spPr>
    </xdr:pic>
    <xdr:clientData/>
  </xdr:twoCellAnchor>
  <xdr:twoCellAnchor editAs="oneCell">
    <xdr:from>
      <xdr:col>0</xdr:col>
      <xdr:colOff>0</xdr:colOff>
      <xdr:row>61</xdr:row>
      <xdr:rowOff>144780</xdr:rowOff>
    </xdr:from>
    <xdr:to>
      <xdr:col>15</xdr:col>
      <xdr:colOff>571261</xdr:colOff>
      <xdr:row>89</xdr:row>
      <xdr:rowOff>132562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300460"/>
          <a:ext cx="9715261" cy="51084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114211</xdr:colOff>
      <xdr:row>24</xdr:row>
      <xdr:rowOff>21714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53311" cy="4410834"/>
        </a:xfrm>
        <a:prstGeom prst="rect">
          <a:avLst/>
        </a:prstGeom>
      </xdr:spPr>
    </xdr:pic>
    <xdr:clientData/>
  </xdr:twoCellAnchor>
  <xdr:twoCellAnchor editAs="oneCell">
    <xdr:from>
      <xdr:col>0</xdr:col>
      <xdr:colOff>0</xdr:colOff>
      <xdr:row>25</xdr:row>
      <xdr:rowOff>0</xdr:rowOff>
    </xdr:from>
    <xdr:to>
      <xdr:col>13</xdr:col>
      <xdr:colOff>104688</xdr:colOff>
      <xdr:row>50</xdr:row>
      <xdr:rowOff>147618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572000"/>
          <a:ext cx="8143788" cy="4719618"/>
        </a:xfrm>
        <a:prstGeom prst="rect">
          <a:avLst/>
        </a:prstGeom>
      </xdr:spPr>
    </xdr:pic>
    <xdr:clientData/>
  </xdr:twoCellAnchor>
  <xdr:twoCellAnchor editAs="oneCell">
    <xdr:from>
      <xdr:col>0</xdr:col>
      <xdr:colOff>0</xdr:colOff>
      <xdr:row>51</xdr:row>
      <xdr:rowOff>0</xdr:rowOff>
    </xdr:from>
    <xdr:to>
      <xdr:col>13</xdr:col>
      <xdr:colOff>295164</xdr:colOff>
      <xdr:row>77</xdr:row>
      <xdr:rowOff>92571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326880"/>
          <a:ext cx="8334264" cy="4847451"/>
        </a:xfrm>
        <a:prstGeom prst="rect">
          <a:avLst/>
        </a:prstGeom>
      </xdr:spPr>
    </xdr:pic>
    <xdr:clientData/>
  </xdr:twoCellAnchor>
  <xdr:twoCellAnchor editAs="oneCell">
    <xdr:from>
      <xdr:col>0</xdr:col>
      <xdr:colOff>0</xdr:colOff>
      <xdr:row>81</xdr:row>
      <xdr:rowOff>137583</xdr:rowOff>
    </xdr:from>
    <xdr:to>
      <xdr:col>12</xdr:col>
      <xdr:colOff>144986</xdr:colOff>
      <xdr:row>107</xdr:row>
      <xdr:rowOff>68249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950863"/>
          <a:ext cx="7574486" cy="4685546"/>
        </a:xfrm>
        <a:prstGeom prst="rect">
          <a:avLst/>
        </a:prstGeom>
      </xdr:spPr>
    </xdr:pic>
    <xdr:clientData/>
  </xdr:twoCellAnchor>
  <xdr:twoCellAnchor editAs="oneCell">
    <xdr:from>
      <xdr:col>0</xdr:col>
      <xdr:colOff>0</xdr:colOff>
      <xdr:row>116</xdr:row>
      <xdr:rowOff>175009</xdr:rowOff>
    </xdr:from>
    <xdr:to>
      <xdr:col>8</xdr:col>
      <xdr:colOff>484328</xdr:colOff>
      <xdr:row>131</xdr:row>
      <xdr:rowOff>5035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1389089"/>
          <a:ext cx="5475428" cy="2573226"/>
        </a:xfrm>
        <a:prstGeom prst="rect">
          <a:avLst/>
        </a:prstGeom>
      </xdr:spPr>
    </xdr:pic>
    <xdr:clientData/>
  </xdr:twoCellAnchor>
  <xdr:twoCellAnchor editAs="oneCell">
    <xdr:from>
      <xdr:col>0</xdr:col>
      <xdr:colOff>68580</xdr:colOff>
      <xdr:row>130</xdr:row>
      <xdr:rowOff>144781</xdr:rowOff>
    </xdr:from>
    <xdr:to>
      <xdr:col>7</xdr:col>
      <xdr:colOff>213360</xdr:colOff>
      <xdr:row>150</xdr:row>
      <xdr:rowOff>65615</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 y="23919181"/>
          <a:ext cx="4526280" cy="3578434"/>
        </a:xfrm>
        <a:prstGeom prst="rect">
          <a:avLst/>
        </a:prstGeom>
      </xdr:spPr>
    </xdr:pic>
    <xdr:clientData/>
  </xdr:twoCellAnchor>
  <xdr:twoCellAnchor editAs="oneCell">
    <xdr:from>
      <xdr:col>9</xdr:col>
      <xdr:colOff>245364</xdr:colOff>
      <xdr:row>116</xdr:row>
      <xdr:rowOff>106680</xdr:rowOff>
    </xdr:from>
    <xdr:to>
      <xdr:col>15</xdr:col>
      <xdr:colOff>370667</xdr:colOff>
      <xdr:row>131</xdr:row>
      <xdr:rowOff>92768</xdr:rowOff>
    </xdr:to>
    <xdr:pic>
      <xdr:nvPicPr>
        <xdr:cNvPr id="9" name="图片 8"/>
        <xdr:cNvPicPr>
          <a:picLocks noChangeAspect="1"/>
        </xdr:cNvPicPr>
      </xdr:nvPicPr>
      <xdr:blipFill>
        <a:blip xmlns:r="http://schemas.openxmlformats.org/officeDocument/2006/relationships" r:embed="rId7"/>
        <a:stretch>
          <a:fillRect/>
        </a:stretch>
      </xdr:blipFill>
      <xdr:spPr>
        <a:xfrm>
          <a:off x="5731764" y="21320760"/>
          <a:ext cx="3821003" cy="2729288"/>
        </a:xfrm>
        <a:prstGeom prst="rect">
          <a:avLst/>
        </a:prstGeom>
      </xdr:spPr>
    </xdr:pic>
    <xdr:clientData/>
  </xdr:twoCellAnchor>
  <xdr:twoCellAnchor editAs="oneCell">
    <xdr:from>
      <xdr:col>0</xdr:col>
      <xdr:colOff>0</xdr:colOff>
      <xdr:row>153</xdr:row>
      <xdr:rowOff>152400</xdr:rowOff>
    </xdr:from>
    <xdr:to>
      <xdr:col>13</xdr:col>
      <xdr:colOff>143200</xdr:colOff>
      <xdr:row>173</xdr:row>
      <xdr:rowOff>123181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8133040"/>
          <a:ext cx="8182300" cy="3628381"/>
        </a:xfrm>
        <a:prstGeom prst="rect">
          <a:avLst/>
        </a:prstGeom>
      </xdr:spPr>
    </xdr:pic>
    <xdr:clientData/>
  </xdr:twoCellAnchor>
  <xdr:twoCellAnchor editAs="oneCell">
    <xdr:from>
      <xdr:col>0</xdr:col>
      <xdr:colOff>0</xdr:colOff>
      <xdr:row>171</xdr:row>
      <xdr:rowOff>167952</xdr:rowOff>
    </xdr:from>
    <xdr:to>
      <xdr:col>10</xdr:col>
      <xdr:colOff>144780</xdr:colOff>
      <xdr:row>198</xdr:row>
      <xdr:rowOff>128536</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1440432"/>
          <a:ext cx="6355080" cy="4898344"/>
        </a:xfrm>
        <a:prstGeom prst="rect">
          <a:avLst/>
        </a:prstGeom>
      </xdr:spPr>
    </xdr:pic>
    <xdr:clientData/>
  </xdr:twoCellAnchor>
  <xdr:twoCellAnchor editAs="oneCell">
    <xdr:from>
      <xdr:col>5</xdr:col>
      <xdr:colOff>708660</xdr:colOff>
      <xdr:row>175</xdr:row>
      <xdr:rowOff>129540</xdr:rowOff>
    </xdr:from>
    <xdr:to>
      <xdr:col>19</xdr:col>
      <xdr:colOff>496080</xdr:colOff>
      <xdr:row>186</xdr:row>
      <xdr:rowOff>175003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3756660" y="32133540"/>
          <a:ext cx="9000000" cy="2057143"/>
        </a:xfrm>
        <a:prstGeom prst="rect">
          <a:avLst/>
        </a:prstGeom>
      </xdr:spPr>
    </xdr:pic>
    <xdr:clientData/>
  </xdr:twoCellAnchor>
  <xdr:twoCellAnchor editAs="oneCell">
    <xdr:from>
      <xdr:col>0</xdr:col>
      <xdr:colOff>0</xdr:colOff>
      <xdr:row>207</xdr:row>
      <xdr:rowOff>0</xdr:rowOff>
    </xdr:from>
    <xdr:to>
      <xdr:col>8</xdr:col>
      <xdr:colOff>361281</xdr:colOff>
      <xdr:row>222</xdr:row>
      <xdr:rowOff>18705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37856160"/>
          <a:ext cx="5352381" cy="2761905"/>
        </a:xfrm>
        <a:prstGeom prst="rect">
          <a:avLst/>
        </a:prstGeom>
      </xdr:spPr>
    </xdr:pic>
    <xdr:clientData/>
  </xdr:twoCellAnchor>
  <xdr:twoCellAnchor editAs="oneCell">
    <xdr:from>
      <xdr:col>8</xdr:col>
      <xdr:colOff>223984</xdr:colOff>
      <xdr:row>205</xdr:row>
      <xdr:rowOff>129540</xdr:rowOff>
    </xdr:from>
    <xdr:to>
      <xdr:col>18</xdr:col>
      <xdr:colOff>330015</xdr:colOff>
      <xdr:row>223</xdr:row>
      <xdr:rowOff>54553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5215084" y="37619940"/>
          <a:ext cx="6765911" cy="3216853"/>
        </a:xfrm>
        <a:prstGeom prst="rect">
          <a:avLst/>
        </a:prstGeom>
      </xdr:spPr>
    </xdr:pic>
    <xdr:clientData/>
  </xdr:twoCellAnchor>
  <xdr:twoCellAnchor editAs="oneCell">
    <xdr:from>
      <xdr:col>0</xdr:col>
      <xdr:colOff>0</xdr:colOff>
      <xdr:row>217</xdr:row>
      <xdr:rowOff>76200</xdr:rowOff>
    </xdr:from>
    <xdr:to>
      <xdr:col>11</xdr:col>
      <xdr:colOff>58105</xdr:colOff>
      <xdr:row>257</xdr:row>
      <xdr:rowOff>179881</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39761160"/>
          <a:ext cx="6878005" cy="7418881"/>
        </a:xfrm>
        <a:prstGeom prst="rect">
          <a:avLst/>
        </a:prstGeom>
      </xdr:spPr>
    </xdr:pic>
    <xdr:clientData/>
  </xdr:twoCellAnchor>
  <xdr:twoCellAnchor editAs="oneCell">
    <xdr:from>
      <xdr:col>0</xdr:col>
      <xdr:colOff>0</xdr:colOff>
      <xdr:row>265</xdr:row>
      <xdr:rowOff>83820</xdr:rowOff>
    </xdr:from>
    <xdr:to>
      <xdr:col>13</xdr:col>
      <xdr:colOff>288596</xdr:colOff>
      <xdr:row>285</xdr:row>
      <xdr:rowOff>136512</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48547020"/>
          <a:ext cx="8327696" cy="3710292"/>
        </a:xfrm>
        <a:prstGeom prst="rect">
          <a:avLst/>
        </a:prstGeom>
      </xdr:spPr>
    </xdr:pic>
    <xdr:clientData/>
  </xdr:twoCellAnchor>
  <xdr:twoCellAnchor editAs="oneCell">
    <xdr:from>
      <xdr:col>11</xdr:col>
      <xdr:colOff>111007</xdr:colOff>
      <xdr:row>264</xdr:row>
      <xdr:rowOff>144780</xdr:rowOff>
    </xdr:from>
    <xdr:to>
      <xdr:col>19</xdr:col>
      <xdr:colOff>79117</xdr:colOff>
      <xdr:row>298</xdr:row>
      <xdr:rowOff>35187</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930907" y="48425100"/>
          <a:ext cx="5408790" cy="6108327"/>
        </a:xfrm>
        <a:prstGeom prst="rect">
          <a:avLst/>
        </a:prstGeom>
      </xdr:spPr>
    </xdr:pic>
    <xdr:clientData/>
  </xdr:twoCellAnchor>
  <xdr:twoCellAnchor editAs="oneCell">
    <xdr:from>
      <xdr:col>0</xdr:col>
      <xdr:colOff>0</xdr:colOff>
      <xdr:row>305</xdr:row>
      <xdr:rowOff>53340</xdr:rowOff>
    </xdr:from>
    <xdr:to>
      <xdr:col>7</xdr:col>
      <xdr:colOff>317311</xdr:colOff>
      <xdr:row>328</xdr:row>
      <xdr:rowOff>94309</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55831740"/>
          <a:ext cx="4698811" cy="4247209"/>
        </a:xfrm>
        <a:prstGeom prst="rect">
          <a:avLst/>
        </a:prstGeom>
      </xdr:spPr>
    </xdr:pic>
    <xdr:clientData/>
  </xdr:twoCellAnchor>
  <xdr:twoCellAnchor editAs="oneCell">
    <xdr:from>
      <xdr:col>7</xdr:col>
      <xdr:colOff>419100</xdr:colOff>
      <xdr:row>307</xdr:row>
      <xdr:rowOff>41445</xdr:rowOff>
    </xdr:from>
    <xdr:to>
      <xdr:col>19</xdr:col>
      <xdr:colOff>17586</xdr:colOff>
      <xdr:row>326</xdr:row>
      <xdr:rowOff>123129</xdr:rowOff>
    </xdr:to>
    <xdr:pic>
      <xdr:nvPicPr>
        <xdr:cNvPr id="19" name="图片 18"/>
        <xdr:cNvPicPr>
          <a:picLocks noChangeAspect="1"/>
        </xdr:cNvPicPr>
      </xdr:nvPicPr>
      <xdr:blipFill>
        <a:blip xmlns:r="http://schemas.openxmlformats.org/officeDocument/2006/relationships" r:embed="rId17"/>
        <a:stretch>
          <a:fillRect/>
        </a:stretch>
      </xdr:blipFill>
      <xdr:spPr>
        <a:xfrm>
          <a:off x="4792980" y="56185605"/>
          <a:ext cx="7477566" cy="3556404"/>
        </a:xfrm>
        <a:prstGeom prst="rect">
          <a:avLst/>
        </a:prstGeom>
      </xdr:spPr>
    </xdr:pic>
    <xdr:clientData/>
  </xdr:twoCellAnchor>
  <xdr:twoCellAnchor editAs="oneCell">
    <xdr:from>
      <xdr:col>0</xdr:col>
      <xdr:colOff>0</xdr:colOff>
      <xdr:row>326</xdr:row>
      <xdr:rowOff>106680</xdr:rowOff>
    </xdr:from>
    <xdr:to>
      <xdr:col>9</xdr:col>
      <xdr:colOff>185784</xdr:colOff>
      <xdr:row>351</xdr:row>
      <xdr:rowOff>170443</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59725560"/>
          <a:ext cx="5786484" cy="46357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3" Type="http://schemas.openxmlformats.org/officeDocument/2006/relationships/hyperlink" Target="https://sf-item.taobao.com/sf_item/723099071084.htm?spm=a213w.7398504.paiList.7.36f972dfcCMpz3&amp;track_id=725711b3-6fb2-42df-97d2-7d4abf4365b3" TargetMode="External"/><Relationship Id="rId7" Type="http://schemas.openxmlformats.org/officeDocument/2006/relationships/drawing" Target="../drawings/drawing5.xml"/><Relationship Id="rId2" Type="http://schemas.openxmlformats.org/officeDocument/2006/relationships/hyperlink" Target="https://sf-item.taobao.com/sf_item/725074108693.htm?spm=a213w.7398504.paiList.5.36f972dfcCMpz3&amp;track_id=725711b3-6fb2-42df-97d2-7d4abf4365b3" TargetMode="External"/><Relationship Id="rId1" Type="http://schemas.openxmlformats.org/officeDocument/2006/relationships/hyperlink" Target="https://paimai.jd.com/300482221" TargetMode="External"/><Relationship Id="rId6" Type="http://schemas.openxmlformats.org/officeDocument/2006/relationships/hyperlink" Target="https://paimai.jd.com/282581439" TargetMode="External"/><Relationship Id="rId5" Type="http://schemas.openxmlformats.org/officeDocument/2006/relationships/hyperlink" Target="https://sf-item.taobao.com/sf_item/671821942683.htm?spm=a213w.7398504.paiList.25.36f972dfcCMpz3&amp;track_id=725711b3-6fb2-42df-97d2-7d4abf4365b3" TargetMode="External"/><Relationship Id="rId4" Type="http://schemas.openxmlformats.org/officeDocument/2006/relationships/hyperlink" Target="https://sf-item.taobao.com/sf_item/704732695193.htm?spm=a213w.7398504.paiList.17.36f972dfcCMpz3&amp;track_id=725711b3-6fb2-42df-97d2-7d4abf4365b3"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受贵公司委托，我公司对北京市进行了预评估。</v>
      </c>
    </row>
    <row r="7" spans="1:2" s="1201" customFormat="1">
      <c r="A7" s="1199" t="s">
        <v>566</v>
      </c>
      <c r="B7" s="1200" t="str">
        <f>'预评函-1'!A7</f>
        <v>估价对象为北京市房地产，为所有。根据《国有土地使用证》[]，估价对象（分摊）出让国有建设用地使用权面积为0平方米，建筑面积为127.35平方米。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估价对象为北京市房地产,属开发建设的，该项目尚在开发建设中。根据《国有土地使用证》[]，估价对象（分摊）出让国有建设用地使用权面积为0平方米，规划建筑面积为127.35平方米。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2024年7月18日（评估专业人员实地查勘之日）</v>
      </c>
    </row>
    <row r="13" spans="1:2" s="1201" customFormat="1">
      <c r="A13" s="1199" t="s">
        <v>529</v>
      </c>
      <c r="B13" s="1200"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6.2" thickBot="1">
      <c r="A18" s="1202" t="s">
        <v>534</v>
      </c>
      <c r="B18" s="1203" t="str">
        <f>'预评函-1'!A24</f>
        <v>本次评估采用的主估价方法为成本法和收益法。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ht="31.2">
      <c r="A42" s="1199" t="s">
        <v>590</v>
      </c>
      <c r="B42" s="1200" t="str">
        <f>'预评函-3'!B2</f>
        <v>建筑面积</v>
      </c>
    </row>
    <row r="43" spans="1:2" s="1201" customFormat="1">
      <c r="A43" s="1199" t="s">
        <v>591</v>
      </c>
      <c r="B43" s="1200">
        <f>'预评函-3'!B4</f>
        <v>127.35</v>
      </c>
    </row>
    <row r="44" spans="1:2" s="1201" customFormat="1" ht="31.2">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f>'预评函-4'!A4</f>
        <v>0</v>
      </c>
    </row>
    <row r="71" spans="1:2">
      <c r="A71" s="1199" t="s">
        <v>563</v>
      </c>
      <c r="B71" s="1200">
        <f>'预评函-4'!B4</f>
        <v>0</v>
      </c>
    </row>
    <row r="72" spans="1:2">
      <c r="A72" s="1199" t="s">
        <v>564</v>
      </c>
      <c r="B72" s="1208">
        <f>'预评函-4'!A5</f>
        <v>0</v>
      </c>
    </row>
    <row r="73" spans="1:2" s="1195" customFormat="1" ht="16.2" thickBot="1">
      <c r="A73" s="1202" t="s">
        <v>565</v>
      </c>
      <c r="B73" s="1203">
        <f>'预评函-4'!B5</f>
        <v>0</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2577</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2578</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2292</v>
      </c>
      <c r="C17" s="1545"/>
    </row>
    <row r="18" spans="1:3">
      <c r="A18" s="1544" t="s">
        <v>1046</v>
      </c>
      <c r="B18" s="1544" t="s">
        <v>2433</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2" t="s">
        <v>385</v>
      </c>
      <c r="C54" s="1549" t="s">
        <v>583</v>
      </c>
    </row>
    <row r="55" spans="1:4">
      <c r="A55" s="3517"/>
      <c r="B55" s="1552" t="s">
        <v>386</v>
      </c>
      <c r="C55" s="1549" t="s">
        <v>584</v>
      </c>
    </row>
    <row r="56" spans="1:4">
      <c r="A56" s="3517"/>
      <c r="B56" s="1552" t="s">
        <v>387</v>
      </c>
      <c r="C56" s="1549" t="s">
        <v>588</v>
      </c>
    </row>
    <row r="57" spans="1:4">
      <c r="A57" s="351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2500</v>
      </c>
      <c r="B1" s="3011"/>
      <c r="C1" s="3011"/>
      <c r="D1" s="3011"/>
      <c r="E1" s="3011"/>
      <c r="F1" s="3012"/>
      <c r="I1" s="3434" t="s">
        <v>2593</v>
      </c>
      <c r="J1" s="3223"/>
      <c r="K1" s="3223"/>
      <c r="L1" s="3223"/>
      <c r="M1" s="3223"/>
      <c r="N1" s="3435"/>
      <c r="O1" s="3435"/>
      <c r="P1" s="3435"/>
      <c r="Q1" s="3435"/>
      <c r="R1" s="3435"/>
    </row>
    <row r="2" spans="1:18">
      <c r="A2" s="3014"/>
      <c r="B2" s="3015"/>
      <c r="C2" s="3015"/>
      <c r="D2" s="3015"/>
      <c r="E2" s="3015"/>
      <c r="F2" s="3016"/>
      <c r="I2" s="3518" t="s">
        <v>2580</v>
      </c>
      <c r="J2" s="3518"/>
      <c r="K2" s="3518"/>
      <c r="L2" s="3518"/>
      <c r="M2" s="3518"/>
      <c r="N2" s="3518"/>
      <c r="O2" s="3518"/>
      <c r="P2" s="3518"/>
      <c r="Q2" s="3518"/>
      <c r="R2" s="3518"/>
    </row>
    <row r="3" spans="1:18">
      <c r="A3" s="3017" t="s">
        <v>2501</v>
      </c>
      <c r="B3" s="3018">
        <f>项目基本情况!D3</f>
        <v>45491</v>
      </c>
      <c r="C3" s="3020"/>
      <c r="D3" s="3020"/>
      <c r="E3" s="3020"/>
      <c r="F3" s="3016"/>
      <c r="I3" s="3436"/>
      <c r="J3" s="3436" t="s">
        <v>2584</v>
      </c>
      <c r="K3" s="3436" t="s">
        <v>2585</v>
      </c>
      <c r="L3" s="3436" t="s">
        <v>2586</v>
      </c>
      <c r="M3" s="3436" t="s">
        <v>2587</v>
      </c>
      <c r="N3" s="3437" t="s">
        <v>2588</v>
      </c>
      <c r="O3" s="3437" t="s">
        <v>2589</v>
      </c>
      <c r="P3" s="3437" t="s">
        <v>2590</v>
      </c>
      <c r="Q3" s="3437" t="s">
        <v>2591</v>
      </c>
      <c r="R3" s="3437" t="s">
        <v>2592</v>
      </c>
    </row>
    <row r="4" spans="1:18">
      <c r="A4" s="3017" t="s">
        <v>2502</v>
      </c>
      <c r="B4" s="3020" t="s">
        <v>2503</v>
      </c>
      <c r="C4" s="3020" t="s">
        <v>2504</v>
      </c>
      <c r="D4" s="3020" t="s">
        <v>2505</v>
      </c>
      <c r="E4" s="3020" t="s">
        <v>2506</v>
      </c>
      <c r="F4" s="3016"/>
      <c r="I4" s="3436" t="s">
        <v>2581</v>
      </c>
      <c r="J4" s="3436">
        <v>80</v>
      </c>
      <c r="K4" s="3436">
        <v>70</v>
      </c>
      <c r="L4" s="3436">
        <v>20</v>
      </c>
      <c r="M4" s="3436">
        <v>30</v>
      </c>
      <c r="N4" s="3020">
        <v>45</v>
      </c>
      <c r="O4" s="3020">
        <v>60</v>
      </c>
      <c r="P4" s="3020">
        <v>50</v>
      </c>
      <c r="Q4" s="3020">
        <v>20</v>
      </c>
      <c r="R4" s="3020">
        <v>375</v>
      </c>
    </row>
    <row r="5" spans="1:18">
      <c r="A5" s="3021">
        <v>40</v>
      </c>
      <c r="B5" s="3018">
        <v>46375</v>
      </c>
      <c r="C5" s="3020">
        <f>ROUNDDOWN(MIN((B5-B3)/365,A5),2)</f>
        <v>2.42</v>
      </c>
      <c r="D5" s="3022">
        <f>IF(ISERROR(ROUND(POWER(1+E5,A5-C5)*(POWER(1+E5,C5)-1)/(POWER(1+E5,A5)-1),3)),0,ROUND(POWER(1+E5,A5-C5)*(POWER(1+E5,C5)-1)/(POWER(1+E5,A5)-1),4))</f>
        <v>0.1144</v>
      </c>
      <c r="E5" s="3023">
        <v>0.04</v>
      </c>
      <c r="F5" s="3016"/>
      <c r="I5" s="3436" t="s">
        <v>2582</v>
      </c>
      <c r="J5" s="3436">
        <v>70</v>
      </c>
      <c r="K5" s="3436">
        <v>60</v>
      </c>
      <c r="L5" s="3436">
        <v>15</v>
      </c>
      <c r="M5" s="3436">
        <v>25</v>
      </c>
      <c r="N5" s="3020">
        <v>40</v>
      </c>
      <c r="O5" s="3020">
        <v>50</v>
      </c>
      <c r="P5" s="3020">
        <v>40</v>
      </c>
      <c r="Q5" s="3020">
        <v>15</v>
      </c>
      <c r="R5" s="3020">
        <v>315</v>
      </c>
    </row>
    <row r="6" spans="1:18">
      <c r="A6" s="3021">
        <v>50</v>
      </c>
      <c r="B6" s="3018">
        <v>50028</v>
      </c>
      <c r="C6" s="3020">
        <f>ROUNDDOWN(MIN((B6-B3)/365,A6),2)</f>
        <v>12.43</v>
      </c>
      <c r="D6" s="3022">
        <f>IF(ISERROR(ROUND(POWER(1+E6,A6-C6)*(POWER(1+E6,C6)-1)/(POWER(1+E6,A6)-1),3)),0,ROUND(POWER(1+E6,A6-C6)*(POWER(1+E6,C6)-1)/(POWER(1+E6,A6)-1),4))</f>
        <v>0.44900000000000001</v>
      </c>
      <c r="E6" s="3023">
        <v>0.04</v>
      </c>
      <c r="F6" s="3016"/>
      <c r="I6" s="3436" t="s">
        <v>2583</v>
      </c>
      <c r="J6" s="3436">
        <v>60</v>
      </c>
      <c r="K6" s="3436">
        <v>50</v>
      </c>
      <c r="L6" s="3436">
        <v>10</v>
      </c>
      <c r="M6" s="3436">
        <v>20</v>
      </c>
      <c r="N6" s="3020">
        <v>35</v>
      </c>
      <c r="O6" s="3020">
        <v>40</v>
      </c>
      <c r="P6" s="3020">
        <v>30</v>
      </c>
      <c r="Q6" s="3020">
        <v>10</v>
      </c>
      <c r="R6" s="3020">
        <v>255</v>
      </c>
    </row>
    <row r="7" spans="1:18">
      <c r="A7" s="3021">
        <v>70</v>
      </c>
      <c r="B7" s="3018">
        <v>57333</v>
      </c>
      <c r="C7" s="3020">
        <f>ROUNDDOWN(MIN((B7-B3)/365,A7),2)</f>
        <v>32.44</v>
      </c>
      <c r="D7" s="3022">
        <f>IF(ISERROR(ROUND(POWER(1+E7,A7-C7)*(POWER(1+E7,C7)-1)/(POWER(1+E7,A7)-1),3)),0,ROUND(POWER(1+E7,A7-C7)*(POWER(1+E7,C7)-1)/(POWER(1+E7,A7)-1),4))</f>
        <v>0.76919999999999999</v>
      </c>
      <c r="E7" s="3023">
        <v>0.04</v>
      </c>
      <c r="F7" s="3016"/>
    </row>
    <row r="8" spans="1:18">
      <c r="A8" s="3014"/>
      <c r="B8" s="3015"/>
      <c r="C8" s="3015"/>
      <c r="D8" s="3015"/>
      <c r="E8" s="3015"/>
      <c r="F8" s="3016"/>
    </row>
    <row r="9" spans="1:18">
      <c r="A9" s="3017" t="s">
        <v>2507</v>
      </c>
      <c r="B9" s="3020"/>
      <c r="C9" s="3020"/>
      <c r="D9" s="3020"/>
      <c r="E9" s="3020"/>
      <c r="F9" s="3024"/>
    </row>
    <row r="10" spans="1:18">
      <c r="A10" s="3017" t="s">
        <v>2508</v>
      </c>
      <c r="B10" s="3020"/>
      <c r="C10" s="3020"/>
      <c r="D10" s="3020" t="s">
        <v>2506</v>
      </c>
      <c r="E10" s="3020"/>
      <c r="F10" s="3024" t="s">
        <v>2505</v>
      </c>
    </row>
    <row r="11" spans="1:18">
      <c r="A11" s="3017" t="s">
        <v>2509</v>
      </c>
      <c r="B11" s="3025">
        <v>70</v>
      </c>
      <c r="C11" s="3020" t="s">
        <v>2510</v>
      </c>
      <c r="D11" s="3026">
        <v>4.4999999999999998E-2</v>
      </c>
      <c r="E11" s="3020" t="s">
        <v>2511</v>
      </c>
      <c r="F11" s="3027">
        <f>ROUND(1-(1/(POWER(1+D11,B11))),4)</f>
        <v>0.95409999999999995</v>
      </c>
    </row>
    <row r="12" spans="1:18">
      <c r="A12" s="3017" t="s">
        <v>2512</v>
      </c>
      <c r="B12" s="3025">
        <v>40</v>
      </c>
      <c r="C12" s="3020" t="s">
        <v>2513</v>
      </c>
      <c r="D12" s="3026">
        <v>4.4999999999999998E-2</v>
      </c>
      <c r="E12" s="3020" t="s">
        <v>2514</v>
      </c>
      <c r="F12" s="3027">
        <f>ROUND(1-(1/(POWER(1+D12,B12))),4)</f>
        <v>0.82809999999999995</v>
      </c>
    </row>
    <row r="13" spans="1:18">
      <c r="A13" s="3017" t="s">
        <v>2515</v>
      </c>
      <c r="B13" s="3020"/>
      <c r="C13" s="3020"/>
      <c r="D13" s="3015"/>
      <c r="E13" s="3015"/>
      <c r="F13" s="3016"/>
    </row>
    <row r="14" spans="1:18">
      <c r="A14" s="3017" t="s">
        <v>2516</v>
      </c>
      <c r="B14" s="3025">
        <v>5000</v>
      </c>
      <c r="C14" s="3019"/>
      <c r="D14" s="3015"/>
      <c r="E14" s="3015"/>
      <c r="F14" s="3016"/>
    </row>
    <row r="15" spans="1:18">
      <c r="A15" s="3017" t="s">
        <v>2517</v>
      </c>
      <c r="B15" s="3020">
        <f>ROUND(B14*F12/F11,2)</f>
        <v>4339.6899999999996</v>
      </c>
      <c r="C15" s="3020">
        <f>ROUND(F12/F11,4)</f>
        <v>0.8679</v>
      </c>
      <c r="D15" s="3015"/>
      <c r="E15" s="3015"/>
      <c r="F15" s="3016"/>
    </row>
    <row r="16" spans="1:18">
      <c r="A16" s="3017" t="s">
        <v>2518</v>
      </c>
      <c r="B16" s="3020"/>
      <c r="C16" s="3020"/>
      <c r="D16" s="3015"/>
      <c r="E16" s="3015"/>
      <c r="F16" s="3016"/>
    </row>
    <row r="17" spans="1:13">
      <c r="A17" s="3017" t="s">
        <v>2517</v>
      </c>
      <c r="B17" s="3026">
        <v>4810</v>
      </c>
      <c r="C17" s="3019"/>
      <c r="D17" s="3015"/>
      <c r="E17" s="3015"/>
      <c r="F17" s="3016"/>
    </row>
    <row r="18" spans="1:13" ht="15" thickBot="1">
      <c r="A18" s="3028" t="s">
        <v>2516</v>
      </c>
      <c r="B18" s="3029">
        <f>ROUND(B17*F11/F12,2)</f>
        <v>5541.87</v>
      </c>
      <c r="C18" s="3029">
        <f>ROUND(F11/F12,4)</f>
        <v>1.1521999999999999</v>
      </c>
      <c r="D18" s="3030"/>
      <c r="E18" s="3030"/>
      <c r="F18" s="3031"/>
    </row>
    <row r="19" spans="1:13" ht="15" thickBot="1"/>
    <row r="20" spans="1:13" s="3066" customFormat="1" ht="15" thickTop="1">
      <c r="A20" s="3063" t="s">
        <v>2519</v>
      </c>
      <c r="B20" s="3064"/>
      <c r="C20" s="3064"/>
      <c r="D20" s="3064"/>
      <c r="E20" s="3064"/>
      <c r="F20" s="3064"/>
      <c r="G20" s="3065"/>
      <c r="I20" s="3067" t="s">
        <v>2564</v>
      </c>
      <c r="J20" s="3067" t="s">
        <v>2569</v>
      </c>
      <c r="K20" s="3067"/>
      <c r="L20" s="3067"/>
      <c r="M20" s="3067"/>
    </row>
    <row r="21" spans="1:13">
      <c r="A21" s="3032"/>
      <c r="B21" s="3033" t="s">
        <v>2520</v>
      </c>
      <c r="C21" s="3033" t="s">
        <v>2521</v>
      </c>
      <c r="D21" s="3033" t="s">
        <v>2522</v>
      </c>
      <c r="E21" s="3033" t="s">
        <v>2523</v>
      </c>
      <c r="F21" s="3033" t="s">
        <v>2524</v>
      </c>
      <c r="G21" s="3034" t="s">
        <v>2525</v>
      </c>
      <c r="I21" s="3055">
        <v>5</v>
      </c>
      <c r="J21" s="3055">
        <v>54.2</v>
      </c>
    </row>
    <row r="22" spans="1:13">
      <c r="A22" s="3032" t="s">
        <v>2526</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2527</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2567</v>
      </c>
      <c r="M23" s="3055" t="s">
        <v>2568</v>
      </c>
    </row>
    <row r="24" spans="1:13">
      <c r="A24" s="3032" t="s">
        <v>2528</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2566</v>
      </c>
      <c r="M24" s="3055">
        <v>10</v>
      </c>
    </row>
    <row r="25" spans="1:13">
      <c r="A25" s="3032" t="s">
        <v>2529</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2570</v>
      </c>
      <c r="M25" s="3055">
        <v>8</v>
      </c>
    </row>
    <row r="26" spans="1:13">
      <c r="A26" s="3037"/>
      <c r="B26" s="3038"/>
      <c r="C26" s="3038"/>
      <c r="D26" s="3038"/>
      <c r="E26" s="3038"/>
      <c r="F26" s="3038"/>
      <c r="G26" s="3039"/>
      <c r="I26" s="3055">
        <v>30</v>
      </c>
      <c r="J26" s="3055">
        <v>90.5</v>
      </c>
      <c r="K26" s="3055">
        <f t="shared" si="2"/>
        <v>4.2000000000000028</v>
      </c>
      <c r="L26" s="3055" t="s">
        <v>2571</v>
      </c>
      <c r="M26" s="3055">
        <v>5</v>
      </c>
    </row>
    <row r="27" spans="1:13">
      <c r="A27" s="3037" t="s">
        <v>2530</v>
      </c>
      <c r="B27" s="3038"/>
      <c r="C27" s="3038"/>
      <c r="D27" s="3038"/>
      <c r="E27" s="3038"/>
      <c r="F27" s="3038"/>
      <c r="G27" s="3039"/>
      <c r="I27" s="3055">
        <v>35</v>
      </c>
      <c r="J27" s="3055">
        <v>93.8</v>
      </c>
      <c r="K27" s="3055">
        <f t="shared" si="2"/>
        <v>3.2999999999999972</v>
      </c>
      <c r="L27" s="3055" t="s">
        <v>2572</v>
      </c>
      <c r="M27" s="3055">
        <v>3</v>
      </c>
    </row>
    <row r="28" spans="1:13">
      <c r="A28" s="3037" t="s">
        <v>2531</v>
      </c>
      <c r="B28" s="3038"/>
      <c r="C28" s="3038"/>
      <c r="D28" s="3038"/>
      <c r="E28" s="3038"/>
      <c r="F28" s="3038"/>
      <c r="G28" s="3039"/>
      <c r="I28" s="3055">
        <v>40</v>
      </c>
      <c r="J28" s="3055">
        <v>96.4</v>
      </c>
      <c r="K28" s="3055">
        <f t="shared" si="2"/>
        <v>2.6000000000000085</v>
      </c>
      <c r="L28" s="3055" t="s">
        <v>2573</v>
      </c>
      <c r="M28" s="3055">
        <v>2</v>
      </c>
    </row>
    <row r="29" spans="1:13">
      <c r="A29" s="3037" t="s">
        <v>2532</v>
      </c>
      <c r="B29" s="3038"/>
      <c r="C29" s="3038"/>
      <c r="D29" s="3038"/>
      <c r="E29" s="3038"/>
      <c r="F29" s="3038"/>
      <c r="G29" s="3039"/>
      <c r="I29" s="3055">
        <v>45</v>
      </c>
      <c r="J29" s="3055">
        <v>98.4</v>
      </c>
      <c r="K29" s="3055">
        <f t="shared" si="2"/>
        <v>2</v>
      </c>
    </row>
    <row r="30" spans="1:13">
      <c r="A30" s="3037" t="s">
        <v>2533</v>
      </c>
      <c r="B30" s="3038"/>
      <c r="C30" s="3038"/>
      <c r="D30" s="3038"/>
      <c r="E30" s="3038"/>
      <c r="F30" s="3038"/>
      <c r="G30" s="3039"/>
      <c r="I30" s="3055">
        <v>50</v>
      </c>
      <c r="J30" s="3055">
        <v>100</v>
      </c>
      <c r="K30" s="3055">
        <f t="shared" si="2"/>
        <v>1.5999999999999943</v>
      </c>
    </row>
    <row r="31" spans="1:13">
      <c r="A31" s="3037" t="s">
        <v>2534</v>
      </c>
      <c r="B31" s="3038"/>
      <c r="C31" s="3038"/>
      <c r="D31" s="3038"/>
      <c r="E31" s="3038"/>
      <c r="F31" s="3038"/>
      <c r="G31" s="3039"/>
      <c r="I31" s="3055" t="s">
        <v>2565</v>
      </c>
    </row>
    <row r="32" spans="1:13">
      <c r="A32" s="3037" t="s">
        <v>2535</v>
      </c>
      <c r="B32" s="3038"/>
      <c r="C32" s="3038"/>
      <c r="D32" s="3038"/>
      <c r="E32" s="3038"/>
      <c r="F32" s="3038"/>
      <c r="G32" s="3039"/>
    </row>
    <row r="33" spans="1:13">
      <c r="A33" s="3037" t="s">
        <v>2536</v>
      </c>
      <c r="B33" s="3038"/>
      <c r="C33" s="3038"/>
      <c r="D33" s="3038"/>
      <c r="E33" s="3038"/>
      <c r="F33" s="3038"/>
      <c r="G33" s="3039"/>
      <c r="I33" s="3055" t="s">
        <v>2564</v>
      </c>
      <c r="J33" s="3055" t="s">
        <v>2574</v>
      </c>
    </row>
    <row r="34" spans="1:13">
      <c r="A34" s="3037" t="s">
        <v>2537</v>
      </c>
      <c r="B34" s="3038"/>
      <c r="C34" s="3038"/>
      <c r="D34" s="3038"/>
      <c r="E34" s="3038"/>
      <c r="F34" s="3038"/>
      <c r="G34" s="3039"/>
      <c r="I34" s="3055">
        <v>5</v>
      </c>
      <c r="J34" s="3055">
        <v>55.1</v>
      </c>
    </row>
    <row r="35" spans="1:13">
      <c r="A35" s="3037" t="s">
        <v>2538</v>
      </c>
      <c r="B35" s="3038"/>
      <c r="C35" s="3038"/>
      <c r="D35" s="3038"/>
      <c r="E35" s="3038"/>
      <c r="F35" s="3038"/>
      <c r="G35" s="3039"/>
      <c r="I35" s="3055">
        <v>10</v>
      </c>
      <c r="J35" s="3055">
        <v>67</v>
      </c>
      <c r="K35" s="3055">
        <f>J35-J34</f>
        <v>11.899999999999999</v>
      </c>
    </row>
    <row r="36" spans="1:13">
      <c r="A36" s="3037" t="s">
        <v>2539</v>
      </c>
      <c r="B36" s="3038"/>
      <c r="C36" s="3038"/>
      <c r="D36" s="3038"/>
      <c r="E36" s="3038"/>
      <c r="F36" s="3038"/>
      <c r="G36" s="3039"/>
      <c r="I36" s="3055">
        <v>15</v>
      </c>
      <c r="J36" s="3055">
        <v>76.3</v>
      </c>
      <c r="K36" s="3055">
        <f t="shared" ref="K36:K41" si="3">J36-J35</f>
        <v>9.2999999999999972</v>
      </c>
      <c r="L36" s="3055" t="s">
        <v>2567</v>
      </c>
      <c r="M36" s="3055" t="s">
        <v>2568</v>
      </c>
    </row>
    <row r="37" spans="1:13">
      <c r="A37" s="3037" t="s">
        <v>2540</v>
      </c>
      <c r="B37" s="3038"/>
      <c r="C37" s="3038"/>
      <c r="D37" s="3038"/>
      <c r="E37" s="3038"/>
      <c r="F37" s="3038"/>
      <c r="G37" s="3039"/>
      <c r="I37" s="3055">
        <v>20</v>
      </c>
      <c r="J37" s="3055">
        <v>83.6</v>
      </c>
      <c r="K37" s="3055">
        <f t="shared" si="3"/>
        <v>7.2999999999999972</v>
      </c>
      <c r="L37" s="3055" t="s">
        <v>2566</v>
      </c>
      <c r="M37" s="3055">
        <v>10</v>
      </c>
    </row>
    <row r="38" spans="1:13">
      <c r="A38" s="3037" t="s">
        <v>2541</v>
      </c>
      <c r="B38" s="3038"/>
      <c r="C38" s="3038"/>
      <c r="D38" s="3038"/>
      <c r="E38" s="3038"/>
      <c r="F38" s="3038"/>
      <c r="G38" s="3039"/>
      <c r="I38" s="3055">
        <v>25</v>
      </c>
      <c r="J38" s="3055">
        <v>89.3</v>
      </c>
      <c r="K38" s="3055">
        <f t="shared" si="3"/>
        <v>5.7000000000000028</v>
      </c>
      <c r="L38" s="3055" t="s">
        <v>2570</v>
      </c>
      <c r="M38" s="3055">
        <v>8</v>
      </c>
    </row>
    <row r="39" spans="1:13">
      <c r="A39" s="3037"/>
      <c r="B39" s="3038"/>
      <c r="C39" s="3038"/>
      <c r="D39" s="3038"/>
      <c r="E39" s="3038"/>
      <c r="F39" s="3038"/>
      <c r="G39" s="3039"/>
      <c r="I39" s="3055">
        <v>30</v>
      </c>
      <c r="J39" s="3055">
        <v>93.8</v>
      </c>
      <c r="K39" s="3055">
        <f t="shared" si="3"/>
        <v>4.5</v>
      </c>
      <c r="L39" s="3055" t="s">
        <v>2571</v>
      </c>
      <c r="M39" s="3055">
        <v>6</v>
      </c>
    </row>
    <row r="40" spans="1:13">
      <c r="A40" s="3040" t="s">
        <v>2542</v>
      </c>
      <c r="B40" s="3041"/>
      <c r="C40" s="3041"/>
      <c r="D40" s="3041"/>
      <c r="E40" s="3041"/>
      <c r="F40" s="3041"/>
      <c r="G40" s="3042"/>
      <c r="I40" s="3055">
        <v>35</v>
      </c>
      <c r="J40" s="3055">
        <v>97.2</v>
      </c>
      <c r="K40" s="3055">
        <f t="shared" si="3"/>
        <v>3.4000000000000057</v>
      </c>
      <c r="L40" s="3055" t="s">
        <v>2572</v>
      </c>
      <c r="M40" s="3055">
        <v>3</v>
      </c>
    </row>
    <row r="41" spans="1:13">
      <c r="A41" s="3043" t="s">
        <v>2543</v>
      </c>
      <c r="B41" s="3044" t="s">
        <v>2544</v>
      </c>
      <c r="C41" s="3045" t="s">
        <v>2545</v>
      </c>
      <c r="D41" s="3045" t="s">
        <v>2546</v>
      </c>
      <c r="E41" s="3046"/>
      <c r="F41" s="3047"/>
      <c r="G41" s="3048"/>
      <c r="I41" s="3055">
        <v>40</v>
      </c>
      <c r="J41" s="3055">
        <v>100</v>
      </c>
      <c r="K41" s="3055">
        <f t="shared" si="3"/>
        <v>2.7999999999999972</v>
      </c>
    </row>
    <row r="42" spans="1:13">
      <c r="A42" s="3043" t="s">
        <v>2547</v>
      </c>
      <c r="B42" s="3044" t="s">
        <v>2548</v>
      </c>
      <c r="C42" s="3045" t="s">
        <v>2549</v>
      </c>
      <c r="D42" s="3049" t="s">
        <v>2550</v>
      </c>
      <c r="E42" s="3041" t="s">
        <v>2551</v>
      </c>
      <c r="F42" s="3041"/>
      <c r="G42" s="3042"/>
    </row>
    <row r="43" spans="1:13">
      <c r="A43" s="3043" t="s">
        <v>2552</v>
      </c>
      <c r="B43" s="3044" t="s">
        <v>2553</v>
      </c>
      <c r="C43" s="3045" t="s">
        <v>2554</v>
      </c>
      <c r="D43" s="3045" t="s">
        <v>2555</v>
      </c>
      <c r="E43" s="3046" t="s">
        <v>2556</v>
      </c>
      <c r="F43" s="3047"/>
      <c r="G43" s="3048"/>
      <c r="I43" s="3055" t="s">
        <v>2564</v>
      </c>
      <c r="J43" s="3055" t="s">
        <v>2575</v>
      </c>
    </row>
    <row r="44" spans="1:13">
      <c r="A44" s="3043" t="s">
        <v>2557</v>
      </c>
      <c r="B44" s="3044" t="s">
        <v>2558</v>
      </c>
      <c r="C44" s="3045" t="s">
        <v>2559</v>
      </c>
      <c r="D44" s="3049">
        <v>0.5</v>
      </c>
      <c r="E44" s="3046" t="s">
        <v>2560</v>
      </c>
      <c r="F44" s="3047"/>
      <c r="G44" s="3048"/>
      <c r="I44" s="3055">
        <v>30</v>
      </c>
      <c r="J44" s="3055">
        <v>81.7</v>
      </c>
    </row>
    <row r="45" spans="1:13" ht="15" thickBot="1">
      <c r="A45" s="3050" t="s">
        <v>2561</v>
      </c>
      <c r="B45" s="3051" t="s">
        <v>2548</v>
      </c>
      <c r="C45" s="3052" t="s">
        <v>2548</v>
      </c>
      <c r="D45" s="3052" t="s">
        <v>2562</v>
      </c>
      <c r="E45" s="3053" t="s">
        <v>2563</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8" sqref="F28"/>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3" t="s">
        <v>2167</v>
      </c>
      <c r="B1" s="3519" t="str">
        <f>IF(B10="北京市","北京市",C10)&amp;F10&amp;IF(结果表!G1="在建","出让国有建设用地使用权及在建建筑物",IF(结果表!G1="土地","出让国有建设用地使用权",))&amp;B9&amp;"预评估"</f>
        <v>北京市预评估</v>
      </c>
      <c r="C1" s="3520"/>
      <c r="D1" s="3520"/>
      <c r="E1" s="3520"/>
      <c r="F1" s="3520"/>
      <c r="G1" s="3520"/>
      <c r="H1" s="3520"/>
      <c r="I1" s="3521"/>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v>
      </c>
      <c r="T1" s="1743"/>
      <c r="U1" s="1743"/>
      <c r="V1" s="1743"/>
      <c r="W1" s="1743"/>
      <c r="X1" s="1743"/>
      <c r="Y1" s="1743"/>
      <c r="Z1" s="1743"/>
      <c r="AA1" s="1743"/>
      <c r="AB1" s="1743"/>
    </row>
    <row r="2" spans="1:30">
      <c r="A2" s="2364" t="s">
        <v>2168</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0">
        <v>45491</v>
      </c>
      <c r="C3" s="2371" t="s">
        <v>2170</v>
      </c>
      <c r="D3" s="2370">
        <f>B3</f>
        <v>45491</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8" thickBot="1">
      <c r="A4" s="1088"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4"/>
      <c r="P4" s="2367"/>
      <c r="Q4" s="2367"/>
      <c r="R4" s="2367"/>
      <c r="S4" s="1680"/>
      <c r="T4" s="1743"/>
      <c r="U4" s="1743"/>
      <c r="V4" s="1743"/>
      <c r="W4" s="1743"/>
      <c r="X4" s="1743"/>
      <c r="Y4" s="1743"/>
      <c r="Z4" s="1743"/>
      <c r="AA4" s="1743"/>
      <c r="AB4" s="1743"/>
    </row>
    <row r="5" spans="1:30" ht="13.8"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c r="C8" s="2387"/>
      <c r="D8" s="3522" t="s">
        <v>2176</v>
      </c>
      <c r="E8" s="2388"/>
      <c r="F8" s="2389"/>
      <c r="G8" s="2660"/>
      <c r="H8" s="2660"/>
      <c r="I8" s="2660"/>
      <c r="J8" s="2436"/>
      <c r="K8" s="2611"/>
      <c r="L8" s="2610"/>
      <c r="M8" s="2610"/>
      <c r="N8" s="2436"/>
      <c r="O8" s="2447"/>
      <c r="P8" s="2436"/>
      <c r="Q8" s="2436"/>
      <c r="R8" s="2436"/>
    </row>
    <row r="9" spans="1:30" ht="13.8" thickBot="1">
      <c r="A9" s="2390" t="s">
        <v>2177</v>
      </c>
      <c r="B9" s="2391"/>
      <c r="C9" s="2392"/>
      <c r="D9" s="3523"/>
      <c r="E9" s="2391"/>
      <c r="F9" s="2393"/>
      <c r="G9" s="2662"/>
      <c r="H9" s="2662"/>
      <c r="I9" s="2662"/>
      <c r="J9" s="2436"/>
      <c r="K9" s="2613"/>
      <c r="L9" s="2610"/>
      <c r="M9" s="2610"/>
      <c r="N9" s="2436"/>
      <c r="O9" s="2447"/>
      <c r="P9" s="2436"/>
      <c r="Q9" s="2436"/>
      <c r="R9" s="2436"/>
    </row>
    <row r="10" spans="1:30" ht="13.8" thickTop="1">
      <c r="A10" s="2394" t="s">
        <v>2178</v>
      </c>
      <c r="B10" s="2395" t="s">
        <v>3382</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3383</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2576</v>
      </c>
      <c r="J12" s="3059"/>
      <c r="K12" s="2610"/>
      <c r="L12" s="2610"/>
      <c r="M12" s="2436"/>
      <c r="N12" s="2447"/>
      <c r="O12" s="2436"/>
      <c r="P12" s="2436"/>
      <c r="Q12" s="2436"/>
      <c r="AD12" s="1743"/>
    </row>
    <row r="13" spans="1:30">
      <c r="A13" s="3420" t="s">
        <v>3332</v>
      </c>
      <c r="B13" s="2404" t="s">
        <v>2189</v>
      </c>
      <c r="C13" s="854"/>
      <c r="D13" s="854">
        <v>53159</v>
      </c>
      <c r="E13" s="854"/>
      <c r="F13" s="854"/>
      <c r="G13" s="854"/>
      <c r="H13" s="854"/>
      <c r="I13" s="854"/>
      <c r="J13" s="3059"/>
      <c r="K13" s="2610"/>
      <c r="L13" s="2610"/>
      <c r="M13" s="2436"/>
      <c r="N13" s="2447"/>
      <c r="O13" s="2436"/>
      <c r="P13" s="2436"/>
      <c r="Q13" s="2436"/>
      <c r="AD13" s="1743"/>
    </row>
    <row r="14" spans="1:30">
      <c r="A14" s="1079"/>
      <c r="B14" s="2404" t="s">
        <v>2190</v>
      </c>
      <c r="C14" s="2405"/>
      <c r="D14" s="2405">
        <v>40</v>
      </c>
      <c r="E14" s="2405"/>
      <c r="F14" s="2405"/>
      <c r="G14" s="2405"/>
      <c r="H14" s="2405"/>
      <c r="I14" s="2405"/>
      <c r="J14" s="3060"/>
      <c r="K14" s="2610"/>
      <c r="L14" s="2610"/>
      <c r="M14" s="2436"/>
      <c r="N14" s="2447"/>
      <c r="O14" s="2436"/>
      <c r="P14" s="2436"/>
      <c r="Q14" s="2436"/>
      <c r="AD14" s="1743"/>
    </row>
    <row r="15" spans="1:30">
      <c r="A15" s="320"/>
      <c r="B15" s="2406" t="s">
        <v>2191</v>
      </c>
      <c r="C15" s="2407" t="str">
        <f>IF(A13="出让",IF(C13="","",ROUNDDOWN(MIN((C13-$D$3)/365,C14),2)),C14)</f>
        <v/>
      </c>
      <c r="D15" s="2407">
        <f>IF(A13="出让",IF(D13="","",ROUNDDOWN(MIN((D13-$D$3)/365,D14),2)),D14)</f>
        <v>21</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7" t="s">
        <v>2192</v>
      </c>
      <c r="B16" s="3529"/>
      <c r="C16" s="3530"/>
      <c r="D16" s="3531"/>
      <c r="E16" s="2410" t="s">
        <v>2193</v>
      </c>
      <c r="F16" s="3532"/>
      <c r="G16" s="3533"/>
      <c r="H16" s="3533"/>
      <c r="I16" s="3534"/>
      <c r="J16" s="2436"/>
      <c r="K16" s="2614"/>
      <c r="L16" s="2448"/>
      <c r="M16" s="2448"/>
      <c r="N16" s="2506"/>
      <c r="O16" s="2448"/>
      <c r="P16" s="2506"/>
      <c r="Q16" s="2436"/>
      <c r="R16" s="2436"/>
    </row>
    <row r="17" spans="1:28">
      <c r="A17" s="313" t="s">
        <v>2194</v>
      </c>
      <c r="B17" s="302" t="s">
        <v>2195</v>
      </c>
      <c r="C17" s="8">
        <f>'数据-汇总表'!E3</f>
        <v>127.35</v>
      </c>
      <c r="D17" s="2319" t="s">
        <v>2196</v>
      </c>
      <c r="E17" s="3535" t="s">
        <v>2197</v>
      </c>
      <c r="F17" s="3536"/>
      <c r="G17" s="3536"/>
      <c r="H17" s="3536"/>
      <c r="I17" s="3537"/>
      <c r="J17" s="2436"/>
      <c r="K17" s="2615"/>
      <c r="L17" s="2448"/>
      <c r="M17" s="2448"/>
      <c r="N17" s="2506"/>
      <c r="O17" s="2448"/>
      <c r="P17" s="2506"/>
      <c r="Q17" s="2436"/>
      <c r="R17" s="2436"/>
      <c r="S17" s="2436"/>
      <c r="T17" s="2436"/>
      <c r="U17" s="2436"/>
      <c r="V17" s="2436"/>
    </row>
    <row r="18" spans="1:28" ht="24.6" thickBot="1">
      <c r="A18" s="2411" t="s">
        <v>2198</v>
      </c>
      <c r="B18" s="1088" t="s">
        <v>2199</v>
      </c>
      <c r="C18" s="2412">
        <f>'数据-汇总表'!D3</f>
        <v>0</v>
      </c>
      <c r="D18" s="1090" t="s">
        <v>2200</v>
      </c>
      <c r="E18" s="3538" t="s">
        <v>2201</v>
      </c>
      <c r="F18" s="3539"/>
      <c r="G18" s="3539"/>
      <c r="H18" s="3539"/>
      <c r="I18" s="3540"/>
      <c r="J18" s="2436"/>
      <c r="K18" s="2615"/>
      <c r="L18" s="2448"/>
      <c r="M18" s="2448"/>
      <c r="N18" s="2506"/>
      <c r="O18" s="2448"/>
      <c r="P18" s="2506"/>
      <c r="Q18" s="2436"/>
      <c r="R18" s="2436"/>
      <c r="S18" s="2436"/>
      <c r="T18" s="2436"/>
      <c r="U18" s="2436"/>
      <c r="V18" s="2436"/>
    </row>
    <row r="19" spans="1:28" ht="37.200000000000003" thickTop="1" thickBot="1">
      <c r="A19" s="327" t="s">
        <v>1055</v>
      </c>
      <c r="B19" s="307"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25" t="s">
        <v>2205</v>
      </c>
      <c r="C20" s="3526"/>
      <c r="D20" s="3527" t="s">
        <v>2206</v>
      </c>
      <c r="E20" s="3528"/>
      <c r="F20" s="2644" t="s">
        <v>1056</v>
      </c>
      <c r="G20" s="2661"/>
      <c r="H20" s="2661"/>
      <c r="I20" s="2661"/>
      <c r="J20" s="2436"/>
      <c r="K20" s="3524"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36.6" thickBot="1">
      <c r="A21" s="2629"/>
      <c r="B21" s="2630" t="s">
        <v>2208</v>
      </c>
      <c r="C21" s="2631" t="s">
        <v>1057</v>
      </c>
      <c r="D21" s="1566" t="s">
        <v>2209</v>
      </c>
      <c r="E21" s="2632" t="s">
        <v>1057</v>
      </c>
      <c r="F21" s="2645"/>
      <c r="G21" s="2661"/>
      <c r="H21" s="2661"/>
      <c r="I21" s="2661"/>
      <c r="J21" s="2436"/>
      <c r="K21" s="352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36.6" thickBot="1">
      <c r="A22" s="2629"/>
      <c r="B22" s="2633" t="s">
        <v>2210</v>
      </c>
      <c r="C22" s="2631" t="s">
        <v>1058</v>
      </c>
      <c r="D22" s="2660"/>
      <c r="E22" s="2660"/>
      <c r="F22" s="2660"/>
      <c r="G22" s="2661"/>
      <c r="H22" s="2661"/>
      <c r="I22" s="2661"/>
      <c r="J22" s="2436"/>
      <c r="K22" s="352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42" t="s">
        <v>2213</v>
      </c>
      <c r="B27" s="320"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2"/>
      <c r="B28" s="302"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2"/>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3"/>
      <c r="B30" s="302" t="s">
        <v>2217</v>
      </c>
      <c r="C30" s="3544"/>
      <c r="D30" s="3545"/>
      <c r="E30" s="2661"/>
      <c r="F30" s="2661"/>
      <c r="G30" s="2661"/>
      <c r="H30" s="2661"/>
      <c r="I30" s="2661"/>
      <c r="J30" s="2436"/>
      <c r="K30" s="2613"/>
      <c r="L30" s="2610"/>
      <c r="M30" s="2610"/>
      <c r="N30" s="2436"/>
      <c r="O30" s="2447"/>
      <c r="P30" s="2436"/>
      <c r="Q30" s="2436"/>
      <c r="R30" s="2436"/>
      <c r="S30" s="2436"/>
      <c r="T30" s="2436"/>
      <c r="U30" s="2436"/>
      <c r="V30" s="2436"/>
    </row>
    <row r="31" spans="1:28">
      <c r="A31" s="3546" t="s">
        <v>2218</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47"/>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47"/>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4"/>
      <c r="C34" s="2024"/>
      <c r="D34" s="2024"/>
      <c r="E34" s="2024"/>
      <c r="F34" s="2024"/>
      <c r="G34" s="2024"/>
      <c r="H34" s="2024"/>
      <c r="I34" s="2661"/>
      <c r="J34" s="2436"/>
      <c r="K34" s="2424">
        <f>COUNTIF(B34:H34,"——")</f>
        <v>0</v>
      </c>
      <c r="L34" s="323" t="s">
        <v>2220</v>
      </c>
      <c r="M34" s="323" t="s">
        <v>2221</v>
      </c>
      <c r="N34" s="323" t="s">
        <v>2222</v>
      </c>
      <c r="O34" s="323" t="s">
        <v>2223</v>
      </c>
      <c r="P34" s="323" t="s">
        <v>2224</v>
      </c>
      <c r="Q34" s="323" t="s">
        <v>2225</v>
      </c>
      <c r="R34" s="323" t="s">
        <v>2226</v>
      </c>
      <c r="S34" s="3541" t="s">
        <v>2227</v>
      </c>
      <c r="T34" s="2425" t="str">
        <f>NUMBERSTRING(7-K34,1)&amp;"通"</f>
        <v>七通</v>
      </c>
      <c r="U34" s="2436"/>
      <c r="V34" s="2436"/>
    </row>
    <row r="35" spans="1:30">
      <c r="A35" s="2426"/>
      <c r="B35" s="3548" t="s">
        <v>2228</v>
      </c>
      <c r="C35" s="3548"/>
      <c r="D35" s="3548"/>
      <c r="E35" s="3548"/>
      <c r="F35" s="662">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6"/>
      <c r="V35" s="2436"/>
    </row>
    <row r="36" spans="1:30">
      <c r="A36" s="2427"/>
      <c r="B36" s="662" t="s">
        <v>2184</v>
      </c>
      <c r="C36" s="662" t="s">
        <v>2185</v>
      </c>
      <c r="D36" s="662" t="s">
        <v>2183</v>
      </c>
      <c r="E36" s="662" t="s">
        <v>2188</v>
      </c>
      <c r="F36" s="3062" t="s">
        <v>2579</v>
      </c>
      <c r="G36" s="2661"/>
      <c r="H36" s="2661"/>
      <c r="I36" s="2661"/>
      <c r="J36" s="2436"/>
      <c r="K36" s="2613"/>
      <c r="L36" s="2610"/>
      <c r="M36" s="2610"/>
      <c r="N36" s="2436"/>
      <c r="O36" s="2447"/>
      <c r="P36" s="2436"/>
      <c r="Q36" s="2436"/>
      <c r="R36" s="2436"/>
      <c r="S36" s="2436"/>
      <c r="T36" s="2436"/>
      <c r="U36" s="2436"/>
      <c r="V36" s="2436"/>
    </row>
    <row r="37" spans="1:30">
      <c r="A37" s="2627" t="s">
        <v>2229</v>
      </c>
      <c r="B37" s="2428" t="s">
        <v>303</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2230</v>
      </c>
      <c r="B38" s="2429" t="s">
        <v>254</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2232</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2">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127.35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127.35</v>
      </c>
      <c r="H5" s="13">
        <f t="shared" ref="H5:AT5" si="0">SUM(H13:H656)</f>
        <v>127.35</v>
      </c>
      <c r="I5" s="13">
        <f t="shared" si="0"/>
        <v>127.35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127.35</v>
      </c>
      <c r="BA5" s="15">
        <f t="shared" si="1"/>
        <v>127.35</v>
      </c>
      <c r="BB5" s="15">
        <f t="shared" si="1"/>
        <v>127.35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8"/>
      <c r="H9" s="1600" t="s">
        <v>1091</v>
      </c>
      <c r="I9" s="1601" t="s">
        <v>3384</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3.2">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49"/>
      <c r="B13" s="1049"/>
      <c r="C13" s="1049"/>
      <c r="D13" s="1623" t="s">
        <v>3385</v>
      </c>
      <c r="E13" s="13">
        <f>IF($C$3="是",ROUND($A$3*G13/$B$3,2),ROUND($A$3*(G13-AT13)/$B$3,2))</f>
        <v>0</v>
      </c>
      <c r="F13" s="29"/>
      <c r="G13" s="30">
        <f>H13+AC13+AT13</f>
        <v>127.35</v>
      </c>
      <c r="H13" s="17">
        <f>SUMIF(I$12:AB$12,"总值",I13:AB13)</f>
        <v>127.35</v>
      </c>
      <c r="I13" s="1624">
        <v>127.35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127.35</v>
      </c>
      <c r="BA13" s="13">
        <f>SUM(BB13:BK13)</f>
        <v>127.35</v>
      </c>
      <c r="BB13" s="13">
        <f>IF($D13="是",I13-J13,0)</f>
        <v>127.35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27" sqref="J27"/>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6"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558" t="s">
        <v>1131</v>
      </c>
      <c r="B2" s="3558"/>
      <c r="C2" s="3558"/>
      <c r="D2" s="794" t="s">
        <v>1107</v>
      </c>
      <c r="E2" s="1637" t="s">
        <v>1108</v>
      </c>
      <c r="F2" s="2656"/>
      <c r="G2" s="2647"/>
      <c r="H2" s="2648"/>
      <c r="I2" s="2322" t="s">
        <v>1132</v>
      </c>
      <c r="J2" s="2656"/>
      <c r="K2" s="2656"/>
      <c r="L2" s="2656"/>
      <c r="M2" s="2656"/>
      <c r="N2" s="2658"/>
      <c r="O2" s="2656"/>
      <c r="P2" s="2656"/>
    </row>
    <row r="3" spans="1:16" ht="15" thickBot="1">
      <c r="A3" s="3559" t="s">
        <v>1105</v>
      </c>
      <c r="B3" s="3559"/>
      <c r="C3" s="3559"/>
      <c r="D3" s="43">
        <f>'数据-基础表'!AY6</f>
        <v>0</v>
      </c>
      <c r="E3" s="43">
        <f>'数据-基础表'!AZ5</f>
        <v>127.35</v>
      </c>
      <c r="F3" s="2656"/>
      <c r="G3" s="1143"/>
      <c r="H3" s="1024" t="s">
        <v>1106</v>
      </c>
      <c r="I3" s="853" t="e">
        <f>ROUND('数据-基础表'!B3/'数据-基础表'!A3,2)</f>
        <v>#DIV/0!</v>
      </c>
      <c r="J3" s="2656"/>
      <c r="K3" s="2656"/>
      <c r="L3" s="2656"/>
      <c r="M3" s="2656"/>
      <c r="N3" s="2658"/>
      <c r="O3" s="2656"/>
      <c r="P3" s="2656"/>
    </row>
    <row r="4" spans="1:16" ht="14.4">
      <c r="A4" s="3560"/>
      <c r="B4" s="3561"/>
      <c r="C4" s="3562"/>
      <c r="D4" s="1639" t="s">
        <v>1107</v>
      </c>
      <c r="E4" s="1640" t="s">
        <v>1108</v>
      </c>
      <c r="F4" s="2656"/>
      <c r="G4" s="2649" t="s">
        <v>1133</v>
      </c>
      <c r="H4" s="1024" t="s">
        <v>1113</v>
      </c>
      <c r="I4" s="853" t="e">
        <f>ROUND(SUMIF('数据-基础表'!I9:AS9,"地上",'数据-基础表'!I5:AS5)/'数据-基础表'!A3,2)</f>
        <v>#DIV/0!</v>
      </c>
      <c r="J4" s="2656"/>
      <c r="K4" s="2656"/>
      <c r="L4" s="2656"/>
      <c r="M4" s="2656"/>
      <c r="N4" s="2658"/>
      <c r="O4" s="2656"/>
      <c r="P4" s="2656"/>
    </row>
    <row r="5" spans="1:16" ht="14.4">
      <c r="A5" s="44" t="s">
        <v>1109</v>
      </c>
      <c r="B5" s="3563" t="s">
        <v>1110</v>
      </c>
      <c r="C5" s="3563"/>
      <c r="D5" s="45">
        <f>ROUND($D$3*E5/$E$3,2)</f>
        <v>0</v>
      </c>
      <c r="E5" s="46">
        <f>SUMIF('数据-基础表'!$11:$11,"住宅",'数据-基础表'!$5:$5)</f>
        <v>0</v>
      </c>
      <c r="F5" s="2656"/>
      <c r="G5" s="1143"/>
      <c r="H5" s="1024" t="s">
        <v>1106</v>
      </c>
      <c r="I5" s="853" t="e">
        <f>ROUND(E31/D31,2)</f>
        <v>#DIV/0!</v>
      </c>
      <c r="J5" s="2656"/>
      <c r="K5" s="2656"/>
      <c r="L5" s="2656"/>
      <c r="M5" s="2656"/>
      <c r="N5" s="2656"/>
      <c r="O5" s="2656"/>
      <c r="P5" s="2656"/>
    </row>
    <row r="6" spans="1:16" ht="15" thickBot="1">
      <c r="A6" s="1642"/>
      <c r="B6" s="3563" t="s">
        <v>1111</v>
      </c>
      <c r="C6" s="3563"/>
      <c r="D6" s="45">
        <f>ROUND($D$3*E6/$E$3,2)</f>
        <v>0</v>
      </c>
      <c r="E6" s="46">
        <f>E3-E5</f>
        <v>127.35</v>
      </c>
      <c r="F6" s="2656"/>
      <c r="G6" s="2650" t="s">
        <v>1112</v>
      </c>
      <c r="H6" s="1144" t="s">
        <v>1113</v>
      </c>
      <c r="I6" s="2651" t="e">
        <f>ROUND(F31/D31,2)</f>
        <v>#DIV/0!</v>
      </c>
      <c r="J6" s="2656"/>
      <c r="K6" s="2656"/>
      <c r="L6" s="2656"/>
      <c r="M6" s="2656"/>
      <c r="N6" s="2656"/>
      <c r="O6" s="2656"/>
      <c r="P6" s="2656"/>
    </row>
    <row r="7" spans="1:16" ht="15" thickBot="1">
      <c r="A7" s="3555"/>
      <c r="B7" s="3556"/>
      <c r="C7" s="3557"/>
      <c r="D7" s="1639" t="s">
        <v>1107</v>
      </c>
      <c r="E7" s="1643" t="s">
        <v>1114</v>
      </c>
      <c r="F7" s="2656"/>
      <c r="G7" s="2652" t="s">
        <v>1115</v>
      </c>
      <c r="H7" s="2653"/>
      <c r="I7" s="2654">
        <v>1.1000000000000001</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127.35</v>
      </c>
      <c r="F8" s="2656"/>
      <c r="G8" s="2657"/>
      <c r="H8" s="2657"/>
      <c r="I8" s="2656"/>
      <c r="J8" s="2656"/>
      <c r="K8" s="2656"/>
      <c r="L8" s="2656"/>
      <c r="M8" s="2656"/>
      <c r="N8" s="2656"/>
      <c r="O8" s="2656"/>
      <c r="P8" s="2656"/>
    </row>
    <row r="9" spans="1:16" ht="14.4">
      <c r="A9" s="1644"/>
      <c r="B9" s="1645"/>
      <c r="C9" s="45" t="s">
        <v>1119</v>
      </c>
      <c r="D9" s="45">
        <f t="shared" si="0"/>
        <v>0</v>
      </c>
      <c r="E9" s="49">
        <v>0</v>
      </c>
      <c r="F9" s="2656"/>
      <c r="G9" s="2657"/>
      <c r="H9" s="2657"/>
      <c r="I9" s="2656"/>
      <c r="J9" s="2656"/>
      <c r="K9" s="2656"/>
      <c r="L9" s="2656"/>
      <c r="M9" s="2656"/>
      <c r="N9" s="2656"/>
      <c r="O9" s="2656"/>
      <c r="P9" s="2656"/>
    </row>
    <row r="10" spans="1:16" ht="14.4">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2"/>
      <c r="B16" s="1645"/>
      <c r="C16" s="47" t="s">
        <v>1123</v>
      </c>
      <c r="D16" s="47">
        <f>SUM(D8:D15)</f>
        <v>0</v>
      </c>
      <c r="E16" s="50">
        <f>SUM(E8:E15)</f>
        <v>127.35</v>
      </c>
      <c r="F16" s="2656"/>
      <c r="G16" s="2657"/>
      <c r="H16" s="1646" t="s">
        <v>1135</v>
      </c>
      <c r="I16" s="1647"/>
      <c r="J16" s="1137"/>
      <c r="K16" s="3552" t="s">
        <v>1135</v>
      </c>
      <c r="L16" s="3553"/>
      <c r="M16" s="3553"/>
      <c r="N16" s="3553"/>
      <c r="O16" s="3553"/>
      <c r="P16" s="3554"/>
    </row>
    <row r="17" spans="1:19" ht="14.4">
      <c r="A17" s="1648" t="s">
        <v>1136</v>
      </c>
      <c r="B17" s="1649" t="s">
        <v>1137</v>
      </c>
      <c r="C17" s="1650" t="s">
        <v>1138</v>
      </c>
      <c r="D17" s="1651" t="s">
        <v>1126</v>
      </c>
      <c r="E17" s="1652" t="s">
        <v>1127</v>
      </c>
      <c r="F17" s="1653"/>
      <c r="G17" s="1654"/>
      <c r="H17" s="1655" t="s">
        <v>1139</v>
      </c>
      <c r="I17" s="1656" t="s">
        <v>1124</v>
      </c>
      <c r="J17" s="1137"/>
      <c r="K17" s="3549" t="s">
        <v>1140</v>
      </c>
      <c r="L17" s="3550"/>
      <c r="M17" s="3551"/>
      <c r="N17" s="3549" t="s">
        <v>1141</v>
      </c>
      <c r="O17" s="3550"/>
      <c r="P17" s="3551"/>
      <c r="R17" s="1638" t="s">
        <v>1142</v>
      </c>
      <c r="S17" s="56"/>
    </row>
    <row r="18" spans="1:19" ht="14.4">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ht="14.4">
      <c r="A19" s="1665"/>
      <c r="B19" s="47" t="s">
        <v>1125</v>
      </c>
      <c r="C19" s="3414" t="s">
        <v>3386</v>
      </c>
      <c r="D19" s="45">
        <f>ROUND($D$3*E19/$E$3,2)</f>
        <v>0</v>
      </c>
      <c r="E19" s="53">
        <f t="shared" ref="E19:E26" si="1">SUM(F19:G19)</f>
        <v>127.35</v>
      </c>
      <c r="F19" s="2792">
        <f>'数据-基础表'!I13</f>
        <v>127.35</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127.35</v>
      </c>
    </row>
    <row r="20" spans="1:19" ht="14.4">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ht="14.4">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ht="14.4">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ht="14.4">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ht="14.4">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ht="14.4">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ht="14.4">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 thickBot="1">
      <c r="A27" s="1668"/>
      <c r="B27" s="45"/>
      <c r="C27" s="1671" t="s">
        <v>1154</v>
      </c>
      <c r="D27" s="1138">
        <f>SUM(D19:D26)</f>
        <v>0</v>
      </c>
      <c r="E27" s="1139">
        <f>IF(SUM(E19:E26)='数据-基础表'!BA5,SUM(E19:E26),IF(F27="地上面积有误","面积有误","地下面积有误"))</f>
        <v>127.35</v>
      </c>
      <c r="F27" s="1138">
        <f>IF(SUM(F19:F26)=E8,SUM(F19:F26),"地上面积有误")</f>
        <v>127.35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127.35</v>
      </c>
    </row>
    <row r="28" spans="1:19" ht="14.4">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 thickBot="1">
      <c r="A31" s="1674"/>
      <c r="B31" s="1675"/>
      <c r="C31" s="833" t="s">
        <v>1158</v>
      </c>
      <c r="D31" s="674">
        <f>D27+D30</f>
        <v>0</v>
      </c>
      <c r="E31" s="674">
        <f>E27+E30</f>
        <v>127.35</v>
      </c>
      <c r="F31" s="675">
        <f>F27+F30</f>
        <v>127.35</v>
      </c>
      <c r="G31" s="676">
        <f>G27+G30</f>
        <v>0</v>
      </c>
      <c r="H31" s="2656"/>
      <c r="I31" s="2656"/>
      <c r="J31" s="2656"/>
      <c r="K31" s="2656"/>
      <c r="L31" s="2656"/>
      <c r="M31" s="2656"/>
      <c r="N31" s="2656"/>
      <c r="O31" s="2656"/>
      <c r="P31" s="2656"/>
    </row>
    <row r="32" spans="1:19" ht="14.4">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 thickBot="1">
      <c r="A2" s="1681" t="s">
        <v>1161</v>
      </c>
      <c r="B2" s="1043">
        <f>项目基本情况!D3</f>
        <v>45491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商业</v>
      </c>
      <c r="B6" s="1711" t="str">
        <f>IF(A6=0,"","经营性")</f>
        <v>经营性</v>
      </c>
      <c r="C6" s="1712" t="s">
        <v>673</v>
      </c>
      <c r="D6" s="856">
        <f>SUMIF(项目基本情况!C$12:I$12,C6,项目基本情况!C$14:I$14)</f>
        <v>40</v>
      </c>
      <c r="E6" s="855">
        <f>IF(B6="","",SUMIF(项目基本情况!C$12:I$12,C6,项目基本情况!C$13:I$13))</f>
        <v>53159</v>
      </c>
      <c r="F6" s="64">
        <f>SUMIF(项目基本情况!C$12:I$12,C6,项目基本情况!C$15:I$15)</f>
        <v>21</v>
      </c>
      <c r="G6" s="65">
        <f>IF(ISERROR(ROUND(POWER(1+H6,D6-F6)*(POWER(1+H6,F6)-1)/(POWER(1+H6,D6)-1),3)),0,ROUND(POWER(1+H6,D6-F6)*(POWER(1+H6,F6)-1)/(POWER(1+H6,D6)-1),3))</f>
        <v>0.747</v>
      </c>
      <c r="H6" s="730">
        <v>0.05</v>
      </c>
      <c r="I6" s="730">
        <v>0.05</v>
      </c>
      <c r="J6" s="66">
        <v>6.5000000000000002E-2</v>
      </c>
      <c r="K6" s="1028">
        <f>SUMIF('数据-汇总表'!C$19:C$33,A6,'数据-汇总表'!E$19:E$33)</f>
        <v>127.35</v>
      </c>
      <c r="L6" s="731">
        <v>4800</v>
      </c>
      <c r="M6" s="67">
        <f t="shared" ref="M6:M14" si="0">ROUND(K6*L6/10000,0)</f>
        <v>61</v>
      </c>
      <c r="N6" s="729">
        <f>N22</f>
        <v>0.77</v>
      </c>
      <c r="O6" s="67" t="str">
        <f>IF($N$5="成新度","——",ROUND(M6*N6,0))</f>
        <v>——</v>
      </c>
      <c r="P6" s="68" t="str">
        <f>IF($N$5="成新度","——",M6-O6)</f>
        <v>——</v>
      </c>
      <c r="Q6" s="732">
        <v>0.25</v>
      </c>
      <c r="R6" s="69">
        <f ca="1">SUMIF('数据-汇总表'!C$19:C$33,A6,'数据-汇总表'!R$19:R$27)</f>
        <v>0</v>
      </c>
      <c r="S6" s="51">
        <f>IF('数据-汇总表'!$I$17="按面积比例",SUMIF('数据-汇总表'!C$19:C$33,A6,'数据-汇总表'!K$19:K$33),SUMIF('数据-汇总表'!C$19:C$33,A6,'数据-汇总表'!N$19:N$33))</f>
        <v>0</v>
      </c>
      <c r="T6" s="1170">
        <f>ROUND($L$14*S6/10000,0)</f>
        <v>0</v>
      </c>
      <c r="U6" s="3425">
        <f>'比较法-商业'!C48</f>
        <v>5.8</v>
      </c>
      <c r="V6" s="70">
        <v>0.02</v>
      </c>
      <c r="W6" s="70">
        <v>0.05</v>
      </c>
      <c r="X6" s="1038"/>
      <c r="Y6" s="71">
        <f>N6</f>
        <v>0.77</v>
      </c>
      <c r="Z6" s="72"/>
      <c r="AA6" s="66"/>
      <c r="AB6" s="66"/>
      <c r="AC6" s="1038"/>
      <c r="AD6" s="73"/>
      <c r="AE6" s="1039">
        <f ca="1">IF(AN6="",0,SUMIF(INDIRECT("'"&amp;AN6&amp;"'"&amp;"!E:E"),$AE$5,INDIRECT("'"&amp;AN6&amp;"'"&amp;"!F:F")))</f>
        <v>21</v>
      </c>
      <c r="AF6" s="1346"/>
      <c r="AG6" s="138">
        <f>IF(AF6="",0,AE6-AF6)</f>
        <v>0</v>
      </c>
      <c r="AH6" s="74">
        <f>'数据-汇总表'!E19</f>
        <v>127.35</v>
      </c>
      <c r="AI6" s="76">
        <v>365</v>
      </c>
      <c r="AJ6" s="77"/>
      <c r="AK6" s="78">
        <v>1E-3</v>
      </c>
      <c r="AL6" s="79">
        <v>1E-3</v>
      </c>
      <c r="AM6" s="3818">
        <v>0.01</v>
      </c>
      <c r="AN6" s="1713" t="s">
        <v>3388</v>
      </c>
      <c r="AO6" s="52">
        <f ca="1">SUMIF(INDIRECT("'"&amp;AN6&amp;"'"&amp;"!A:A"),"总价",INDIRECT("'"&amp;AN6&amp;"'"&amp;"!B:B"))</f>
        <v>367.52609999999999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1"/>
      <c r="D16" s="1718"/>
      <c r="E16" s="88"/>
      <c r="F16" s="88"/>
      <c r="G16" s="89">
        <f>ROUND(SUMPRODUCT(G6:G13,K6:K13)/SUMPRODUCT((G6:G13&gt;0)*(K6:K13)),3)</f>
        <v>0.747</v>
      </c>
      <c r="H16" s="90">
        <f>ROUND(SUMPRODUCT(H6:H13,K6:K13)/SUMPRODUCT((H6:H13&gt;0)*(K6:K13)),3)</f>
        <v>0.05</v>
      </c>
      <c r="I16" s="91"/>
      <c r="J16" s="91"/>
      <c r="K16" s="92">
        <f>SUM(K6:K15)</f>
        <v>127.35</v>
      </c>
      <c r="L16" s="93">
        <f>ROUND(M16*10000/SUM(K6:K14),0)</f>
        <v>4790</v>
      </c>
      <c r="M16" s="93">
        <f>SUM(M6:M14)</f>
        <v>61</v>
      </c>
      <c r="N16" s="94">
        <f>ROUND(SUMPRODUCT(M6:M14,N6:N14)/M16,3)</f>
        <v>0.77</v>
      </c>
      <c r="O16" s="93">
        <f>SUM(O6:O14)</f>
        <v>0</v>
      </c>
      <c r="P16" s="93">
        <f>SUM(P6:P14)</f>
        <v>0</v>
      </c>
      <c r="Q16" s="95">
        <f>ROUND(SUMPRODUCT(Q6:Q13,K6:K13)/SUMPRODUCT((Q6:Q13&gt;0)*(K6:K13)),2)</f>
        <v>0.25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0" t="s">
        <v>1211</v>
      </c>
      <c r="B19" s="103">
        <v>0</v>
      </c>
      <c r="C19" s="2796" t="s">
        <v>2302</v>
      </c>
      <c r="D19" s="2673"/>
      <c r="E19" s="2670"/>
      <c r="F19" s="2670"/>
      <c r="G19" s="2670"/>
      <c r="H19" s="2670"/>
      <c r="I19" s="2670"/>
      <c r="J19" s="2670"/>
      <c r="K19" s="2669"/>
      <c r="L19" s="2669"/>
      <c r="M19" s="2668"/>
      <c r="N19" s="2668">
        <v>2007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1" t="s">
        <v>1212</v>
      </c>
      <c r="B20" s="104">
        <v>2</v>
      </c>
      <c r="C20" s="2797" t="s">
        <v>2300</v>
      </c>
      <c r="D20" s="2673"/>
      <c r="E20" s="2670"/>
      <c r="F20" s="2670"/>
      <c r="G20" s="2670"/>
      <c r="H20" s="2670"/>
      <c r="I20" s="2670"/>
      <c r="J20" s="2670"/>
      <c r="K20" s="2669"/>
      <c r="L20" s="2669"/>
      <c r="M20" s="2668"/>
      <c r="N20" s="2668">
        <f>ROUND(1-(2023-N19)/60,2)</f>
        <v>0.73</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2" t="s">
        <v>1213</v>
      </c>
      <c r="B21" s="104">
        <v>2</v>
      </c>
      <c r="C21" s="2670"/>
      <c r="D21" s="2673"/>
      <c r="E21" s="2670"/>
      <c r="F21" s="2670"/>
      <c r="G21" s="2670"/>
      <c r="H21" s="2670"/>
      <c r="I21" s="2670"/>
      <c r="J21" s="2670"/>
      <c r="K21" s="2669"/>
      <c r="L21" s="2669"/>
      <c r="M21" s="2668"/>
      <c r="N21" s="2668">
        <v>0.8</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1" t="s">
        <v>1214</v>
      </c>
      <c r="B22" s="105">
        <f>B19+B20</f>
        <v>2</v>
      </c>
      <c r="C22" s="2670"/>
      <c r="D22" s="2673"/>
      <c r="E22" s="2670"/>
      <c r="F22" s="2670"/>
      <c r="G22" s="2670"/>
      <c r="H22" s="2670"/>
      <c r="I22" s="2670"/>
      <c r="J22" s="2670"/>
      <c r="K22" s="2669"/>
      <c r="L22" s="2669"/>
      <c r="M22" s="2668"/>
      <c r="N22" s="2668">
        <f>ROUND((N20+N21)/2,2)</f>
        <v>0.77</v>
      </c>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8.8">
      <c r="A27" s="1725" t="s">
        <v>1220</v>
      </c>
      <c r="B27" s="107">
        <v>160</v>
      </c>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8.8">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9.4" thickBot="1">
      <c r="A29" s="1728" t="s">
        <v>1222</v>
      </c>
      <c r="B29" s="112"/>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8.8">
      <c r="A30" s="1729"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8.8">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9.4" thickBot="1">
      <c r="A32" s="1730" t="s">
        <v>1225</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4">
      <c r="A33" s="1725" t="s">
        <v>1226</v>
      </c>
      <c r="B33" s="671">
        <v>0.03</v>
      </c>
      <c r="C33" s="2800" t="s">
        <v>3380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4">
      <c r="A34" s="1727" t="s">
        <v>1227</v>
      </c>
      <c r="B34" s="113"/>
      <c r="C34" s="2800" t="s">
        <v>2294</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4">
      <c r="A35" s="1727" t="s">
        <v>1228</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3381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9" t="s">
        <v>1230</v>
      </c>
      <c r="B37" s="115">
        <v>0.02</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7" t="s">
        <v>1231</v>
      </c>
      <c r="B38" s="113">
        <v>0.02</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3490</v>
      </c>
      <c r="B40" s="1076">
        <f ca="1">IF(A40="利息：取LPR",存贷款利率!G1,存贷款利率!G1+C40)</f>
        <v>4.7500000000000001E-2</v>
      </c>
      <c r="C40" s="2811">
        <v>1.2999999999999999E-2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1"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2" t="s">
        <v>1236</v>
      </c>
      <c r="B44" s="119">
        <v>7.0000000000000007E-2</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2"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2"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4"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5" t="s">
        <v>1244</v>
      </c>
      <c r="B52" s="124">
        <f>SUMIF(A54:A63,B53,B54:B63)</f>
        <v>3</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7" t="s">
        <v>1245</v>
      </c>
      <c r="B53" s="1736" t="s">
        <v>303</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7" t="s">
        <v>1251</v>
      </c>
      <c r="B58" s="75">
        <f>C58</f>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7"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7" customWidth="1"/>
    <col min="4" max="4" width="2.6640625" style="2507" customWidth="1"/>
    <col min="5" max="5" width="5.88671875" style="2507" customWidth="1"/>
    <col min="6" max="6" width="27" style="1570"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7"/>
    <col min="30" max="16384" width="9" style="1684"/>
  </cols>
  <sheetData>
    <row r="1" spans="1:29" s="2454" customFormat="1" ht="18" thickBot="1">
      <c r="A1" s="3564" t="s">
        <v>2285</v>
      </c>
      <c r="B1" s="3565"/>
      <c r="C1" s="3565"/>
      <c r="D1" s="3565"/>
      <c r="E1" s="3565"/>
      <c r="F1" s="3565"/>
      <c r="G1" s="356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7.200000000000003">
      <c r="A4" s="2439"/>
      <c r="B4" s="323" t="s">
        <v>2253</v>
      </c>
      <c r="C4" s="2465" t="s">
        <v>2254</v>
      </c>
      <c r="D4" s="2462"/>
      <c r="E4" s="2466"/>
      <c r="F4" s="1371" t="s">
        <v>2255</v>
      </c>
      <c r="G4" s="2467" t="s">
        <v>2256</v>
      </c>
      <c r="H4" s="797"/>
      <c r="I4" s="797"/>
      <c r="J4" s="797"/>
      <c r="K4" s="797"/>
      <c r="L4" s="797"/>
      <c r="M4" s="797"/>
      <c r="N4" s="797"/>
      <c r="O4" s="797"/>
      <c r="P4" s="797"/>
      <c r="Q4" s="797"/>
      <c r="R4" s="797"/>
    </row>
    <row r="5" spans="1:29" ht="37.200000000000003">
      <c r="A5" s="2439"/>
      <c r="B5" s="323" t="s">
        <v>2257</v>
      </c>
      <c r="C5" s="2465" t="s">
        <v>2258</v>
      </c>
      <c r="D5" s="2462"/>
      <c r="E5" s="2466"/>
      <c r="F5" s="323" t="s">
        <v>2259</v>
      </c>
      <c r="G5" s="2467" t="s">
        <v>2260</v>
      </c>
      <c r="H5" s="797"/>
      <c r="I5" s="797"/>
      <c r="J5" s="797"/>
      <c r="K5" s="797"/>
      <c r="L5" s="797"/>
      <c r="M5" s="797"/>
      <c r="N5" s="797"/>
      <c r="O5" s="797"/>
      <c r="P5" s="797"/>
      <c r="Q5" s="797"/>
      <c r="R5" s="797"/>
    </row>
    <row r="6" spans="1:29" ht="48">
      <c r="A6" s="2439"/>
      <c r="B6" s="323" t="s">
        <v>2261</v>
      </c>
      <c r="C6" s="2467" t="s">
        <v>2256</v>
      </c>
      <c r="D6" s="2462"/>
      <c r="E6" s="2466"/>
      <c r="F6" s="323" t="s">
        <v>2262</v>
      </c>
      <c r="G6" s="2467" t="s">
        <v>2263</v>
      </c>
      <c r="H6" s="797"/>
      <c r="I6" s="797"/>
      <c r="J6" s="797"/>
      <c r="K6" s="797"/>
      <c r="L6" s="797"/>
      <c r="M6" s="797"/>
      <c r="N6" s="797"/>
      <c r="O6" s="797"/>
      <c r="P6" s="797"/>
      <c r="Q6" s="797"/>
      <c r="R6" s="797"/>
    </row>
    <row r="7" spans="1:29" ht="36.6" thickBot="1">
      <c r="A7" s="2439"/>
      <c r="B7" s="323" t="s">
        <v>2259</v>
      </c>
      <c r="C7" s="2467" t="s">
        <v>2260</v>
      </c>
      <c r="D7" s="2468"/>
      <c r="E7" s="2469"/>
      <c r="F7" s="2470" t="s">
        <v>2264</v>
      </c>
      <c r="G7" s="2471" t="s">
        <v>2265</v>
      </c>
      <c r="H7" s="797"/>
      <c r="I7" s="797"/>
      <c r="J7" s="797"/>
      <c r="K7" s="797"/>
      <c r="L7" s="797"/>
      <c r="M7" s="797"/>
      <c r="N7" s="797"/>
      <c r="O7" s="797"/>
      <c r="P7" s="797"/>
      <c r="Q7" s="797"/>
      <c r="R7" s="797"/>
    </row>
    <row r="8" spans="1:29" ht="24">
      <c r="A8" s="2439"/>
      <c r="B8" s="323" t="s">
        <v>2262</v>
      </c>
      <c r="C8" s="2467" t="s">
        <v>2263</v>
      </c>
      <c r="D8" s="2468"/>
      <c r="E8" s="2468"/>
      <c r="F8" s="2472"/>
      <c r="G8" s="2472"/>
      <c r="H8" s="797"/>
      <c r="I8" s="797"/>
      <c r="J8" s="797"/>
      <c r="K8" s="797"/>
      <c r="L8" s="797"/>
      <c r="M8" s="797"/>
      <c r="N8" s="797"/>
      <c r="O8" s="797"/>
      <c r="P8" s="797"/>
      <c r="Q8" s="797"/>
      <c r="R8" s="797"/>
    </row>
    <row r="9" spans="1:29" ht="24">
      <c r="A9" s="2439"/>
      <c r="B9" s="323" t="s">
        <v>2266</v>
      </c>
      <c r="C9" s="2465" t="s">
        <v>2267</v>
      </c>
      <c r="D9" s="2462"/>
      <c r="E9" s="2468"/>
      <c r="F9" s="2472"/>
      <c r="G9" s="2472"/>
      <c r="H9" s="797"/>
      <c r="I9" s="797"/>
      <c r="J9" s="797"/>
      <c r="K9" s="797"/>
      <c r="L9" s="797"/>
      <c r="M9" s="797"/>
      <c r="N9" s="797"/>
      <c r="O9" s="797"/>
      <c r="P9" s="797"/>
      <c r="Q9" s="797"/>
      <c r="R9" s="797"/>
    </row>
    <row r="10" spans="1:29" s="2478" customFormat="1" ht="14.4"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2286</v>
      </c>
      <c r="B13" s="2481"/>
      <c r="C13" s="2481"/>
      <c r="D13" s="2479"/>
      <c r="E13" s="2481"/>
      <c r="F13" s="2481"/>
      <c r="G13" s="2481"/>
    </row>
    <row r="14" spans="1:29" ht="14.4" thickBot="1">
      <c r="A14" s="2491"/>
      <c r="B14" s="2491"/>
      <c r="C14" s="2492" t="s">
        <v>2269</v>
      </c>
      <c r="D14" s="2462"/>
      <c r="E14" s="2493"/>
      <c r="F14" s="2493"/>
      <c r="G14" s="2457" t="s">
        <v>2270</v>
      </c>
    </row>
    <row r="15" spans="1:29" ht="52.8">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9.6">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9.6">
      <c r="A17" s="2443"/>
      <c r="B17" s="2497" t="s">
        <v>2257</v>
      </c>
      <c r="C17" s="2498" t="str">
        <f>C5</f>
        <v>估价对象位于XX商圈，周边办公楼项目较多，入驻率高，办公集聚程度较好</v>
      </c>
      <c r="D17" s="2468"/>
      <c r="E17" s="2444"/>
      <c r="F17" s="2499" t="s">
        <v>2274</v>
      </c>
      <c r="G17" s="2501"/>
    </row>
    <row r="18" spans="1:18" ht="52.8">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6.4">
      <c r="A19" s="2443"/>
      <c r="B19" s="2499" t="s">
        <v>2275</v>
      </c>
      <c r="C19" s="2501"/>
      <c r="D19" s="2462"/>
      <c r="E19" s="2444"/>
      <c r="F19" s="323" t="s">
        <v>2259</v>
      </c>
      <c r="G19" s="2500" t="str">
        <f>G5</f>
        <v>估价对象所在区域公共配套设施齐备情况</v>
      </c>
    </row>
    <row r="20" spans="1:18" ht="26.4">
      <c r="A20" s="2443"/>
      <c r="B20" s="2499" t="s">
        <v>2276</v>
      </c>
      <c r="C20" s="2498" t="str">
        <f>C9</f>
        <v>区域自然环境：；人文环境；综合评价环境状况一般</v>
      </c>
      <c r="D20" s="2468"/>
      <c r="E20" s="2444"/>
      <c r="F20" s="323" t="s">
        <v>2262</v>
      </c>
      <c r="G20" s="2500" t="str">
        <f>G6</f>
        <v>估价对象所在区域基础设施水平</v>
      </c>
    </row>
    <row r="21" spans="1:18" ht="26.4">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7" customFormat="1" ht="14.4"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4.4"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127.35</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45491</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355</v>
      </c>
      <c r="C5" s="2509" t="e">
        <f ca="1">IF(B5=D14,结果表!H102,ROUND(B5*10000/$B$1,0))</f>
        <v>#VALUE!</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127.35</v>
      </c>
      <c r="C14" s="2515"/>
      <c r="D14" s="2515">
        <f ca="1">结果表!G19</f>
        <v>355</v>
      </c>
      <c r="E14" s="2515">
        <f ca="1">ROUND(D14*10000/B14,0)</f>
        <v>27876</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5.6">
      <c r="A16" s="2514" t="s">
        <v>648</v>
      </c>
      <c r="B16" s="2516"/>
      <c r="C16" s="2516"/>
      <c r="D16" s="2516"/>
      <c r="E16" s="2515" t="e">
        <f t="shared" si="0"/>
        <v>#DIV/0!</v>
      </c>
      <c r="F16" s="2515" t="e">
        <f t="shared" si="1"/>
        <v>#DIV/0!</v>
      </c>
      <c r="G16" s="1329"/>
      <c r="H16" s="1329"/>
      <c r="I16" s="2516"/>
      <c r="J16" s="2685"/>
      <c r="K16" s="2685"/>
    </row>
    <row r="17" spans="1:11" ht="15.6">
      <c r="A17" s="2514" t="s">
        <v>647</v>
      </c>
      <c r="B17" s="2516"/>
      <c r="C17" s="2516"/>
      <c r="D17" s="2516"/>
      <c r="E17" s="2515" t="e">
        <f t="shared" si="0"/>
        <v>#DIV/0!</v>
      </c>
      <c r="F17" s="2515" t="e">
        <f t="shared" si="1"/>
        <v>#DIV/0!</v>
      </c>
      <c r="G17" s="1329"/>
      <c r="H17" s="1329"/>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L42" sqref="L42"/>
    </sheetView>
  </sheetViews>
  <sheetFormatPr defaultRowHeight="14.4"/>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7" t="str">
        <f>项目基本情况!B1</f>
        <v>北京市预评估</v>
      </c>
      <c r="C37" s="3477"/>
      <c r="D37" s="3477"/>
      <c r="E37" s="3477"/>
      <c r="F37" s="3477"/>
      <c r="G37" s="3477"/>
      <c r="H37" s="3477"/>
      <c r="I37" s="347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2" sqref="H22"/>
    </sheetView>
  </sheetViews>
  <sheetFormatPr defaultColWidth="12.6640625" defaultRowHeight="21.75" customHeight="1"/>
  <cols>
    <col min="1" max="2" width="12.6640625" style="1751"/>
    <col min="3" max="4" width="12.6640625" style="1751" customWidth="1"/>
    <col min="5" max="9" width="12.6640625" style="1751"/>
    <col min="10" max="11" width="12.6640625" style="723" customWidth="1"/>
    <col min="12" max="12" width="12.6640625" style="723"/>
    <col min="13" max="13" width="14.109375" style="723" bestFit="1" customWidth="1"/>
    <col min="14" max="26" width="12.6640625" style="723"/>
    <col min="27" max="35" width="12.6640625" style="1750"/>
    <col min="36" max="16384" width="12.6640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33" t="str">
        <f>项目基本情况!S2</f>
        <v>北京市房地产</v>
      </c>
      <c r="B2" s="3634"/>
      <c r="C2" s="3634"/>
      <c r="D2" s="3634"/>
      <c r="E2" s="3634"/>
      <c r="F2" s="3634"/>
      <c r="G2" s="3634"/>
      <c r="H2" s="3634"/>
      <c r="I2" s="3635"/>
    </row>
    <row r="3" spans="1:12" ht="13.2">
      <c r="A3" s="3637" t="s">
        <v>1264</v>
      </c>
      <c r="B3" s="3638"/>
      <c r="C3" s="3638"/>
      <c r="D3" s="3638"/>
      <c r="E3" s="3638"/>
      <c r="F3" s="3638"/>
      <c r="G3" s="3638"/>
      <c r="H3" s="3638"/>
      <c r="I3" s="3638"/>
    </row>
    <row r="4" spans="1:12" ht="14.4">
      <c r="A4" s="1752" t="s">
        <v>1265</v>
      </c>
      <c r="B4" s="1753" t="s">
        <v>1266</v>
      </c>
      <c r="C4" s="1754" t="s">
        <v>3432</v>
      </c>
      <c r="D4" s="1754" t="s">
        <v>3388</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1" t="s">
        <v>1268</v>
      </c>
      <c r="B5" s="3636">
        <v>25</v>
      </c>
      <c r="C5" s="3639">
        <v>2</v>
      </c>
      <c r="D5" s="3627">
        <f>10-C5</f>
        <v>8</v>
      </c>
      <c r="E5" s="131" t="s">
        <v>1269</v>
      </c>
      <c r="F5" s="1755"/>
      <c r="G5" s="1755"/>
      <c r="H5" s="1755"/>
      <c r="I5" s="1371"/>
    </row>
    <row r="6" spans="1:12" ht="13.2">
      <c r="A6" s="3581"/>
      <c r="B6" s="3636"/>
      <c r="C6" s="3641"/>
      <c r="D6" s="3627"/>
      <c r="E6" s="131" t="s">
        <v>1270</v>
      </c>
      <c r="F6" s="1755"/>
      <c r="G6" s="1755"/>
      <c r="H6" s="1755"/>
      <c r="I6" s="1371"/>
    </row>
    <row r="7" spans="1:12" ht="13.2">
      <c r="A7" s="3581"/>
      <c r="B7" s="3636"/>
      <c r="C7" s="3640"/>
      <c r="D7" s="3627"/>
      <c r="E7" s="131" t="s">
        <v>1271</v>
      </c>
      <c r="F7" s="1755"/>
      <c r="G7" s="1755"/>
      <c r="H7" s="1755"/>
      <c r="I7" s="1371"/>
    </row>
    <row r="8" spans="1:12" ht="13.2">
      <c r="A8" s="3581" t="s">
        <v>1272</v>
      </c>
      <c r="B8" s="3636">
        <v>15</v>
      </c>
      <c r="C8" s="3639"/>
      <c r="D8" s="3627"/>
      <c r="E8" s="131" t="s">
        <v>1273</v>
      </c>
      <c r="F8" s="1755"/>
      <c r="G8" s="1755"/>
      <c r="H8" s="1755"/>
      <c r="I8" s="1371"/>
    </row>
    <row r="9" spans="1:12" ht="13.2">
      <c r="A9" s="3581"/>
      <c r="B9" s="3636"/>
      <c r="C9" s="3640"/>
      <c r="D9" s="3627"/>
      <c r="E9" s="131" t="s">
        <v>1274</v>
      </c>
      <c r="F9" s="1755"/>
      <c r="G9" s="1755"/>
      <c r="H9" s="1755"/>
      <c r="I9" s="1371"/>
    </row>
    <row r="10" spans="1:12" ht="13.2">
      <c r="A10" s="3581" t="s">
        <v>1275</v>
      </c>
      <c r="B10" s="3636">
        <v>15</v>
      </c>
      <c r="C10" s="3639"/>
      <c r="D10" s="3627"/>
      <c r="E10" s="131" t="s">
        <v>1276</v>
      </c>
      <c r="F10" s="1755"/>
      <c r="G10" s="1755"/>
      <c r="H10" s="1755"/>
      <c r="I10" s="1371"/>
    </row>
    <row r="11" spans="1:12" ht="13.2">
      <c r="A11" s="3581"/>
      <c r="B11" s="3636"/>
      <c r="C11" s="3640"/>
      <c r="D11" s="3627"/>
      <c r="E11" s="131" t="s">
        <v>1277</v>
      </c>
      <c r="F11" s="1755"/>
      <c r="G11" s="1755"/>
      <c r="H11" s="1755"/>
      <c r="I11" s="1371"/>
    </row>
    <row r="12" spans="1:12" ht="13.2">
      <c r="A12" s="3581" t="s">
        <v>1278</v>
      </c>
      <c r="B12" s="3636">
        <v>15</v>
      </c>
      <c r="C12" s="3639"/>
      <c r="D12" s="3627"/>
      <c r="E12" s="131" t="s">
        <v>1279</v>
      </c>
      <c r="F12" s="1755"/>
      <c r="G12" s="1755"/>
      <c r="H12" s="1755"/>
      <c r="I12" s="1371"/>
    </row>
    <row r="13" spans="1:12" ht="13.2">
      <c r="A13" s="3581"/>
      <c r="B13" s="3636"/>
      <c r="C13" s="3640"/>
      <c r="D13" s="3627"/>
      <c r="E13" s="131" t="s">
        <v>1280</v>
      </c>
      <c r="F13" s="1755"/>
      <c r="G13" s="1755"/>
      <c r="H13" s="1755"/>
      <c r="I13" s="1371"/>
    </row>
    <row r="14" spans="1:12" ht="13.2">
      <c r="A14" s="3581" t="s">
        <v>1281</v>
      </c>
      <c r="B14" s="3636">
        <v>30</v>
      </c>
      <c r="C14" s="3639"/>
      <c r="D14" s="3627"/>
      <c r="E14" s="131" t="s">
        <v>1282</v>
      </c>
      <c r="F14" s="1755"/>
      <c r="G14" s="1755"/>
      <c r="H14" s="1755"/>
      <c r="I14" s="1371"/>
    </row>
    <row r="15" spans="1:12" ht="13.2">
      <c r="A15" s="3581"/>
      <c r="B15" s="3636"/>
      <c r="C15" s="3641"/>
      <c r="D15" s="3627"/>
      <c r="E15" s="131" t="s">
        <v>1283</v>
      </c>
      <c r="F15" s="1755"/>
      <c r="G15" s="1755"/>
      <c r="H15" s="1755"/>
      <c r="I15" s="1371"/>
    </row>
    <row r="16" spans="1:12" ht="13.2">
      <c r="A16" s="3581"/>
      <c r="B16" s="3636"/>
      <c r="C16" s="3640"/>
      <c r="D16" s="3627"/>
      <c r="E16" s="131" t="s">
        <v>1284</v>
      </c>
      <c r="F16" s="1755"/>
      <c r="G16" s="1755"/>
      <c r="H16" s="1755"/>
      <c r="I16" s="1371"/>
    </row>
    <row r="17" spans="1:36" ht="14.4">
      <c r="A17" s="1756" t="s">
        <v>1285</v>
      </c>
      <c r="B17" s="56"/>
      <c r="C17" s="132">
        <f>SUM(C5:C16)</f>
        <v>2</v>
      </c>
      <c r="D17" s="132">
        <f>SUM(D5:D16)</f>
        <v>8</v>
      </c>
      <c r="E17" s="129"/>
      <c r="F17" s="129"/>
      <c r="G17" s="129"/>
      <c r="H17" s="129"/>
      <c r="I17" s="129"/>
      <c r="K17" s="302"/>
      <c r="L17" s="302" t="s">
        <v>1286</v>
      </c>
      <c r="M17" s="302" t="s">
        <v>1287</v>
      </c>
    </row>
    <row r="18" spans="1:36" ht="31.95" customHeight="1" thickBot="1">
      <c r="A18" s="1757" t="s">
        <v>1288</v>
      </c>
      <c r="B18" s="1758"/>
      <c r="C18" s="133">
        <f>ROUND(C17/SUM(C17:D17),2)</f>
        <v>0.2</v>
      </c>
      <c r="D18" s="133">
        <f>1-C18</f>
        <v>0.8</v>
      </c>
      <c r="E18" s="3658" t="s">
        <v>2130</v>
      </c>
      <c r="F18" s="3659"/>
      <c r="G18" s="3659"/>
      <c r="H18" s="3659"/>
      <c r="I18" s="3659"/>
      <c r="K18" s="302" t="s">
        <v>1289</v>
      </c>
      <c r="L18" s="302">
        <f>IF(C1="",'数据-汇总表'!E3,SUMIF(项目类型,C1,'数据-汇总表'!E17:E26)+SUMIF(项目类型,C1,'数据-汇总表'!I17:I26))</f>
        <v>127.35</v>
      </c>
      <c r="M18" s="302">
        <f>IF(C1="",'数据-汇总表'!E3,SUMIF(项目类型,C1,'数据-汇总表'!E17:E26))</f>
        <v>127.35</v>
      </c>
    </row>
    <row r="19" spans="1:36" ht="14.4">
      <c r="A19" s="1759" t="s">
        <v>1290</v>
      </c>
      <c r="B19" s="1760" t="s">
        <v>1291</v>
      </c>
      <c r="C19" s="134">
        <f ca="1">SUMIF(INDIRECT("'"&amp;C4&amp;"'"&amp;"!A:A"),结果表!B19,INDIRECT("'"&amp;C4&amp;"'"&amp;"!B:B"))</f>
        <v>302.76620000000003</v>
      </c>
      <c r="D19" s="135">
        <f ca="1">SUMIF(INDIRECT("'"&amp;D4&amp;"'"&amp;"!A:A"),结果表!B19,INDIRECT("'"&amp;D4&amp;"'"&amp;"!B:B"))</f>
        <v>367.52609999999999</v>
      </c>
      <c r="E19" s="1759" t="s">
        <v>1292</v>
      </c>
      <c r="F19" s="1760" t="s">
        <v>1291</v>
      </c>
      <c r="G19" s="136">
        <f ca="1">ROUND(C19*$C$18+D19*$D$18,0)</f>
        <v>355</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2"/>
      <c r="B20" s="1024" t="s">
        <v>1295</v>
      </c>
      <c r="C20" s="137">
        <f ca="1">SUMIF(INDIRECT("'"&amp;C4&amp;"'"&amp;"!A:A"),结果表!B20,INDIRECT("'"&amp;C4&amp;"'"&amp;"!B:B"))</f>
        <v>23774</v>
      </c>
      <c r="D20" s="138">
        <f ca="1">SUMIF(INDIRECT("'"&amp;D4&amp;"'"&amp;"!A:A"),结果表!B20,INDIRECT("'"&amp;D4&amp;"'"&amp;"!B:B"))</f>
        <v>28860</v>
      </c>
      <c r="E20" s="1762"/>
      <c r="F20" s="1024" t="s">
        <v>1295</v>
      </c>
      <c r="G20" s="139">
        <f ca="1">ROUND(C20*$C$18+D20*$D$18,0)</f>
        <v>27843</v>
      </c>
      <c r="H20" s="806" t="s">
        <v>1296</v>
      </c>
      <c r="I20" s="129">
        <f ca="1">G20*0.8</f>
        <v>22274.400000000001</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0.21389408725280412</v>
      </c>
      <c r="E22" s="129"/>
      <c r="F22" s="129"/>
      <c r="G22" s="129">
        <f ca="1">G20*'数据-汇总表'!E19</f>
        <v>3545806.05</v>
      </c>
      <c r="H22" s="129"/>
      <c r="I22" s="129"/>
    </row>
    <row r="23" spans="1:36" ht="13.8" thickBot="1">
      <c r="A23" s="1745"/>
      <c r="B23" s="1745"/>
      <c r="C23" s="1745"/>
      <c r="D23" s="1745"/>
      <c r="E23" s="129"/>
      <c r="F23" s="129"/>
      <c r="G23" s="129"/>
      <c r="H23" s="129"/>
      <c r="I23" s="129"/>
    </row>
    <row r="24" spans="1:36" ht="14.4">
      <c r="A24" s="3651" t="s">
        <v>1299</v>
      </c>
      <c r="B24" s="1760" t="s">
        <v>1291</v>
      </c>
      <c r="C24" s="136">
        <f>IF(B30=0,0,D30)</f>
        <v>0</v>
      </c>
      <c r="D24" s="1767"/>
      <c r="E24" s="129"/>
      <c r="F24" s="129"/>
      <c r="G24" s="129"/>
      <c r="H24" s="129"/>
      <c r="I24" s="129"/>
    </row>
    <row r="25" spans="1:36" ht="14.4">
      <c r="A25" s="3652"/>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1" t="s">
        <v>1305</v>
      </c>
      <c r="B32" s="1772"/>
      <c r="C32" s="144">
        <f ca="1">IF(D32="总价",G19-C24,G20-C25)</f>
        <v>27843</v>
      </c>
      <c r="D32" s="1773"/>
      <c r="E32" s="129"/>
      <c r="F32" s="129"/>
      <c r="G32" s="129"/>
      <c r="H32" s="129"/>
      <c r="I32" s="129"/>
    </row>
    <row r="33" spans="1:15" ht="14.4">
      <c r="A33" s="784"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628" t="s">
        <v>1312</v>
      </c>
      <c r="B36" s="1785" t="s">
        <v>1313</v>
      </c>
      <c r="C36" s="145"/>
      <c r="D36" s="1786"/>
      <c r="E36" s="1787"/>
      <c r="F36" s="1788"/>
      <c r="G36" s="129"/>
      <c r="H36" s="129"/>
      <c r="I36" s="129"/>
    </row>
    <row r="37" spans="1:15" ht="15" thickBot="1">
      <c r="A37" s="3629"/>
      <c r="B37" s="1672" t="s">
        <v>1314</v>
      </c>
      <c r="C37" s="147"/>
      <c r="D37" s="1137"/>
      <c r="E37" s="1137"/>
      <c r="F37" s="1788"/>
      <c r="G37" s="129"/>
      <c r="H37" s="129"/>
      <c r="I37" s="129"/>
    </row>
    <row r="38" spans="1:15" ht="15" thickBot="1">
      <c r="A38" s="3630"/>
      <c r="B38" s="1789" t="s">
        <v>1315</v>
      </c>
      <c r="C38" s="672"/>
      <c r="D38" s="1790" t="s">
        <v>1316</v>
      </c>
      <c r="E38" s="1137"/>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8" t="s">
        <v>1326</v>
      </c>
      <c r="B45" s="3649"/>
      <c r="C45" s="3650"/>
      <c r="D45" s="155" t="e">
        <f ca="1">ROUND(H101*F45,0)</f>
        <v>#REF!</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4"/>
      <c r="I46" s="159"/>
      <c r="J46" s="2520">
        <v>1</v>
      </c>
      <c r="K46" s="3569" t="s">
        <v>1331</v>
      </c>
      <c r="L46" s="3569"/>
      <c r="M46" s="3570"/>
      <c r="N46" s="3570"/>
      <c r="O46" s="3570"/>
    </row>
    <row r="47" spans="1:15" ht="12" customHeight="1">
      <c r="A47" s="160" t="s">
        <v>1332</v>
      </c>
      <c r="B47" s="161"/>
      <c r="C47" s="162"/>
      <c r="D47" s="1085" t="s">
        <v>1333</v>
      </c>
      <c r="E47" s="302" t="s">
        <v>1334</v>
      </c>
      <c r="F47" s="163" t="s">
        <v>1335</v>
      </c>
      <c r="G47" s="2543" t="s">
        <v>1336</v>
      </c>
      <c r="H47" s="2544"/>
      <c r="I47" s="159"/>
      <c r="J47" s="2520">
        <v>2</v>
      </c>
      <c r="K47" s="3569" t="s">
        <v>1337</v>
      </c>
      <c r="L47" s="3569"/>
      <c r="M47" s="3571">
        <f>'数据-取费表'!B2</f>
        <v>45491</v>
      </c>
      <c r="N47" s="3571"/>
      <c r="O47" s="3571"/>
    </row>
    <row r="48" spans="1:15" ht="26.4">
      <c r="A48" s="3631" t="s">
        <v>1338</v>
      </c>
      <c r="B48" s="3632"/>
      <c r="C48" s="3632"/>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4"/>
      <c r="J48" s="2520">
        <v>3</v>
      </c>
      <c r="K48" s="3569" t="s">
        <v>1340</v>
      </c>
      <c r="L48" s="3569"/>
      <c r="M48" s="3572" t="e">
        <f ca="1">H101</f>
        <v>#REF!</v>
      </c>
      <c r="N48" s="3572"/>
      <c r="O48" s="3572"/>
    </row>
    <row r="49" spans="1:35" ht="25.5" customHeight="1">
      <c r="A49" s="2330" t="s">
        <v>1341</v>
      </c>
      <c r="B49" s="3617" t="s">
        <v>1342</v>
      </c>
      <c r="C49" s="3617"/>
      <c r="D49" s="1588">
        <v>0</v>
      </c>
      <c r="E49" s="324" t="s">
        <v>1343</v>
      </c>
      <c r="F49" s="2421" t="s">
        <v>28</v>
      </c>
      <c r="G49" s="3600"/>
      <c r="H49" s="2307" t="s">
        <v>2133</v>
      </c>
      <c r="I49" s="2308"/>
      <c r="J49" s="2520">
        <v>4</v>
      </c>
      <c r="K49" s="3569" t="str">
        <f>IF(项目基本情况!E8="房地产抵押价值","房地产抵押价值","抵押担保权已注销时的房地产抵押价值")</f>
        <v>抵押担保权已注销时的房地产抵押价值</v>
      </c>
      <c r="L49" s="3569"/>
      <c r="M49" s="3572" t="str">
        <f>IF(项目基本情况!E8="房地产抵押价值",H107,H109)</f>
        <v>——</v>
      </c>
      <c r="N49" s="3572"/>
      <c r="O49" s="3572"/>
    </row>
    <row r="50" spans="1:35" ht="25.5" customHeight="1">
      <c r="A50" s="2548"/>
      <c r="B50" s="3617" t="s">
        <v>1344</v>
      </c>
      <c r="C50" s="3617"/>
      <c r="D50" s="2549"/>
      <c r="E50" s="332"/>
      <c r="F50" s="2421"/>
      <c r="G50" s="3601"/>
      <c r="H50" s="2309" t="s">
        <v>2134</v>
      </c>
      <c r="I50" s="2308"/>
      <c r="J50" s="3568" t="s">
        <v>1345</v>
      </c>
      <c r="K50" s="3568"/>
      <c r="L50" s="3568"/>
      <c r="M50" s="3568"/>
      <c r="N50" s="3568"/>
      <c r="O50" s="3568"/>
    </row>
    <row r="51" spans="1:35" ht="20.399999999999999" customHeight="1">
      <c r="A51" s="2550"/>
      <c r="B51" s="3617" t="s">
        <v>1346</v>
      </c>
      <c r="C51" s="3617"/>
      <c r="D51" s="1085"/>
      <c r="E51" s="327"/>
      <c r="F51" s="2421"/>
      <c r="G51" s="3602"/>
      <c r="H51" s="2309" t="s">
        <v>2135</v>
      </c>
      <c r="I51" s="2308"/>
      <c r="J51" s="2521" t="s">
        <v>1347</v>
      </c>
      <c r="K51" s="3569" t="s">
        <v>1348</v>
      </c>
      <c r="L51" s="3569"/>
      <c r="M51" s="2521" t="s">
        <v>1349</v>
      </c>
      <c r="N51" s="2521" t="s">
        <v>1350</v>
      </c>
      <c r="O51" s="2521" t="s">
        <v>1351</v>
      </c>
    </row>
    <row r="52" spans="1:35" ht="24" customHeight="1">
      <c r="A52" s="2332" t="s">
        <v>1352</v>
      </c>
      <c r="B52" s="3617" t="s">
        <v>1353</v>
      </c>
      <c r="C52" s="3617"/>
      <c r="D52" s="1085" t="e">
        <f ca="1">ROUND(D45*'数据-取费表'!B41/(1+'数据-取费表'!C42),0)</f>
        <v>#REF!</v>
      </c>
      <c r="E52" s="2331" t="s">
        <v>1354</v>
      </c>
      <c r="F52" s="2551">
        <f>'数据-取费表'!B41</f>
        <v>5.6000000000000001E-2</v>
      </c>
      <c r="G52" s="2552"/>
      <c r="H52" s="2541"/>
      <c r="I52" s="1805"/>
      <c r="J52" s="2520">
        <v>1</v>
      </c>
      <c r="K52" s="3594" t="s">
        <v>1355</v>
      </c>
      <c r="L52" s="3594"/>
      <c r="M52" s="2522" t="b">
        <f>D48</f>
        <v>0</v>
      </c>
      <c r="N52" s="2520" t="str">
        <f>E48</f>
        <v>销售额×税（费）率</v>
      </c>
      <c r="O52" s="2523">
        <f>F48</f>
        <v>5.6000000000000001E-2</v>
      </c>
    </row>
    <row r="53" spans="1:35" ht="12" customHeight="1">
      <c r="A53" s="2332" t="s">
        <v>1356</v>
      </c>
      <c r="B53" s="3618" t="s">
        <v>2290</v>
      </c>
      <c r="C53" s="3619"/>
      <c r="D53" s="1085" t="e">
        <f ca="1">ROUND(D45*'数据-取费表'!B41/(1+'数据-取费表'!C42),0)</f>
        <v>#REF!</v>
      </c>
      <c r="E53" s="2331" t="s">
        <v>1354</v>
      </c>
      <c r="F53" s="2551">
        <f>'数据-取费表'!B41</f>
        <v>5.6000000000000001E-2</v>
      </c>
      <c r="G53" s="2552"/>
      <c r="H53" s="2541"/>
      <c r="I53" s="1805"/>
      <c r="J53" s="2520">
        <v>2</v>
      </c>
      <c r="K53" s="3594" t="s">
        <v>1357</v>
      </c>
      <c r="L53" s="3594"/>
      <c r="M53" s="2522" t="e">
        <f t="shared" ref="M53:O54" ca="1" si="0">D55</f>
        <v>#REF!</v>
      </c>
      <c r="N53" s="2520" t="str">
        <f t="shared" si="0"/>
        <v>销售额×税（费）率</v>
      </c>
      <c r="O53" s="2523" t="str">
        <f t="shared" si="0"/>
        <v>免征</v>
      </c>
    </row>
    <row r="54" spans="1:35" ht="12" customHeight="1">
      <c r="A54" s="2332" t="s">
        <v>1358</v>
      </c>
      <c r="B54" s="3618" t="s">
        <v>2291</v>
      </c>
      <c r="C54" s="3619"/>
      <c r="D54" s="1085" t="e">
        <f ca="1">C68</f>
        <v>#REF!</v>
      </c>
      <c r="E54" s="327" t="s">
        <v>1359</v>
      </c>
      <c r="F54" s="2551">
        <f>'数据-取费表'!B41</f>
        <v>5.6000000000000001E-2</v>
      </c>
      <c r="G54" s="2552"/>
      <c r="H54" s="2553"/>
      <c r="I54" s="1805"/>
      <c r="J54" s="2520">
        <v>3</v>
      </c>
      <c r="K54" s="3594" t="s">
        <v>1360</v>
      </c>
      <c r="L54" s="3594"/>
      <c r="M54" s="2522" t="e">
        <f t="shared" ca="1" si="0"/>
        <v>#REF!</v>
      </c>
      <c r="N54" s="2520" t="str">
        <f t="shared" si="0"/>
        <v>增值额×税（费）率</v>
      </c>
      <c r="O54" s="2524" t="str">
        <f t="shared" si="0"/>
        <v>免征</v>
      </c>
    </row>
    <row r="55" spans="1:35" ht="24" customHeight="1">
      <c r="A55" s="3654" t="s">
        <v>1361</v>
      </c>
      <c r="B55" s="3632"/>
      <c r="C55" s="3632"/>
      <c r="D55" s="2321" t="e">
        <f ca="1">IF(H55="个人住宅",0,ROUND(D45*I55,0))</f>
        <v>#REF!</v>
      </c>
      <c r="E55" s="2331" t="s">
        <v>1362</v>
      </c>
      <c r="F55" s="2551" t="str">
        <f>IF(H55="正常",I55,"免征")</f>
        <v>免征</v>
      </c>
      <c r="G55" s="2552"/>
      <c r="H55" s="2547"/>
      <c r="I55" s="165">
        <f>'数据-取费表'!B49</f>
        <v>5.0000000000000001E-4</v>
      </c>
      <c r="J55" s="2520">
        <f>IF(H59="非个人房产","",4)</f>
        <v>4</v>
      </c>
      <c r="K55" s="3594" t="str">
        <f>IF(H59="非个人房产","——","个人所得税")</f>
        <v>个人所得税</v>
      </c>
      <c r="L55" s="3594"/>
      <c r="M55" s="2525" t="e">
        <f ca="1">D59</f>
        <v>#REF!</v>
      </c>
      <c r="N55" s="2038" t="str">
        <f>E59</f>
        <v>差额计税</v>
      </c>
      <c r="O55" s="2526">
        <f>F59</f>
        <v>0.01</v>
      </c>
    </row>
    <row r="56" spans="1:35" ht="25.2">
      <c r="A56" s="3654" t="s">
        <v>1363</v>
      </c>
      <c r="B56" s="3632"/>
      <c r="C56" s="3632"/>
      <c r="D56" s="2321" t="e">
        <f ca="1">IF(H56="个人住宅",D57,D58)</f>
        <v>#REF!</v>
      </c>
      <c r="E56" s="2331" t="s">
        <v>1364</v>
      </c>
      <c r="F56" s="2551" t="str">
        <f>IF(H56="正常",F58,"免征")</f>
        <v>免征</v>
      </c>
      <c r="G56" s="2554" t="s">
        <v>1365</v>
      </c>
      <c r="H56" s="2555"/>
      <c r="I56" s="1806"/>
      <c r="J56" s="2520" t="str">
        <f>IF(项目基本情况!K6="上海银行",IF(J55="",4,J55+1),"")</f>
        <v/>
      </c>
      <c r="K56" s="3575" t="str">
        <f>IF(项目基本情况!K6="上海银行","其他处置费用","")</f>
        <v/>
      </c>
      <c r="L56" s="3576"/>
      <c r="M56" s="2522" t="str">
        <f>IF(项目基本情况!K6="上海银行",M69,"")</f>
        <v/>
      </c>
      <c r="N56" s="3575" t="str">
        <f>IF(项目基本情况!K6="上海银行","包含处置中涉及的律师、诉讼、拍卖、评估等费用","")</f>
        <v/>
      </c>
      <c r="O56" s="3578"/>
    </row>
    <row r="57" spans="1:35" ht="13.2">
      <c r="A57" s="2332" t="s">
        <v>1341</v>
      </c>
      <c r="B57" s="3618" t="s">
        <v>1366</v>
      </c>
      <c r="C57" s="3619"/>
      <c r="D57" s="1588">
        <v>0</v>
      </c>
      <c r="E57" s="324" t="s">
        <v>1343</v>
      </c>
      <c r="F57" s="302"/>
      <c r="G57" s="2552"/>
      <c r="H57" s="2556"/>
      <c r="I57" s="1806"/>
      <c r="J57" s="3594">
        <f>IF(AND(J55="",J56=""),4,IF(项目基本情况!K6="上海银行",结果表!J56+1,结果表!J55+1))</f>
        <v>5</v>
      </c>
      <c r="K57" s="3594" t="s">
        <v>1367</v>
      </c>
      <c r="L57" s="2527" t="s">
        <v>1368</v>
      </c>
      <c r="M57" s="2528"/>
      <c r="N57" s="2529">
        <f ca="1">SUMIF(M52:M56,"&lt;9e307")</f>
        <v>0</v>
      </c>
      <c r="O57" s="2530"/>
      <c r="P57" s="2687" t="e">
        <f ca="1">N57/M49</f>
        <v>#VALUE!</v>
      </c>
    </row>
    <row r="58" spans="1:35" ht="25.2">
      <c r="A58" s="2332" t="s">
        <v>1352</v>
      </c>
      <c r="B58" s="3618" t="s">
        <v>1369</v>
      </c>
      <c r="C58" s="3617"/>
      <c r="D58" s="2321" t="e">
        <f ca="1">IF(H58="转让取得",C81,C97)</f>
        <v>#REF!</v>
      </c>
      <c r="E58" s="2331" t="s">
        <v>1364</v>
      </c>
      <c r="F58" s="302" t="s">
        <v>28</v>
      </c>
      <c r="G58" s="2552"/>
      <c r="H58" s="2555"/>
      <c r="I58" s="1806"/>
      <c r="J58" s="3594"/>
      <c r="K58" s="3594"/>
      <c r="L58" s="2527" t="s">
        <v>1370</v>
      </c>
      <c r="M58" s="2531"/>
      <c r="N58" s="2532" t="str">
        <f ca="1">NUMBERSTRING(INT(N57*10000),2)&amp;"元整"</f>
        <v>零元整</v>
      </c>
      <c r="O58" s="2533"/>
    </row>
    <row r="59" spans="1:35" ht="24.6" thickBot="1">
      <c r="A59" s="3598" t="s">
        <v>1371</v>
      </c>
      <c r="B59" s="3599"/>
      <c r="C59" s="3599"/>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596">
        <f>J57+1</f>
        <v>6</v>
      </c>
      <c r="K59" s="3594" t="s">
        <v>1372</v>
      </c>
      <c r="L59" s="2520" t="s">
        <v>1368</v>
      </c>
      <c r="M59" s="2534"/>
      <c r="N59" s="2535" t="e">
        <f ca="1">M49-N57</f>
        <v>#VALUE!</v>
      </c>
      <c r="O59" s="2536"/>
    </row>
    <row r="60" spans="1:35" ht="12" customHeight="1">
      <c r="A60" s="1807"/>
      <c r="B60" s="1745"/>
      <c r="C60" s="1745"/>
      <c r="D60" s="1745"/>
      <c r="E60" s="1576"/>
      <c r="F60" s="1806"/>
      <c r="G60" s="1806"/>
      <c r="H60" s="1808"/>
      <c r="I60" s="129"/>
      <c r="J60" s="3597"/>
      <c r="K60" s="3594"/>
      <c r="L60" s="2527" t="s">
        <v>1370</v>
      </c>
      <c r="M60" s="2531"/>
      <c r="N60" s="2532" t="e">
        <f ca="1">NUMBERSTRING(INT(N59*10000),2)&amp;"元整"</f>
        <v>#VALUE!</v>
      </c>
      <c r="O60" s="2533"/>
    </row>
    <row r="61" spans="1:35" ht="13.8" thickBot="1">
      <c r="A61" s="3653" t="s">
        <v>1373</v>
      </c>
      <c r="B61" s="3653"/>
      <c r="C61" s="3653"/>
      <c r="D61" s="3653"/>
      <c r="E61" s="3653"/>
      <c r="F61" s="1806"/>
      <c r="G61" s="1806"/>
      <c r="H61" s="1808"/>
      <c r="I61" s="129"/>
      <c r="J61" s="2520">
        <f>J59+1</f>
        <v>7</v>
      </c>
      <c r="K61" s="3594" t="s">
        <v>1374</v>
      </c>
      <c r="L61" s="3594"/>
      <c r="M61" s="2537"/>
      <c r="N61" s="2538" t="e">
        <f ca="1">ROUND(N59*10000/'数据-汇总表'!E3,0)</f>
        <v>#VALUE!</v>
      </c>
      <c r="O61" s="2539"/>
    </row>
    <row r="62" spans="1:35" ht="13.2">
      <c r="A62" s="3613" t="s">
        <v>1375</v>
      </c>
      <c r="B62" s="3614"/>
      <c r="C62" s="2019"/>
      <c r="D62" s="2019" t="s">
        <v>1376</v>
      </c>
      <c r="E62" s="166" t="s">
        <v>1377</v>
      </c>
      <c r="F62" s="1806"/>
      <c r="G62" s="1806"/>
      <c r="H62" s="1808"/>
      <c r="I62" s="129"/>
    </row>
    <row r="63" spans="1:35" ht="13.2">
      <c r="A63" s="173" t="s">
        <v>330</v>
      </c>
      <c r="B63" s="167" t="s">
        <v>1378</v>
      </c>
      <c r="C63" s="2561" t="e">
        <f ca="1">ROUND((C64+C65)/(1+'数据-取费表'!C42),0)</f>
        <v>#REF!</v>
      </c>
      <c r="D63" s="167"/>
      <c r="E63" s="168"/>
      <c r="F63" s="1806"/>
      <c r="G63" s="1806"/>
      <c r="H63" s="1808"/>
      <c r="I63" s="129"/>
      <c r="J63" s="3577" t="s">
        <v>1379</v>
      </c>
      <c r="K63" s="1330" t="s">
        <v>1380</v>
      </c>
      <c r="L63" s="1330" t="e">
        <f>IF(M49&gt;10000,M49*0.5%,IF(AND(M49&gt;1000,M49&lt;=10000),M49*1%,IF(AND(M49&gt;100,M49&lt;=1000),M49*3%,IF(AND(M49&gt;10,M49&lt;=100),M49*5%,M49*8%))))</f>
        <v>#VALUE!</v>
      </c>
      <c r="M63" s="302" t="e">
        <f>ROUND(L63,1)</f>
        <v>#VALUE!</v>
      </c>
      <c r="N63" s="2540"/>
      <c r="Z63" s="1750"/>
      <c r="AI63" s="1751"/>
    </row>
    <row r="64" spans="1:35" ht="14.25" customHeight="1">
      <c r="A64" s="169" t="s">
        <v>325</v>
      </c>
      <c r="B64" s="170" t="s">
        <v>1381</v>
      </c>
      <c r="C64" s="2562" t="e">
        <f ca="1">D45</f>
        <v>#REF!</v>
      </c>
      <c r="D64" s="170" t="s">
        <v>26</v>
      </c>
      <c r="E64" s="172"/>
      <c r="F64" s="1806"/>
      <c r="G64" s="1806"/>
      <c r="H64" s="1808"/>
      <c r="I64" s="129"/>
      <c r="J64" s="3577"/>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0"/>
      <c r="AI64" s="1751"/>
    </row>
    <row r="65" spans="1:35" ht="14.25" customHeight="1">
      <c r="A65" s="169" t="s">
        <v>326</v>
      </c>
      <c r="B65" s="170" t="s">
        <v>1384</v>
      </c>
      <c r="C65" s="2563"/>
      <c r="D65" s="170"/>
      <c r="E65" s="172"/>
      <c r="F65" s="1806"/>
      <c r="G65" s="1806"/>
      <c r="H65" s="1808"/>
      <c r="I65" s="129"/>
      <c r="J65" s="3577"/>
      <c r="K65" s="1330" t="s">
        <v>1385</v>
      </c>
      <c r="L65" s="1330" t="e">
        <f>IF(M49&gt;1000,M49*0.1%,IF(AND(M49&gt;500,M49&lt;=1000),M49*0.5%,IF(AND(M49&gt;50,M49&lt;=500),M49*1%,IF(AND(M49&gt;1,M49&lt;=50),M49*1.5%))))</f>
        <v>#VALUE!</v>
      </c>
      <c r="M65" s="302" t="e">
        <f t="shared" si="1"/>
        <v>#VALUE!</v>
      </c>
      <c r="N65" s="2541" t="s">
        <v>1383</v>
      </c>
      <c r="Z65" s="1750"/>
      <c r="AI65" s="1751"/>
    </row>
    <row r="66" spans="1:35" ht="14.25" customHeight="1">
      <c r="A66" s="173" t="s">
        <v>327</v>
      </c>
      <c r="B66" s="174" t="s">
        <v>1386</v>
      </c>
      <c r="C66" s="2564"/>
      <c r="D66" s="174" t="s">
        <v>26</v>
      </c>
      <c r="E66" s="1336" t="s">
        <v>671</v>
      </c>
      <c r="F66" s="1806"/>
      <c r="G66" s="1806"/>
      <c r="H66" s="1808"/>
      <c r="I66" s="129"/>
      <c r="J66" s="3577"/>
      <c r="K66" s="1330" t="s">
        <v>1387</v>
      </c>
      <c r="L66" s="1330" t="e">
        <f>M49*0.5%</f>
        <v>#VALUE!</v>
      </c>
      <c r="M66" s="302" t="e">
        <f>IF(L66&gt;0.5,0.5,ROUND(L66,0))</f>
        <v>#VALUE!</v>
      </c>
      <c r="N66" s="2541" t="s">
        <v>1388</v>
      </c>
      <c r="Z66" s="1750"/>
      <c r="AI66" s="1751"/>
    </row>
    <row r="67" spans="1:35" ht="14.25" customHeight="1">
      <c r="A67" s="173" t="s">
        <v>328</v>
      </c>
      <c r="B67" s="174" t="s">
        <v>1389</v>
      </c>
      <c r="C67" s="2565" t="e">
        <f ca="1">C63-C66</f>
        <v>#REF!</v>
      </c>
      <c r="D67" s="170" t="s">
        <v>26</v>
      </c>
      <c r="E67" s="172"/>
      <c r="F67" s="1806"/>
      <c r="G67" s="1806"/>
      <c r="H67" s="1808"/>
      <c r="I67" s="129"/>
      <c r="J67" s="3577"/>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0"/>
      <c r="AI67" s="1751"/>
    </row>
    <row r="68" spans="1:35" ht="14.25" customHeight="1" thickBot="1">
      <c r="A68" s="176" t="s">
        <v>329</v>
      </c>
      <c r="B68" s="177" t="s">
        <v>1391</v>
      </c>
      <c r="C68" s="2566" t="e">
        <f ca="1">IF(C67&lt;=0,0,ROUND(C67*D68,0))</f>
        <v>#REF!</v>
      </c>
      <c r="D68" s="2567">
        <f>'数据-取费表'!B41</f>
        <v>5.6000000000000001E-2</v>
      </c>
      <c r="E68" s="178"/>
      <c r="F68" s="1806"/>
      <c r="G68" s="1806"/>
      <c r="H68" s="1808"/>
      <c r="I68" s="129"/>
      <c r="J68" s="3577"/>
      <c r="K68" s="1330" t="s">
        <v>1392</v>
      </c>
      <c r="L68" s="1330" t="e">
        <f>IF(M49&gt;10000,M49*0.5%,IF(AND(M49&gt;5000,M49&lt;=10000),M49*1%,IF(AND(M49&gt;1000,M49&lt;=5000),M49*2%,IF(AND(M49&gt;200,M49&lt;=1000),M49*3%,M49*5%))))</f>
        <v>#VALUE!</v>
      </c>
      <c r="M68" s="302" t="e">
        <f>ROUND(L68,1)</f>
        <v>#VALUE!</v>
      </c>
      <c r="N68" s="2540"/>
      <c r="Z68" s="1750"/>
      <c r="AI68" s="1751"/>
    </row>
    <row r="69" spans="1:35" s="1770" customFormat="1" ht="16.5" customHeight="1">
      <c r="A69" s="1809"/>
      <c r="B69" s="1810"/>
      <c r="C69" s="1811"/>
      <c r="D69" s="1812"/>
      <c r="E69" s="1813"/>
      <c r="F69" s="1576"/>
      <c r="G69" s="1576"/>
      <c r="H69" s="1575"/>
      <c r="I69" s="1745"/>
      <c r="J69" s="3577"/>
      <c r="K69" s="1330" t="s">
        <v>1393</v>
      </c>
      <c r="L69" s="1330"/>
      <c r="M69" s="302" t="e">
        <f>ROUND(SUM(M63:M68),0)</f>
        <v>#VALUE!</v>
      </c>
      <c r="N69" s="2542"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4.4" thickBot="1">
      <c r="A70" s="3621" t="s">
        <v>1394</v>
      </c>
      <c r="B70" s="3622"/>
      <c r="C70" s="3622"/>
      <c r="D70" s="3622"/>
      <c r="E70" s="3622"/>
      <c r="F70" s="3622"/>
      <c r="G70" s="3622"/>
      <c r="H70" s="3622"/>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13" t="s">
        <v>1375</v>
      </c>
      <c r="B71" s="3614"/>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5" t="e">
        <f ca="1">ROUND(D45/(1+'数据-取费表'!C42),0)</f>
        <v>#REF!</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5" t="e">
        <f ca="1">C74+C78</f>
        <v>#REF!</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18" t="s">
        <v>1402</v>
      </c>
      <c r="F76" s="3617"/>
      <c r="G76" s="3617"/>
      <c r="H76" s="362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t="e">
        <f ca="1">ROUND(D45*D78/(1+'数据-取费表'!C42),0)</f>
        <v>#REF!</v>
      </c>
      <c r="D78" s="2574">
        <f>'数据-取费表'!B43</f>
        <v>6.000000000000001E-3</v>
      </c>
      <c r="E78" s="3610" t="s">
        <v>1406</v>
      </c>
      <c r="F78" s="3611"/>
      <c r="G78" s="3611"/>
      <c r="H78" s="361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5" t="e">
        <f ca="1">C72-C73</f>
        <v>#REF!</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21" t="s">
        <v>1410</v>
      </c>
      <c r="B83" s="3622"/>
      <c r="C83" s="3622"/>
      <c r="D83" s="3622"/>
      <c r="E83" s="3622"/>
      <c r="F83" s="3622"/>
      <c r="G83" s="3622"/>
      <c r="H83" s="362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13" t="s">
        <v>1375</v>
      </c>
      <c r="B84" s="361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5" t="e">
        <f ca="1">ROUND(D45/(1+'数据-取费表'!C42),0)</f>
        <v>#REF!</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5" t="e">
        <f ca="1">IF(H88="仅含出让金",C87+C90+C91+C92+C93+C94,C87+C91+C92+C93+C94)</f>
        <v>#REF!</v>
      </c>
      <c r="D86" s="2578"/>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79"/>
      <c r="D88" s="2574"/>
      <c r="E88" s="193" t="s">
        <v>1413</v>
      </c>
      <c r="F88" s="2324"/>
      <c r="G88" s="194"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3">
        <f>ROUND(C88*D89,0)</f>
        <v>0</v>
      </c>
      <c r="D89" s="2574">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79"/>
      <c r="D90" s="2574"/>
      <c r="E90" s="193" t="str">
        <f>IF(H88="-","土地取得成本中已包含该笔费用"," ")</f>
        <v xml:space="preserve"> </v>
      </c>
      <c r="F90" s="2324"/>
      <c r="G90" s="3579" t="s">
        <v>2128</v>
      </c>
      <c r="H90" s="3580"/>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10" t="s">
        <v>1419</v>
      </c>
      <c r="F91" s="3611"/>
      <c r="G91" s="361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10" t="s">
        <v>1422</v>
      </c>
      <c r="F92" s="3611"/>
      <c r="G92" s="3611"/>
      <c r="H92" s="3612"/>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t="e">
        <f ca="1">ROUND(D45*D93/(1+'数据-取费表'!C42),0)</f>
        <v>#REF!</v>
      </c>
      <c r="D93" s="2574">
        <f>'数据-取费表'!B43</f>
        <v>6.000000000000001E-3</v>
      </c>
      <c r="E93" s="3610" t="s">
        <v>1406</v>
      </c>
      <c r="F93" s="3611"/>
      <c r="G93" s="3611"/>
      <c r="H93" s="361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55" t="s">
        <v>1426</v>
      </c>
      <c r="F94" s="3656"/>
      <c r="G94" s="3656"/>
      <c r="H94" s="365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5" t="e">
        <f ca="1">ROUND(C85-C86,0)</f>
        <v>#REF!</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0" t="s">
        <v>1428</v>
      </c>
      <c r="B100" s="3561"/>
      <c r="C100" s="3561"/>
      <c r="D100" s="3595"/>
      <c r="E100" s="3561" t="s">
        <v>1429</v>
      </c>
      <c r="F100" s="3561"/>
      <c r="G100" s="3561"/>
      <c r="H100" s="3595"/>
      <c r="I100" s="129"/>
    </row>
    <row r="101" spans="1:35" ht="18.75" customHeight="1">
      <c r="A101" s="3603" t="s">
        <v>1430</v>
      </c>
      <c r="B101" s="3604"/>
      <c r="C101" s="2582" t="str">
        <f>C4</f>
        <v>成本法 (元)</v>
      </c>
      <c r="D101" s="2583" t="str">
        <f>D4</f>
        <v>收益法 (元)</v>
      </c>
      <c r="E101" s="3573" t="s">
        <v>1431</v>
      </c>
      <c r="F101" s="3574"/>
      <c r="G101" s="1825" t="s">
        <v>1432</v>
      </c>
      <c r="H101" s="2592" t="e">
        <f ca="1">H118</f>
        <v>#REF!</v>
      </c>
      <c r="I101" s="129"/>
    </row>
    <row r="102" spans="1:35" ht="18.75" customHeight="1">
      <c r="A102" s="3605" t="s">
        <v>1433</v>
      </c>
      <c r="B102" s="2581" t="s">
        <v>1432</v>
      </c>
      <c r="C102" s="2582">
        <f ca="1">IF(D32="楼面单价",ROUND(C19,0),C19)</f>
        <v>302.76620000000003</v>
      </c>
      <c r="D102" s="2583">
        <f ca="1">IF(D32="楼面单价",ROUND(D19,0),D19)</f>
        <v>367.52609999999999</v>
      </c>
      <c r="E102" s="3573"/>
      <c r="F102" s="3574"/>
      <c r="G102" s="1825" t="s">
        <v>1434</v>
      </c>
      <c r="H102" s="2552" t="e">
        <f ca="1">I118</f>
        <v>#REF!</v>
      </c>
      <c r="I102" s="129"/>
    </row>
    <row r="103" spans="1:35" ht="42.75" customHeight="1">
      <c r="A103" s="3605"/>
      <c r="B103" s="2581" t="s">
        <v>1434</v>
      </c>
      <c r="C103" s="2584">
        <f ca="1">C20</f>
        <v>23774</v>
      </c>
      <c r="D103" s="2585">
        <f ca="1">D20</f>
        <v>28860</v>
      </c>
      <c r="E103" s="3566" t="s">
        <v>1435</v>
      </c>
      <c r="F103" s="3567"/>
      <c r="G103" s="1826" t="s">
        <v>1436</v>
      </c>
      <c r="H103" s="2592">
        <f>IF(D36="正常操作",H104+H105+H106,H105+H106)</f>
        <v>0</v>
      </c>
      <c r="I103" s="129"/>
    </row>
    <row r="104" spans="1:35" ht="18.75" customHeight="1">
      <c r="A104" s="3605" t="s">
        <v>1437</v>
      </c>
      <c r="B104" s="2586" t="s">
        <v>1432</v>
      </c>
      <c r="C104" s="2587" t="e">
        <f ca="1">H118</f>
        <v>#REF!</v>
      </c>
      <c r="D104" s="2588"/>
      <c r="E104" s="1672" t="s">
        <v>1438</v>
      </c>
      <c r="F104" s="1664"/>
      <c r="G104" s="1826" t="s">
        <v>1436</v>
      </c>
      <c r="H104" s="2593">
        <f>IF(D36="同一抵押权人同一抵押物续贷",C36&amp;"（续贷，未扣减，详见特别提示）",C36)</f>
        <v>0</v>
      </c>
      <c r="I104" s="129"/>
    </row>
    <row r="105" spans="1:35" ht="18.75" customHeight="1" thickBot="1">
      <c r="A105" s="3615"/>
      <c r="B105" s="2589" t="s">
        <v>1434</v>
      </c>
      <c r="C105" s="2590" t="e">
        <f ca="1">I118</f>
        <v>#REF!</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06" t="str">
        <f>IF(项目基本情况!E8="已注销","——","3.房地产抵押价值")</f>
        <v>3.房地产抵押价值</v>
      </c>
      <c r="F107" s="3574"/>
      <c r="G107" s="1825" t="s">
        <v>1432</v>
      </c>
      <c r="H107" s="2592" t="e">
        <f ca="1">IF(E107="——","——",H101-H103)</f>
        <v>#REF!</v>
      </c>
      <c r="I107" s="129"/>
    </row>
    <row r="108" spans="1:35" ht="18.75" customHeight="1">
      <c r="A108" s="129"/>
      <c r="B108" s="129"/>
      <c r="C108" s="129"/>
      <c r="D108" s="129"/>
      <c r="E108" s="3606"/>
      <c r="F108" s="3574"/>
      <c r="G108" s="1825" t="s">
        <v>1434</v>
      </c>
      <c r="H108" s="2552">
        <f ca="1">IF(H107=H101,H102,ROUND(H107*10000/'数据-汇总表'!E3,0))</f>
        <v>0</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5" t="s">
        <v>1432</v>
      </c>
      <c r="H109" s="2595" t="str">
        <f>IF(E109="——","——",H101-H105-H106)</f>
        <v>——</v>
      </c>
      <c r="I109" s="129"/>
    </row>
    <row r="110" spans="1:35" ht="18.75" customHeight="1">
      <c r="A110" s="129"/>
      <c r="B110" s="129"/>
      <c r="C110" s="129"/>
      <c r="D110" s="129"/>
      <c r="E110" s="3606"/>
      <c r="F110" s="3574"/>
      <c r="G110" s="1825" t="s">
        <v>1434</v>
      </c>
      <c r="H110" s="2552"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5" t="s">
        <v>1432</v>
      </c>
      <c r="H111" s="2592" t="str">
        <f>IF(E111="——","——",N59)</f>
        <v>——</v>
      </c>
      <c r="I111" s="129"/>
    </row>
    <row r="112" spans="1:35" ht="18.75" customHeight="1" thickBot="1">
      <c r="A112" s="129"/>
      <c r="B112" s="129"/>
      <c r="C112" s="129"/>
      <c r="D112" s="129"/>
      <c r="E112" s="3608"/>
      <c r="F112" s="3609"/>
      <c r="G112" s="1828" t="s">
        <v>1434</v>
      </c>
      <c r="H112" s="2596" t="str">
        <f>IF(E111="——","——",N61)</f>
        <v>——</v>
      </c>
      <c r="I112" s="129"/>
    </row>
    <row r="113" spans="1:27" ht="18.75" customHeight="1">
      <c r="A113" s="129"/>
      <c r="B113" s="129"/>
      <c r="C113" s="129"/>
      <c r="D113" s="129"/>
      <c r="E113" s="3616" t="s">
        <v>1440</v>
      </c>
      <c r="F113" s="3616"/>
      <c r="G113" s="3616"/>
      <c r="H113" s="3616"/>
      <c r="I113" s="129"/>
    </row>
    <row r="114" spans="1:27" ht="3.75" customHeight="1">
      <c r="A114" s="1745"/>
      <c r="B114" s="1745"/>
      <c r="C114" s="1745"/>
      <c r="D114" s="1745"/>
      <c r="E114" s="1807"/>
      <c r="F114" s="1807"/>
      <c r="G114" s="1807"/>
      <c r="H114" s="1807"/>
      <c r="I114" s="1745"/>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127.35</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81" t="s">
        <v>1452</v>
      </c>
      <c r="B119" s="3581"/>
      <c r="C119" s="3581"/>
      <c r="D119" s="3587" t="e">
        <f ca="1">NUMBERSTRING(INT(D118*10000),2)&amp;"元整"</f>
        <v>#REF!</v>
      </c>
      <c r="E119" s="3588"/>
      <c r="F119" s="3587" t="e">
        <f ca="1">NUMBERSTRING(INT(F118*10000),2)&amp;"元整"</f>
        <v>#REF!</v>
      </c>
      <c r="G119" s="3588"/>
      <c r="H119" s="3587" t="e">
        <f ca="1">NUMBERSTRING(INT(H118*10000),2)&amp;"元整"</f>
        <v>#REF!</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7" t="s">
        <v>1452</v>
      </c>
      <c r="B121" s="3589"/>
      <c r="C121" s="3588"/>
      <c r="D121" s="3587" t="str">
        <f>IF(D120=0,"零元整",NUMBERSTRING(INT(D120*10000),2)&amp;"元整")</f>
        <v>零元整</v>
      </c>
      <c r="E121" s="3589"/>
      <c r="F121" s="3589"/>
      <c r="G121" s="3589"/>
      <c r="H121" s="3589"/>
      <c r="I121" s="3588"/>
      <c r="AA121" s="723"/>
    </row>
    <row r="122" spans="1:27" ht="18.75" customHeight="1">
      <c r="A122" s="3593" t="str">
        <f>IF(项目基本情况!B9="房地产市场价值","",MID(E107,3,LEN(E107)-2))</f>
        <v>房地产抵押价值</v>
      </c>
      <c r="B122" s="3593"/>
      <c r="C122" s="3593"/>
      <c r="D122" s="3582" t="e">
        <f ca="1">H107</f>
        <v>#REF!</v>
      </c>
      <c r="E122" s="3583"/>
      <c r="F122" s="3583"/>
      <c r="G122" s="3583"/>
      <c r="H122" s="3583"/>
      <c r="I122" s="3584"/>
      <c r="AA122" s="723"/>
    </row>
    <row r="123" spans="1:27" ht="18.75" customHeight="1">
      <c r="A123" s="3581" t="s">
        <v>1452</v>
      </c>
      <c r="B123" s="3581"/>
      <c r="C123" s="3581"/>
      <c r="D123" s="3587" t="e">
        <f ca="1">NUMBERSTRING(INT(D122*10000),2)&amp;"元整"</f>
        <v>#REF!</v>
      </c>
      <c r="E123" s="3589"/>
      <c r="F123" s="3589"/>
      <c r="G123" s="3589"/>
      <c r="H123" s="3589"/>
      <c r="I123" s="3588"/>
      <c r="AA123" s="723"/>
    </row>
    <row r="124" spans="1:27" ht="18.75" customHeight="1">
      <c r="A124" s="3593" t="str">
        <f>IF(项目基本情况!B9="房地产市场价值","",MID(E109,3,LEN(E109)-2))</f>
        <v/>
      </c>
      <c r="B124" s="3593"/>
      <c r="C124" s="3593"/>
      <c r="D124" s="3582" t="str">
        <f>H109</f>
        <v>——</v>
      </c>
      <c r="E124" s="3583"/>
      <c r="F124" s="3583"/>
      <c r="G124" s="3583"/>
      <c r="H124" s="3583"/>
      <c r="I124" s="3584"/>
      <c r="AA124" s="723"/>
    </row>
    <row r="125" spans="1:27" ht="18.75" customHeight="1">
      <c r="A125" s="3581" t="s">
        <v>1452</v>
      </c>
      <c r="B125" s="3581"/>
      <c r="C125" s="3581"/>
      <c r="D125" s="3587" t="e">
        <f>NUMBERSTRING(INT(D124*10000),2)&amp;"元整"</f>
        <v>#VALUE!</v>
      </c>
      <c r="E125" s="3589"/>
      <c r="F125" s="3589"/>
      <c r="G125" s="3589"/>
      <c r="H125" s="3589"/>
      <c r="I125" s="3588"/>
      <c r="AA125" s="723"/>
    </row>
    <row r="126" spans="1:27" ht="18.75" customHeight="1">
      <c r="A126" s="3593" t="str">
        <f>IF(项目基本情况!B9="房地产市场价值","",MID(E111,3,LEN(E111)-2))</f>
        <v/>
      </c>
      <c r="B126" s="3593"/>
      <c r="C126" s="3593"/>
      <c r="D126" s="3582" t="str">
        <f>H111</f>
        <v>——</v>
      </c>
      <c r="E126" s="3583"/>
      <c r="F126" s="3583"/>
      <c r="G126" s="3583"/>
      <c r="H126" s="3583"/>
      <c r="I126" s="3584"/>
      <c r="AA126" s="723"/>
    </row>
    <row r="127" spans="1:27" ht="18.75" customHeight="1">
      <c r="A127" s="3581" t="s">
        <v>1452</v>
      </c>
      <c r="B127" s="3581"/>
      <c r="C127" s="3581"/>
      <c r="D127" s="3587" t="e">
        <f>NUMBERSTRING(INT(D126*10000),2)&amp;"元整"</f>
        <v>#VALUE!</v>
      </c>
      <c r="E127" s="3589"/>
      <c r="F127" s="3589"/>
      <c r="G127" s="3589"/>
      <c r="H127" s="3589"/>
      <c r="I127" s="3588"/>
      <c r="AA127" s="723"/>
    </row>
    <row r="128" spans="1:27" ht="21.75" customHeight="1">
      <c r="A128" s="3590" t="s">
        <v>1453</v>
      </c>
      <c r="B128" s="3590"/>
      <c r="C128" s="3590"/>
      <c r="D128" s="3590"/>
      <c r="E128" s="3590"/>
      <c r="F128" s="3590"/>
      <c r="G128" s="3590"/>
      <c r="H128" s="3590"/>
      <c r="I128" s="359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9" sqref="G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8" t="s">
        <v>673</v>
      </c>
      <c r="C1" s="198"/>
      <c r="D1" s="198"/>
      <c r="E1" s="198"/>
      <c r="F1" s="198"/>
      <c r="G1" s="1124">
        <f>MATCH(B1,'数据-取费表'!A6:A16,0)+5</f>
        <v>6</v>
      </c>
    </row>
    <row r="2" spans="1:9" s="200" customFormat="1" ht="18" customHeight="1">
      <c r="A2" s="201" t="s">
        <v>1462</v>
      </c>
      <c r="B2" s="202">
        <f ca="1">IF(D2="——",C52,C52-E2)</f>
        <v>303</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23793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154</v>
      </c>
      <c r="D5" s="211" t="s">
        <v>1469</v>
      </c>
      <c r="E5" s="212" t="s">
        <v>1470</v>
      </c>
      <c r="F5" s="212" t="s">
        <v>1471</v>
      </c>
      <c r="G5" s="213"/>
    </row>
    <row r="6" spans="1:9" s="214" customFormat="1" ht="13.5" customHeight="1">
      <c r="A6" s="776" t="s">
        <v>1472</v>
      </c>
      <c r="B6" s="215" t="s">
        <v>1473</v>
      </c>
      <c r="C6" s="216">
        <f>基准地价修正!E33</f>
        <v>147</v>
      </c>
      <c r="D6" s="217"/>
      <c r="E6" s="218"/>
      <c r="F6" s="218"/>
      <c r="G6" s="219"/>
    </row>
    <row r="7" spans="1:9" s="214" customFormat="1" ht="13.5" customHeight="1">
      <c r="A7" s="776" t="s">
        <v>1474</v>
      </c>
      <c r="B7" s="215" t="s">
        <v>1475</v>
      </c>
      <c r="C7" s="220">
        <f>ROUND(C6*F7,0)</f>
        <v>4</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v>
      </c>
      <c r="D8" s="222"/>
      <c r="E8" s="220"/>
      <c r="F8" s="221"/>
      <c r="G8" s="1854" t="s">
        <v>3403</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t="s">
        <v>3405</v>
      </c>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127.35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127.35</v>
      </c>
      <c r="E19" s="211">
        <f>'数据-取费表'!B31</f>
        <v>200</v>
      </c>
      <c r="F19" s="231"/>
      <c r="G19" s="1854" t="s">
        <v>3404</v>
      </c>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15</v>
      </c>
      <c r="D22" s="235">
        <f ca="1">C26</f>
        <v>1E-3</v>
      </c>
      <c r="E22" s="236" t="s">
        <v>1498</v>
      </c>
      <c r="F22" s="237">
        <f ca="1">'数据-取费表'!B40</f>
        <v>4.7500000000000001E-2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15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39</v>
      </c>
      <c r="D27" s="235">
        <f ca="1">C29</f>
        <v>5.0000000000000001E-3</v>
      </c>
      <c r="E27" s="236" t="s">
        <v>1514</v>
      </c>
      <c r="F27" s="246">
        <f ca="1">IF(B1="",'数据-取费表'!Q16,INDIRECT("'数据-取费表'!q"&amp;$G$1))</f>
        <v>0.25</v>
      </c>
      <c r="G27" s="247" t="s">
        <v>1515</v>
      </c>
    </row>
    <row r="28" spans="1:7" s="214" customFormat="1" ht="13.5" customHeight="1">
      <c r="A28" s="778" t="s">
        <v>346</v>
      </c>
      <c r="B28" s="248" t="s">
        <v>1516</v>
      </c>
      <c r="C28" s="249">
        <f ca="1">ROUND((C5+C19+C20)*F27*'数据-取费表'!B21/'数据-取费表'!B20,0)</f>
        <v>39</v>
      </c>
      <c r="D28" s="235"/>
      <c r="E28" s="236"/>
      <c r="F28" s="246"/>
      <c r="G28" s="247"/>
    </row>
    <row r="29" spans="1:7" s="214" customFormat="1" ht="13.5" customHeight="1">
      <c r="A29" s="778"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67</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61</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127.35</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60" t="s">
        <v>1544</v>
      </c>
    </row>
    <row r="43" spans="1:7" ht="13.5" customHeight="1">
      <c r="A43" s="778" t="s">
        <v>347</v>
      </c>
      <c r="B43" s="215" t="s">
        <v>1545</v>
      </c>
      <c r="C43" s="238">
        <f ca="1">ROUND(IF('数据-取费表'!B22&lt;=1,C39*F22*'数据-取费表'!B21/2,C39*(POWER((1+F22),'数据-取费表'!B21/2)-1)),0)</f>
        <v>0</v>
      </c>
      <c r="D43" s="238"/>
      <c r="E43" s="238"/>
      <c r="F43" s="239"/>
      <c r="G43" s="3661"/>
    </row>
    <row r="44" spans="1:7" ht="13.5" customHeight="1">
      <c r="A44" s="778" t="s">
        <v>348</v>
      </c>
      <c r="B44" s="215" t="s">
        <v>1546</v>
      </c>
      <c r="C44" s="238">
        <f ca="1">ROUND(IF('数据-取费表'!B22&lt;=1,C40*F22*'数据-取费表'!B21/2,C40*(POWER((1+F22),'数据-取费表'!B21/2)-1)),4)</f>
        <v>1E-3</v>
      </c>
      <c r="D44" s="238"/>
      <c r="E44" s="238"/>
      <c r="F44" s="239"/>
      <c r="G44" s="3662"/>
    </row>
    <row r="45" spans="1:7" s="214" customFormat="1" ht="13.5" customHeight="1">
      <c r="A45" s="255" t="s">
        <v>1547</v>
      </c>
      <c r="B45" s="244" t="s">
        <v>1513</v>
      </c>
      <c r="C45" s="245">
        <f ca="1">C46</f>
        <v>17</v>
      </c>
      <c r="D45" s="235">
        <f ca="1">C47</f>
        <v>5.0000000000000001E-3</v>
      </c>
      <c r="E45" s="236" t="s">
        <v>1539</v>
      </c>
      <c r="F45" s="246">
        <f ca="1">F27</f>
        <v>0.25</v>
      </c>
      <c r="G45" s="247" t="s">
        <v>1548</v>
      </c>
    </row>
    <row r="46" spans="1:7" s="214" customFormat="1" ht="13.5" customHeight="1">
      <c r="A46" s="778" t="s">
        <v>346</v>
      </c>
      <c r="B46" s="248" t="s">
        <v>1549</v>
      </c>
      <c r="C46" s="249">
        <f ca="1">ROUND((C33+C39)*F27,0)</f>
        <v>17</v>
      </c>
      <c r="D46" s="263"/>
      <c r="E46" s="236"/>
      <c r="F46" s="246"/>
      <c r="G46" s="247"/>
    </row>
    <row r="47" spans="1:7" s="214" customFormat="1" ht="13.5" customHeight="1">
      <c r="A47" s="778" t="s">
        <v>347</v>
      </c>
      <c r="B47" s="248" t="s">
        <v>1550</v>
      </c>
      <c r="C47" s="238">
        <f ca="1">ROUND(C40*F27,4)</f>
        <v>5.0000000000000001E-3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96</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74</v>
      </c>
      <c r="D51" s="232"/>
      <c r="E51" s="232"/>
      <c r="F51" s="264"/>
      <c r="G51" s="234" t="s">
        <v>1560</v>
      </c>
    </row>
    <row r="52" spans="1:7" s="208" customFormat="1" ht="16.8" thickBot="1">
      <c r="A52" s="265" t="s">
        <v>1561</v>
      </c>
      <c r="B52" s="266"/>
      <c r="C52" s="267">
        <f ca="1">C31+C51</f>
        <v>303</v>
      </c>
      <c r="D52" s="266"/>
      <c r="E52" s="266"/>
      <c r="F52" s="266"/>
      <c r="G52" s="268"/>
    </row>
    <row r="55" spans="1:7" ht="15">
      <c r="B55" s="270" t="s">
        <v>1562</v>
      </c>
      <c r="C55" s="271"/>
    </row>
    <row r="56" spans="1:7">
      <c r="B56" s="273" t="s">
        <v>802</v>
      </c>
      <c r="C56" s="275">
        <f ca="1">1-C57</f>
        <v>0.75600000000000001</v>
      </c>
    </row>
    <row r="57" spans="1:7">
      <c r="B57" s="273" t="s">
        <v>803</v>
      </c>
      <c r="C57" s="274">
        <f ca="1">ROUND(C51/C52,3)</f>
        <v>0.24399999999999999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2:O57"/>
  <sheetViews>
    <sheetView topLeftCell="A10" workbookViewId="0">
      <selection activeCell="O24" sqref="O24"/>
    </sheetView>
  </sheetViews>
  <sheetFormatPr defaultRowHeight="14.4"/>
  <sheetData>
    <row r="12" spans="15:15">
      <c r="O12" s="3450"/>
    </row>
    <row r="35" spans="15:15">
      <c r="O35" s="3459"/>
    </row>
    <row r="41" spans="15:15">
      <c r="O41" s="3450"/>
    </row>
    <row r="57" spans="15:15">
      <c r="O57" s="3450"/>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U82" sqref="U82"/>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303"/>
  <sheetViews>
    <sheetView workbookViewId="0">
      <selection activeCell="Q29" sqref="Q29"/>
    </sheetView>
  </sheetViews>
  <sheetFormatPr defaultRowHeight="14.4"/>
  <cols>
    <col min="6" max="6" width="10.44140625" bestFit="1" customWidth="1"/>
    <col min="15" max="15" width="9.44140625" bestFit="1" customWidth="1"/>
    <col min="16" max="16" width="12.44140625" customWidth="1"/>
    <col min="17" max="17" width="13" customWidth="1"/>
  </cols>
  <sheetData>
    <row r="3" spans="15:18">
      <c r="O3" s="3446" t="s">
        <v>3406</v>
      </c>
      <c r="P3" s="3446"/>
      <c r="Q3" s="3446"/>
    </row>
    <row r="4" spans="15:18">
      <c r="O4" s="3446" t="s">
        <v>3407</v>
      </c>
      <c r="P4">
        <v>127.35</v>
      </c>
    </row>
    <row r="6" spans="15:18">
      <c r="O6" s="3447" t="s">
        <v>3408</v>
      </c>
      <c r="P6" s="3446" t="s">
        <v>3409</v>
      </c>
      <c r="Q6" s="3446" t="s">
        <v>3410</v>
      </c>
    </row>
    <row r="7" spans="15:18">
      <c r="O7" s="3446" t="s">
        <v>3411</v>
      </c>
      <c r="P7">
        <v>7350666</v>
      </c>
      <c r="Q7">
        <f>P7/$P$4</f>
        <v>57720.188457008247</v>
      </c>
    </row>
    <row r="8" spans="15:18">
      <c r="O8" s="3446" t="s">
        <v>3412</v>
      </c>
      <c r="P8">
        <v>7350666</v>
      </c>
      <c r="Q8">
        <f>P8/$P$4</f>
        <v>57720.188457008247</v>
      </c>
    </row>
    <row r="9" spans="15:18">
      <c r="O9" s="3446" t="s">
        <v>3413</v>
      </c>
      <c r="P9" s="3448">
        <v>44865</v>
      </c>
    </row>
    <row r="10" spans="15:18">
      <c r="O10" s="3447" t="s">
        <v>3414</v>
      </c>
      <c r="P10" s="3446" t="s">
        <v>3409</v>
      </c>
      <c r="Q10" s="3446" t="s">
        <v>3410</v>
      </c>
    </row>
    <row r="11" spans="15:18">
      <c r="O11" s="3446" t="s">
        <v>3411</v>
      </c>
      <c r="P11">
        <v>5880532.7999999998</v>
      </c>
      <c r="Q11">
        <f>P11/$P$4</f>
        <v>46176.150765606595</v>
      </c>
      <c r="R11">
        <f>Q11/Q7</f>
        <v>0.79999999999999993</v>
      </c>
    </row>
    <row r="12" spans="15:18">
      <c r="O12" s="3446" t="s">
        <v>3412</v>
      </c>
      <c r="P12">
        <v>7350666</v>
      </c>
      <c r="Q12">
        <f>P12/$P$4</f>
        <v>57720.188457008247</v>
      </c>
    </row>
    <row r="13" spans="15:18">
      <c r="O13" s="3446" t="s">
        <v>3413</v>
      </c>
      <c r="P13" s="3448">
        <v>44964</v>
      </c>
    </row>
    <row r="14" spans="15:18">
      <c r="O14" s="3447" t="s">
        <v>3415</v>
      </c>
      <c r="P14" s="3446" t="s">
        <v>3409</v>
      </c>
      <c r="Q14" s="3446" t="s">
        <v>3410</v>
      </c>
    </row>
    <row r="15" spans="15:18">
      <c r="O15" s="3446" t="s">
        <v>3416</v>
      </c>
      <c r="P15">
        <v>5880532.7999999998</v>
      </c>
      <c r="Q15">
        <f>P15/$P$4</f>
        <v>46176.150765606595</v>
      </c>
    </row>
    <row r="16" spans="15:18">
      <c r="O16" s="3446" t="s">
        <v>3412</v>
      </c>
      <c r="P16">
        <v>7350666</v>
      </c>
      <c r="Q16">
        <f>P16/$P$4</f>
        <v>57720.188457008247</v>
      </c>
    </row>
    <row r="17" spans="15:16">
      <c r="O17" s="3446" t="s">
        <v>3413</v>
      </c>
      <c r="P17" s="3448">
        <v>44964</v>
      </c>
    </row>
    <row r="70" spans="4:5">
      <c r="D70" s="3446" t="s">
        <v>3417</v>
      </c>
      <c r="E70">
        <v>100</v>
      </c>
    </row>
    <row r="71" spans="4:5">
      <c r="D71" s="3446" t="s">
        <v>3418</v>
      </c>
      <c r="E71">
        <v>70</v>
      </c>
    </row>
    <row r="72" spans="4:5">
      <c r="D72" s="3446" t="s">
        <v>3419</v>
      </c>
      <c r="E72">
        <v>60</v>
      </c>
    </row>
    <row r="81" spans="2:17">
      <c r="B81" s="3449" t="s">
        <v>3420</v>
      </c>
    </row>
    <row r="84" spans="2:17">
      <c r="O84" s="3446" t="s">
        <v>3421</v>
      </c>
    </row>
    <row r="85" spans="2:17">
      <c r="O85" s="3446" t="s">
        <v>3407</v>
      </c>
      <c r="P85">
        <v>692</v>
      </c>
    </row>
    <row r="86" spans="2:17">
      <c r="O86" s="3447" t="s">
        <v>3414</v>
      </c>
      <c r="P86" s="3446" t="s">
        <v>3409</v>
      </c>
      <c r="Q86" s="3446" t="s">
        <v>3410</v>
      </c>
    </row>
    <row r="87" spans="2:17">
      <c r="O87" s="3446" t="s">
        <v>3411</v>
      </c>
      <c r="P87">
        <v>10818526</v>
      </c>
      <c r="Q87">
        <f>P87/$P$85</f>
        <v>15633.708092485549</v>
      </c>
    </row>
    <row r="88" spans="2:17">
      <c r="O88" s="3446" t="s">
        <v>3422</v>
      </c>
      <c r="P88">
        <v>19318765</v>
      </c>
      <c r="Q88">
        <f t="shared" ref="Q88:Q89" si="0">P88/$P$85</f>
        <v>27917.290462427747</v>
      </c>
    </row>
    <row r="89" spans="2:17">
      <c r="O89" s="3446" t="s">
        <v>3423</v>
      </c>
      <c r="P89">
        <v>14608526</v>
      </c>
      <c r="Q89">
        <f t="shared" si="0"/>
        <v>21110.586705202313</v>
      </c>
    </row>
    <row r="90" spans="2:17">
      <c r="O90" s="3446" t="s">
        <v>3424</v>
      </c>
      <c r="P90" s="3448">
        <v>45230</v>
      </c>
    </row>
    <row r="111" spans="2:2">
      <c r="B111" s="3449"/>
    </row>
    <row r="113" spans="2:11">
      <c r="E113">
        <v>3126210</v>
      </c>
      <c r="F113">
        <v>122.75</v>
      </c>
      <c r="G113" s="3450">
        <f>E113/F113</f>
        <v>25468.105906313645</v>
      </c>
      <c r="H113" s="3446" t="s">
        <v>3431</v>
      </c>
      <c r="I113">
        <f>4597367/F113</f>
        <v>37453.091649694499</v>
      </c>
      <c r="K113">
        <f>G113/I113</f>
        <v>0.68000009570695574</v>
      </c>
    </row>
    <row r="115" spans="2:11">
      <c r="B115" s="3449" t="s">
        <v>3429</v>
      </c>
    </row>
    <row r="152" spans="2:13">
      <c r="F152">
        <v>116125000</v>
      </c>
      <c r="G152">
        <v>3846.73</v>
      </c>
      <c r="H152" s="3450">
        <f>F152/G152</f>
        <v>30187.97784091943</v>
      </c>
      <c r="I152" s="3446" t="s">
        <v>3430</v>
      </c>
      <c r="J152" s="3446" t="s">
        <v>3412</v>
      </c>
      <c r="K152" s="3446">
        <f>145155533/G152</f>
        <v>37734.785909070823</v>
      </c>
      <c r="M152">
        <f>H152/K152</f>
        <v>0.80000395162339411</v>
      </c>
    </row>
    <row r="153" spans="2:13">
      <c r="B153" s="3449" t="s">
        <v>3428</v>
      </c>
    </row>
    <row r="203" spans="2:11">
      <c r="B203" s="3449" t="s">
        <v>3433</v>
      </c>
    </row>
    <row r="204" spans="2:11">
      <c r="H204" s="3446" t="s">
        <v>3436</v>
      </c>
      <c r="J204" s="3446" t="s">
        <v>3412</v>
      </c>
    </row>
    <row r="205" spans="2:11">
      <c r="F205">
        <v>1805000</v>
      </c>
      <c r="G205">
        <v>112.87</v>
      </c>
      <c r="H205" s="3450">
        <f>F205/G205</f>
        <v>15991.849029857358</v>
      </c>
      <c r="I205" s="3446" t="s">
        <v>3434</v>
      </c>
      <c r="J205">
        <f>5030900/112.87</f>
        <v>44572.517055019045</v>
      </c>
      <c r="K205">
        <f>H205/J205</f>
        <v>0.35878272277326129</v>
      </c>
    </row>
    <row r="260" spans="2:11">
      <c r="B260" s="3449" t="s">
        <v>3435</v>
      </c>
    </row>
    <row r="262" spans="2:11">
      <c r="H262" s="3446" t="s">
        <v>3436</v>
      </c>
      <c r="J262" s="3446" t="s">
        <v>3412</v>
      </c>
    </row>
    <row r="263" spans="2:11">
      <c r="F263">
        <v>5850000</v>
      </c>
      <c r="G263">
        <v>279.54000000000002</v>
      </c>
      <c r="H263" s="3450">
        <f>F263/G263</f>
        <v>20927.237604636186</v>
      </c>
      <c r="I263" s="3446" t="s">
        <v>3434</v>
      </c>
      <c r="J263">
        <f>8347448.66/G263</f>
        <v>29861.37461543965</v>
      </c>
      <c r="K263">
        <f>H263/J263</f>
        <v>0.70081293557785107</v>
      </c>
    </row>
    <row r="301" spans="1:11">
      <c r="A301" s="3449" t="s">
        <v>3437</v>
      </c>
    </row>
    <row r="302" spans="1:11">
      <c r="H302" s="3446" t="s">
        <v>3436</v>
      </c>
      <c r="J302" s="3446" t="s">
        <v>3412</v>
      </c>
    </row>
    <row r="303" spans="1:11">
      <c r="F303">
        <v>7886000</v>
      </c>
      <c r="G303">
        <v>457.16</v>
      </c>
      <c r="H303" s="3450">
        <f>F303/G303</f>
        <v>17249.978125820282</v>
      </c>
      <c r="I303" s="3446" t="s">
        <v>3438</v>
      </c>
      <c r="J303">
        <f>13594400/G303</f>
        <v>29736.63487619214</v>
      </c>
      <c r="K303">
        <f>H303/J303</f>
        <v>0.58009180250691472</v>
      </c>
    </row>
  </sheetData>
  <phoneticPr fontId="134" type="noConversion"/>
  <hyperlinks>
    <hyperlink ref="B81" r:id="rId1"/>
    <hyperlink ref="B153" r:id="rId2"/>
    <hyperlink ref="B115" r:id="rId3"/>
    <hyperlink ref="B203" r:id="rId4"/>
    <hyperlink ref="B260" r:id="rId5"/>
    <hyperlink ref="A301" r:id="rId6"/>
  </hyperlinks>
  <pageMargins left="0.7" right="0.7" top="0.75" bottom="0.75" header="0.3" footer="0.3"/>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L30" sqref="L30"/>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8" t="s">
        <v>673</v>
      </c>
      <c r="C1" s="1857" t="s">
        <v>1563</v>
      </c>
      <c r="D1" s="198"/>
      <c r="E1" s="198"/>
      <c r="F1" s="198"/>
      <c r="G1" s="1124">
        <f>MATCH(B1,'数据-取费表'!A6:A16,0)+5</f>
        <v>6</v>
      </c>
      <c r="H1" s="1059" t="str">
        <f>IF(ISERROR(FIND("住宅",B1)),"非住宅","住宅")</f>
        <v>非住宅</v>
      </c>
    </row>
    <row r="2" spans="1:8" s="200" customFormat="1" ht="18" customHeight="1">
      <c r="A2" s="201" t="s">
        <v>1462</v>
      </c>
      <c r="B2" s="3421">
        <f ca="1">ROUND(IF(D2="——",C52/10000,C52/10000-E2),4)</f>
        <v>302.76620000000003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23774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1537025</v>
      </c>
      <c r="D5" s="211" t="s">
        <v>1469</v>
      </c>
      <c r="E5" s="212" t="s">
        <v>1470</v>
      </c>
      <c r="F5" s="212" t="s">
        <v>1471</v>
      </c>
      <c r="G5" s="213"/>
    </row>
    <row r="6" spans="1:8" s="214" customFormat="1" ht="13.5" customHeight="1">
      <c r="A6" s="776" t="s">
        <v>1472</v>
      </c>
      <c r="B6" s="215" t="s">
        <v>1473</v>
      </c>
      <c r="C6" s="216">
        <f>ROUND(基准地价修正!C33*基准地价修正!D33,0)</f>
        <v>1466817</v>
      </c>
      <c r="D6" s="217"/>
      <c r="E6" s="218"/>
      <c r="F6" s="218"/>
      <c r="G6" s="219"/>
    </row>
    <row r="7" spans="1:8" s="214" customFormat="1" ht="13.5" customHeight="1">
      <c r="A7" s="776" t="s">
        <v>1474</v>
      </c>
      <c r="B7" s="215" t="s">
        <v>1475</v>
      </c>
      <c r="C7" s="220">
        <f>ROUND(C6*F7,0)</f>
        <v>44738</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25470</v>
      </c>
      <c r="D8" s="222"/>
      <c r="E8" s="220"/>
      <c r="F8" s="221"/>
      <c r="G8" s="1854" t="s">
        <v>3403</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25470</v>
      </c>
      <c r="D10" s="843">
        <f ca="1">IF(B1="",'数据-汇总表'!E6,IF(INDIRECT("'数据-取费表'!c"&amp;$G$1)="住宅",INDIRECT("'数据-取费表'!s"&amp;$G$1),INDIRECT("'数据-取费表'!k"&amp;$G$1)+INDIRECT("'数据-取费表'!s"&amp;$G$1)))</f>
        <v>127.35</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127.35</v>
      </c>
      <c r="E19" s="211">
        <f>'数据-取费表'!B31</f>
        <v>200</v>
      </c>
      <c r="F19" s="231"/>
      <c r="G19" s="1854" t="s">
        <v>3404</v>
      </c>
    </row>
    <row r="20" spans="1:7" s="214" customFormat="1" ht="13.5" customHeight="1">
      <c r="A20" s="255" t="s">
        <v>1574</v>
      </c>
      <c r="B20" s="210" t="s">
        <v>1575</v>
      </c>
      <c r="C20" s="232">
        <f ca="1">ROUND((C5+C19)*F20,0)</f>
        <v>30741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150945</v>
      </c>
      <c r="D22" s="235">
        <f ca="1">C26</f>
        <v>1E-3</v>
      </c>
      <c r="E22" s="236" t="s">
        <v>1579</v>
      </c>
      <c r="F22" s="3462">
        <f ca="1">'数据-取费表'!B40</f>
        <v>4.7500000000000001E-2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149485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1460</v>
      </c>
      <c r="D25" s="238"/>
      <c r="E25" s="241"/>
      <c r="F25" s="239"/>
      <c r="G25" s="242" t="s">
        <v>1588</v>
      </c>
    </row>
    <row r="26" spans="1:7" s="214" customFormat="1">
      <c r="A26" s="778"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391942</v>
      </c>
      <c r="D27" s="235">
        <f ca="1">C29</f>
        <v>5.0000000000000001E-3</v>
      </c>
      <c r="E27" s="236" t="s">
        <v>1514</v>
      </c>
      <c r="F27" s="3463">
        <f ca="1">IF(B1="",'数据-取费表'!Q16,INDIRECT("'数据-取费表'!q"&amp;$G$1))</f>
        <v>0.25</v>
      </c>
      <c r="G27" s="247" t="s">
        <v>1515</v>
      </c>
    </row>
    <row r="28" spans="1:7" s="214" customFormat="1" ht="13.5" customHeight="1">
      <c r="A28" s="778" t="s">
        <v>346</v>
      </c>
      <c r="B28" s="248" t="s">
        <v>1516</v>
      </c>
      <c r="C28" s="249">
        <f ca="1">ROUND((C5+C19+C20)*F27,0)</f>
        <v>391942</v>
      </c>
      <c r="D28" s="235"/>
      <c r="E28" s="236"/>
      <c r="F28" s="246"/>
      <c r="G28" s="247"/>
    </row>
    <row r="29" spans="1:7" s="214" customFormat="1" ht="13.5" customHeight="1">
      <c r="A29" s="778"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2292444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664257</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611280</v>
      </c>
      <c r="D34" s="217"/>
      <c r="E34" s="220"/>
      <c r="F34" s="257"/>
      <c r="G34" s="219"/>
    </row>
    <row r="35" spans="1:7" ht="13.5" customHeight="1">
      <c r="A35" s="778" t="s">
        <v>351</v>
      </c>
      <c r="B35" s="215" t="s">
        <v>1527</v>
      </c>
      <c r="C35" s="220">
        <f ca="1">ROUND(C34*F35,0)</f>
        <v>18338</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25470</v>
      </c>
      <c r="D37" s="217">
        <f ca="1">D19</f>
        <v>127.35</v>
      </c>
      <c r="E37" s="249">
        <f>'数据-取费表'!B35</f>
        <v>200</v>
      </c>
      <c r="F37" s="259"/>
      <c r="G37" s="261"/>
    </row>
    <row r="38" spans="1:7" ht="13.5" customHeight="1">
      <c r="A38" s="778" t="s">
        <v>354</v>
      </c>
      <c r="B38" s="215" t="s">
        <v>1533</v>
      </c>
      <c r="C38" s="220">
        <f ca="1">ROUND(C34*F38,0)</f>
        <v>9169</v>
      </c>
      <c r="D38" s="220"/>
      <c r="E38" s="220"/>
      <c r="F38" s="259">
        <f>'数据-取费表'!B36</f>
        <v>1.4999999999999999E-2</v>
      </c>
      <c r="G38" s="219" t="s">
        <v>1528</v>
      </c>
    </row>
    <row r="39" spans="1:7" s="214" customFormat="1" ht="13.5" customHeight="1">
      <c r="A39" s="255" t="s">
        <v>1534</v>
      </c>
      <c r="B39" s="210" t="s">
        <v>1535</v>
      </c>
      <c r="C39" s="232">
        <f ca="1">ROUND(C33*F20,0)</f>
        <v>13285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32183</v>
      </c>
      <c r="D41" s="235">
        <f ca="1">C44</f>
        <v>1E-3</v>
      </c>
      <c r="E41" s="236" t="s">
        <v>1539</v>
      </c>
      <c r="F41" s="237">
        <f ca="1">F22</f>
        <v>4.7500000000000001E-2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31552</v>
      </c>
      <c r="D42" s="238"/>
      <c r="E42" s="238"/>
      <c r="F42" s="239"/>
      <c r="G42" s="3660" t="s">
        <v>1591</v>
      </c>
    </row>
    <row r="43" spans="1:7" ht="13.5" customHeight="1">
      <c r="A43" s="778" t="s">
        <v>347</v>
      </c>
      <c r="B43" s="215" t="s">
        <v>1545</v>
      </c>
      <c r="C43" s="238">
        <f ca="1">ROUND(IF('数据-取费表'!B22&lt;=1,C39*F22*'数据-取费表'!B20/2,C39*(POWER((1+F22),'数据-取费表'!B20/2)-1)),0)</f>
        <v>631</v>
      </c>
      <c r="D43" s="238"/>
      <c r="E43" s="238"/>
      <c r="F43" s="239"/>
      <c r="G43" s="3661"/>
    </row>
    <row r="44" spans="1:7" ht="13.5" customHeight="1">
      <c r="A44" s="778" t="s">
        <v>348</v>
      </c>
      <c r="B44" s="215" t="s">
        <v>1546</v>
      </c>
      <c r="C44" s="238">
        <f ca="1">ROUND(IF('数据-取费表'!B22&lt;=1,C40*F22*'数据-取费表'!B20/2,C40*(POWER((1+F22),'数据-取费表'!B20/2)-1)),4)</f>
        <v>1E-3</v>
      </c>
      <c r="D44" s="238"/>
      <c r="E44" s="238"/>
      <c r="F44" s="239"/>
      <c r="G44" s="3662"/>
    </row>
    <row r="45" spans="1:7" s="214" customFormat="1" ht="13.5" customHeight="1">
      <c r="A45" s="255" t="s">
        <v>1547</v>
      </c>
      <c r="B45" s="244" t="s">
        <v>1513</v>
      </c>
      <c r="C45" s="245">
        <f ca="1">C46</f>
        <v>169386</v>
      </c>
      <c r="D45" s="235">
        <f ca="1">C47</f>
        <v>5.0000000000000001E-3</v>
      </c>
      <c r="E45" s="236" t="s">
        <v>1539</v>
      </c>
      <c r="F45" s="246">
        <f ca="1">F27</f>
        <v>0.25</v>
      </c>
      <c r="G45" s="247" t="s">
        <v>1548</v>
      </c>
    </row>
    <row r="46" spans="1:7" s="214" customFormat="1" ht="13.5" customHeight="1">
      <c r="A46" s="778" t="s">
        <v>346</v>
      </c>
      <c r="B46" s="248" t="s">
        <v>1549</v>
      </c>
      <c r="C46" s="249">
        <f ca="1">ROUND((C33+C39)*F27,0)</f>
        <v>169386</v>
      </c>
      <c r="D46" s="263"/>
      <c r="E46" s="236"/>
      <c r="F46" s="246"/>
      <c r="G46" s="247"/>
    </row>
    <row r="47" spans="1:7" s="214" customFormat="1" ht="13.5" customHeight="1">
      <c r="A47" s="778"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954829</v>
      </c>
      <c r="D49" s="232"/>
      <c r="E49" s="232"/>
      <c r="F49" s="264"/>
      <c r="G49" s="234" t="s">
        <v>1554</v>
      </c>
    </row>
    <row r="50" spans="1:7" s="258" customFormat="1">
      <c r="A50" s="255" t="s">
        <v>1555</v>
      </c>
      <c r="B50" s="210" t="s">
        <v>1556</v>
      </c>
      <c r="C50" s="232"/>
      <c r="D50" s="232"/>
      <c r="E50" s="232"/>
      <c r="F50" s="3464">
        <f>IF('数据-取费表'!B24=0,'数据-取费表'!N16,1)</f>
        <v>0.77</v>
      </c>
      <c r="G50" s="247"/>
    </row>
    <row r="51" spans="1:7" ht="16.5" customHeight="1">
      <c r="A51" s="255" t="s">
        <v>1558</v>
      </c>
      <c r="B51" s="210" t="s">
        <v>1593</v>
      </c>
      <c r="C51" s="232">
        <f ca="1">ROUND(C49*F50,0)</f>
        <v>735218</v>
      </c>
      <c r="D51" s="232"/>
      <c r="E51" s="232"/>
      <c r="F51" s="264"/>
      <c r="G51" s="234" t="s">
        <v>1560</v>
      </c>
    </row>
    <row r="52" spans="1:7" s="208" customFormat="1" ht="16.8" thickBot="1">
      <c r="A52" s="265" t="s">
        <v>1561</v>
      </c>
      <c r="B52" s="266"/>
      <c r="C52" s="267">
        <f ca="1">C31+C51</f>
        <v>3027662</v>
      </c>
      <c r="D52" s="266"/>
      <c r="E52" s="266"/>
      <c r="F52" s="266"/>
      <c r="G52" s="268"/>
    </row>
    <row r="55" spans="1:7" ht="15">
      <c r="B55" s="270" t="s">
        <v>1562</v>
      </c>
      <c r="C55" s="271"/>
    </row>
    <row r="56" spans="1:7">
      <c r="B56" s="273" t="s">
        <v>802</v>
      </c>
      <c r="C56" s="275">
        <f ca="1">1-C57</f>
        <v>0.75700000000000001</v>
      </c>
    </row>
    <row r="57" spans="1:7">
      <c r="B57" s="273" t="s">
        <v>803</v>
      </c>
      <c r="C57" s="274">
        <f ca="1">ROUND(C51/C52,3)</f>
        <v>0.24299999999999999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9"/>
      <c r="C1" s="1190"/>
      <c r="D1" s="1188"/>
      <c r="E1" s="2803"/>
      <c r="F1" s="2803"/>
      <c r="G1" s="2668"/>
      <c r="H1" s="2803"/>
      <c r="I1" s="2803"/>
      <c r="J1" s="2803"/>
      <c r="K1" s="2804">
        <f>MATCH(C1,'数据-取费表'!A6:A16,0)+5</f>
        <v>7</v>
      </c>
    </row>
    <row r="2" spans="1:33" ht="18" customHeight="1">
      <c r="A2" s="201" t="s">
        <v>1462</v>
      </c>
      <c r="B2" s="204">
        <f ca="1">C32</f>
        <v>-4</v>
      </c>
      <c r="C2" s="276" t="s">
        <v>1595</v>
      </c>
      <c r="D2" s="276"/>
      <c r="E2" s="2803"/>
      <c r="F2" s="2803"/>
      <c r="G2" s="2803"/>
      <c r="H2" s="2803"/>
      <c r="I2" s="2803"/>
      <c r="J2" s="2803"/>
      <c r="K2" s="2803"/>
    </row>
    <row r="3" spans="1:33" ht="18" customHeight="1" thickBot="1">
      <c r="A3" s="203" t="s">
        <v>1464</v>
      </c>
      <c r="B3" s="204">
        <f ca="1">ROUND(B2*10000/IF(C1="",'数据-汇总表'!E3,INDIRECT("'数据-取费表'!K"&amp;$K$1)),0)</f>
        <v>-314</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127.35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127.35</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127.35</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v>
      </c>
      <c r="D28" s="280">
        <f ca="1">C29</f>
        <v>0</v>
      </c>
      <c r="E28" s="282" t="s">
        <v>12</v>
      </c>
      <c r="F28" s="288">
        <f ca="1">IF(C1="",'数据-取费表'!Q16,INDIRECT("'数据-取费表'!q"&amp;$K$1))</f>
        <v>0.25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C37" sqref="C37"/>
    </sheetView>
  </sheetViews>
  <sheetFormatPr defaultColWidth="9" defaultRowHeight="13.2"/>
  <cols>
    <col min="1" max="1" width="9" style="258" customWidth="1"/>
    <col min="2" max="2" width="20.6640625" style="653" customWidth="1"/>
    <col min="3" max="3" width="11.88671875" style="653"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65" t="s">
        <v>694</v>
      </c>
      <c r="C6" s="1072">
        <f ca="1">ROUND(F6*F8*F7*(1-F9)/10000,0)</f>
        <v>0</v>
      </c>
      <c r="D6" s="155" t="s">
        <v>2108</v>
      </c>
      <c r="E6" s="302" t="s">
        <v>696</v>
      </c>
      <c r="F6" s="303">
        <f ca="1">INDIRECT("'数据-取费表'!u"&amp;$G$1)</f>
        <v>0</v>
      </c>
      <c r="G6" s="1382"/>
      <c r="H6" s="1067" t="s">
        <v>398</v>
      </c>
      <c r="I6" s="3665" t="s">
        <v>694</v>
      </c>
      <c r="J6" s="301">
        <f ca="1">ROUND(M6*M8*M7*(1-M9)/10000,0)</f>
        <v>0</v>
      </c>
      <c r="K6" s="155" t="s">
        <v>2107</v>
      </c>
      <c r="L6" s="302" t="s">
        <v>696</v>
      </c>
      <c r="M6" s="303">
        <f ca="1">INDIRECT("'数据-取费表'!z"&amp;$G$1)</f>
        <v>0</v>
      </c>
    </row>
    <row r="7" spans="1:37" ht="18" customHeight="1">
      <c r="A7" s="1071"/>
      <c r="B7" s="3666"/>
      <c r="C7" s="1073"/>
      <c r="D7" s="307"/>
      <c r="E7" s="1074" t="s">
        <v>697</v>
      </c>
      <c r="F7" s="303">
        <f ca="1">IF(INDIRECT("'数据-取费表'!ah"&amp;$G$1)="",INDIRECT("'数据-取费表'!k"&amp;$G$1),INDIRECT("'数据-取费表'!ah"&amp;$G$1))</f>
        <v>0</v>
      </c>
      <c r="G7" s="1382"/>
      <c r="H7" s="304"/>
      <c r="I7" s="3666"/>
      <c r="J7" s="306"/>
      <c r="K7" s="307"/>
      <c r="L7" s="302" t="s">
        <v>697</v>
      </c>
      <c r="M7" s="303">
        <f ca="1">F7</f>
        <v>0</v>
      </c>
    </row>
    <row r="8" spans="1:37" ht="18" customHeight="1">
      <c r="A8" s="304"/>
      <c r="B8" s="3666"/>
      <c r="C8" s="306"/>
      <c r="D8" s="307"/>
      <c r="E8" s="302" t="s">
        <v>698</v>
      </c>
      <c r="F8" s="303">
        <f ca="1">INDIRECT("'数据-取费表'!ai"&amp;$G$1)</f>
        <v>0</v>
      </c>
      <c r="G8" s="1382"/>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2"/>
      <c r="H9" s="304"/>
      <c r="I9" s="3667"/>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3">
        <f ca="1">ROUND(IF(AND(项目基本情况!B11="自然人",项目基本情况!B10="北京市"),J6*M17/(1+'数据-取费表'!C42),J18+J19+J20),2)</f>
        <v>0</v>
      </c>
      <c r="K17" s="1343" t="s">
        <v>720</v>
      </c>
      <c r="L17" s="1342" t="s">
        <v>721</v>
      </c>
      <c r="M17" s="2312">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2"/>
      <c r="L30" s="2695"/>
      <c r="M30" s="2696"/>
    </row>
    <row r="31" spans="1:37" ht="18" customHeight="1">
      <c r="A31" s="980" t="s">
        <v>398</v>
      </c>
      <c r="B31" s="302" t="s">
        <v>719</v>
      </c>
      <c r="C31" s="2313">
        <f ca="1">ROUND(IF(AND(项目基本情况!B11="自然人",项目基本情况!B10="北京市"),C6*F31/(1+'数据-取费表'!C42),C32+C33+C34),2)</f>
        <v>0</v>
      </c>
      <c r="D31" s="1343" t="s">
        <v>720</v>
      </c>
      <c r="E31" s="1342" t="s">
        <v>770</v>
      </c>
      <c r="F31" s="2312">
        <f ca="1">IF(项目基本情况!B11="企业","——",IF(M47="住宅",IF(F6*F7*F8/12/(1+'数据-取费表'!F30)&gt;100000,4%,2.5%),IF(F6*F7*F8/12/(1+'数据-取费表'!F30)&gt;100000,12%,7%)))</f>
        <v>7.0000000000000007E-2</v>
      </c>
      <c r="G31" s="1382"/>
      <c r="H31" s="2805" t="s">
        <v>2307</v>
      </c>
      <c r="I31" s="1396"/>
      <c r="J31" s="1397"/>
      <c r="K31" s="2472"/>
      <c r="L31" s="2695"/>
      <c r="M31" s="2696"/>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4"/>
      <c r="I32" s="1396"/>
      <c r="J32" s="1397"/>
      <c r="K32" s="2472"/>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3335</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IF(项目基本情况!B11="自然人","——",ROUND(F34*F35/10000,2))</f>
        <v>——</v>
      </c>
      <c r="D34" s="324" t="s">
        <v>731</v>
      </c>
      <c r="E34" s="302" t="s">
        <v>732</v>
      </c>
      <c r="F34" s="325">
        <f>'数据-取费表'!B52</f>
        <v>3</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1"/>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1"/>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8"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8"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6.6" thickBot="1">
      <c r="A53" s="1150" t="s">
        <v>440</v>
      </c>
      <c r="B53" s="1371" t="s">
        <v>700</v>
      </c>
      <c r="C53" s="316">
        <f ca="1">ROUND(IF(F53="押一",C49/12*F11,IF(F53="押二",C49/12*2*F11,IF(F53="押三",C49/12*3*F11,C54*F11))),0)</f>
        <v>0</v>
      </c>
      <c r="D53" s="1364" t="s">
        <v>2115</v>
      </c>
      <c r="E53" s="313" t="s">
        <v>701</v>
      </c>
      <c r="F53" s="1114"/>
      <c r="I53" s="1437" t="s">
        <v>836</v>
      </c>
      <c r="J53" s="2165">
        <f ca="1">IF(M47="住宅",IF(D1="——",MAX(J51,L48),MAX(J51,L48-'数据-取费表'!B24)),IF(D1="——",MIN(J51,L48),MIN(J51,L48-'数据-取费表'!B24)))</f>
        <v>0</v>
      </c>
      <c r="K53" s="3663" t="s">
        <v>837</v>
      </c>
      <c r="L53" s="3664"/>
      <c r="O53" s="1416" t="s">
        <v>409</v>
      </c>
      <c r="P53" s="1417" t="s">
        <v>838</v>
      </c>
      <c r="Q53" s="1418" t="e">
        <f ca="1">Q47+Q48</f>
        <v>#DIV/0!</v>
      </c>
      <c r="R53" s="1418" t="s">
        <v>410</v>
      </c>
    </row>
    <row r="54" spans="1:18" s="1382" customFormat="1" ht="24.6"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7.200000000000003"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6"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6"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t="str">
        <f ca="1">IF(项目基本情况!B11="自然人","——",IF(D61="按租金收入计税",ROUND(C49*F61/(1+'数据-取费表'!C42),2),IF(D61="按房产原值计税",ROUND(C57*F61*0.7,2),INDIRECT("'数据-取费表'!Aj"&amp;$G$1))))</f>
        <v>——</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t="str">
        <f>IF(项目基本情况!B11="自然人","——",ROUND(F62*F63/10000,2))</f>
        <v>——</v>
      </c>
      <c r="D62" s="963" t="s">
        <v>786</v>
      </c>
      <c r="E62" s="948" t="s">
        <v>787</v>
      </c>
      <c r="F62" s="325">
        <f t="shared" si="0"/>
        <v>3</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24.6"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8" thickBot="1">
      <c r="A69" s="949"/>
      <c r="B69" s="950"/>
      <c r="C69" s="306"/>
      <c r="D69" s="968" t="s">
        <v>762</v>
      </c>
      <c r="E69" s="948" t="s">
        <v>763</v>
      </c>
      <c r="F69" s="333">
        <f ca="1">F41</f>
        <v>0</v>
      </c>
      <c r="O69" s="1426" t="s">
        <v>411</v>
      </c>
      <c r="P69" s="1465" t="s">
        <v>872</v>
      </c>
      <c r="Q69" s="1418">
        <f ca="1">C39</f>
        <v>0</v>
      </c>
      <c r="R69" s="1418" t="s">
        <v>818</v>
      </c>
    </row>
    <row r="70" spans="1:18" s="1382" customFormat="1" ht="13.8" thickBot="1">
      <c r="A70" s="952"/>
      <c r="B70" s="953"/>
      <c r="C70" s="310"/>
      <c r="D70" s="964"/>
      <c r="E70" s="948" t="s">
        <v>766</v>
      </c>
      <c r="F70" s="1052"/>
      <c r="O70" s="1426" t="s">
        <v>412</v>
      </c>
      <c r="P70" s="1465" t="s">
        <v>873</v>
      </c>
      <c r="Q70" s="1418">
        <f ca="1">C13</f>
        <v>0</v>
      </c>
      <c r="R70" s="1418" t="s">
        <v>818</v>
      </c>
    </row>
    <row r="71" spans="1:18" s="1382" customFormat="1" ht="13.8"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8" thickBot="1">
      <c r="B72" s="724"/>
      <c r="C72" s="724"/>
      <c r="O72" s="1426" t="s">
        <v>407</v>
      </c>
      <c r="P72" s="1417" t="s">
        <v>852</v>
      </c>
      <c r="Q72" s="1429">
        <f>L52</f>
        <v>0</v>
      </c>
      <c r="R72" s="1418"/>
    </row>
    <row r="73" spans="1:18" ht="16.2" thickBot="1">
      <c r="A73" s="1382"/>
      <c r="B73" s="724"/>
      <c r="C73" s="724"/>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80" zoomScaleNormal="80" zoomScaleSheetLayoutView="80" workbookViewId="0">
      <selection activeCell="L44" sqref="L44"/>
    </sheetView>
  </sheetViews>
  <sheetFormatPr defaultColWidth="12" defaultRowHeight="13.2"/>
  <cols>
    <col min="1" max="1" width="9.77734375" style="2051" customWidth="1"/>
    <col min="2" max="2" width="22.44140625" style="2141"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127.35</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6">
      <c r="A2" s="201" t="s">
        <v>1934</v>
      </c>
      <c r="B2" s="204">
        <f>C30</f>
        <v>0</v>
      </c>
      <c r="C2" s="1997" t="s">
        <v>1935</v>
      </c>
      <c r="D2" s="1998" t="s">
        <v>1936</v>
      </c>
      <c r="E2" s="3419" t="s">
        <v>673</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Ⅴ-18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1.5019</v>
      </c>
      <c r="T2" s="3358">
        <f t="shared" ref="T2:T16" si="0">ROUND($C$5*$C$22*$C$23*$C$24*S2*$C$28,0)</f>
        <v>17290</v>
      </c>
      <c r="U2" s="1211"/>
      <c r="V2" s="3358">
        <f>ROUND(T2*U2/10000,0)</f>
        <v>0</v>
      </c>
      <c r="W2" s="1214"/>
      <c r="X2" s="1214"/>
      <c r="Y2" s="1214"/>
      <c r="Z2" s="1214"/>
      <c r="AA2" s="1214"/>
      <c r="AB2" s="1214"/>
      <c r="AC2" s="1215"/>
      <c r="AD2" s="1216"/>
      <c r="AE2" s="1216"/>
      <c r="AF2" s="1216"/>
      <c r="AG2" s="1216"/>
      <c r="AH2" s="1216"/>
      <c r="AI2" s="1216"/>
      <c r="AJ2" s="1217"/>
    </row>
    <row r="3" spans="1:36" ht="15.6">
      <c r="A3" s="203" t="s">
        <v>1940</v>
      </c>
      <c r="B3" s="204">
        <f>ROUND(B2*10000/D1,0)</f>
        <v>0</v>
      </c>
      <c r="C3" s="1997" t="s">
        <v>1941</v>
      </c>
      <c r="D3" s="1998" t="s">
        <v>1942</v>
      </c>
      <c r="E3" s="3417" t="s">
        <v>2439</v>
      </c>
      <c r="F3" s="2002" t="s">
        <v>3389</v>
      </c>
      <c r="G3" s="750">
        <f>IF(F3="宗地容积率",'数据-汇总表'!I4,IF(F3="估价对象容积率",'数据-汇总表'!I6,'数据-汇总表'!I7))</f>
        <v>1.1000000000000001</v>
      </c>
      <c r="H3" s="170"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1.1838</v>
      </c>
      <c r="T3" s="3358">
        <f t="shared" si="0"/>
        <v>13628</v>
      </c>
      <c r="U3" s="1211"/>
      <c r="V3" s="3358">
        <f t="shared" ref="V3:V16" si="1">ROUND(T3*U3/10000,0)</f>
        <v>0</v>
      </c>
      <c r="W3" s="1214"/>
      <c r="X3" s="1214"/>
      <c r="Y3" s="1214"/>
      <c r="Z3" s="1214"/>
      <c r="AA3" s="1214"/>
      <c r="AB3" s="1214"/>
      <c r="AC3" s="1215"/>
      <c r="AD3" s="1216"/>
      <c r="AE3" s="1216"/>
      <c r="AF3" s="1216"/>
      <c r="AG3" s="1216"/>
      <c r="AH3" s="1216"/>
      <c r="AI3" s="1216"/>
      <c r="AJ3" s="1217"/>
    </row>
    <row r="4" spans="1:36" ht="15.6">
      <c r="A4" s="3675"/>
      <c r="B4" s="3676"/>
      <c r="C4" s="3676"/>
      <c r="D4" s="3677"/>
      <c r="E4" s="3677"/>
      <c r="F4" s="3677"/>
      <c r="G4" s="3677"/>
      <c r="H4" s="3677"/>
      <c r="I4" s="3677"/>
      <c r="J4" s="367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1.0004999999999999</v>
      </c>
      <c r="T4" s="3358">
        <f t="shared" si="0"/>
        <v>11518</v>
      </c>
      <c r="U4" s="1211"/>
      <c r="V4" s="3358">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1947</v>
      </c>
      <c r="C5" s="751">
        <f>ROUND(IF(E2="商业",C6*C7*C17+C20,(IF(E2="住宅",C6*C13*C17+C20,IF(E2="办公",C6*C12*C17+C20,C6+C20)))),0)</f>
        <v>13594</v>
      </c>
      <c r="D5" s="1337">
        <f>ROUND(C6*C17+C20,0)</f>
        <v>13594</v>
      </c>
      <c r="E5" s="1337"/>
      <c r="F5" s="2005"/>
      <c r="G5" s="2006"/>
      <c r="H5" s="2006"/>
      <c r="I5" s="2006"/>
      <c r="J5" s="2007"/>
      <c r="K5" s="2008"/>
      <c r="L5" s="2001" t="s">
        <v>1948</v>
      </c>
      <c r="M5" s="862">
        <f>SUMPRODUCT((区片价!B87:B126=I2)*(区片价!C3:G3=E2)*(区片价!C87:G126))</f>
        <v>13610</v>
      </c>
      <c r="N5" s="864">
        <f>SUMPRODUCT((因素修正幅度!B87:B126=I2)*(因素修正幅度!C3:G3=E2)*(因素修正幅度!C87:G126))</f>
        <v>0.1</v>
      </c>
      <c r="O5" s="1117"/>
      <c r="P5" s="1117"/>
      <c r="Q5" s="1117"/>
      <c r="R5" s="1210">
        <v>4</v>
      </c>
      <c r="S5" s="3358">
        <f>ROUND(SUMPRODUCT((B106:B110=R5)*(C105:N105=G2)*(C106:N110)),4)</f>
        <v>0.88239999999999996</v>
      </c>
      <c r="T5" s="3358">
        <f t="shared" si="0"/>
        <v>10158</v>
      </c>
      <c r="U5" s="1211"/>
      <c r="V5" s="3358">
        <f t="shared" si="1"/>
        <v>0</v>
      </c>
      <c r="W5" s="1214"/>
      <c r="X5" s="1214"/>
      <c r="Y5" s="1214"/>
      <c r="Z5" s="1214"/>
      <c r="AA5" s="1214"/>
      <c r="AB5" s="1214"/>
      <c r="AC5" s="2009"/>
      <c r="AD5" s="2010"/>
      <c r="AE5" s="2010"/>
      <c r="AF5" s="2010"/>
      <c r="AG5" s="2010"/>
      <c r="AH5" s="2010"/>
      <c r="AI5" s="2010"/>
      <c r="AJ5" s="2011"/>
    </row>
    <row r="6" spans="1:36" ht="15.6" thickBot="1">
      <c r="A6" s="2013" t="s">
        <v>1949</v>
      </c>
      <c r="B6" s="2014" t="s">
        <v>1950</v>
      </c>
      <c r="C6" s="752">
        <f>SUMIF(L1:L12,G2,M1:M12)</f>
        <v>13610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0.84799999999999998</v>
      </c>
      <c r="T6" s="3358">
        <f t="shared" si="0"/>
        <v>9762</v>
      </c>
      <c r="U6" s="1211"/>
      <c r="V6" s="3358">
        <f t="shared" si="1"/>
        <v>0</v>
      </c>
      <c r="W6" s="1214"/>
      <c r="X6" s="1214"/>
      <c r="Y6" s="1214"/>
      <c r="Z6" s="1214"/>
      <c r="AA6" s="1214"/>
      <c r="AB6" s="1214"/>
      <c r="AC6" s="2009"/>
      <c r="AD6" s="2010"/>
      <c r="AE6" s="2010"/>
      <c r="AF6" s="2010"/>
      <c r="AG6" s="2010"/>
      <c r="AH6" s="2010"/>
      <c r="AI6" s="2010"/>
      <c r="AJ6" s="2011"/>
    </row>
    <row r="7" spans="1:36" ht="24.6" thickBot="1">
      <c r="A7" s="3301" t="s">
        <v>3237</v>
      </c>
      <c r="B7" s="2019" t="s">
        <v>1952</v>
      </c>
      <c r="C7" s="753">
        <f>IF(C8="不临65条商业街",1,ROUND(1+(1.6*E8+1.2*E9+0.8*E10+0.4*E11)*C9,4))</f>
        <v>1</v>
      </c>
      <c r="D7" s="2020" t="s">
        <v>1953</v>
      </c>
      <c r="E7" s="774">
        <v>6</v>
      </c>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6"/>
      <c r="T7" s="3358">
        <f t="shared" si="0"/>
        <v>0</v>
      </c>
      <c r="U7" s="1211"/>
      <c r="V7" s="3358">
        <f t="shared" si="1"/>
        <v>0</v>
      </c>
      <c r="W7" s="1356" t="s">
        <v>1955</v>
      </c>
      <c r="X7" s="1212" t="str">
        <f>G2</f>
        <v>五级</v>
      </c>
      <c r="Y7" s="1212" t="s">
        <v>1956</v>
      </c>
      <c r="Z7" s="1213">
        <f>G3</f>
        <v>1.1000000000000001</v>
      </c>
      <c r="AA7" s="1214"/>
      <c r="AB7" s="1214"/>
      <c r="AC7" s="1215"/>
      <c r="AD7" s="1216"/>
      <c r="AE7" s="1216"/>
      <c r="AF7" s="1216"/>
      <c r="AG7" s="1216"/>
      <c r="AH7" s="1216"/>
      <c r="AI7" s="1216"/>
      <c r="AJ7" s="1217"/>
    </row>
    <row r="8" spans="1:36" ht="15">
      <c r="A8" s="3296"/>
      <c r="B8" s="170" t="s">
        <v>1957</v>
      </c>
      <c r="C8" s="2024"/>
      <c r="D8" s="754" t="s">
        <v>112</v>
      </c>
      <c r="E8" s="755">
        <f>ROUND(C11/E7,4)</f>
        <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672" t="s">
        <v>1960</v>
      </c>
      <c r="X8" s="367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6">
        <f>SUMIF(修正!C71:C138,C8,修正!E71:E138)</f>
        <v>0</v>
      </c>
      <c r="D9" s="171" t="s">
        <v>113</v>
      </c>
      <c r="E9" s="171">
        <f>ROUND(C11/E7,4)</f>
        <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674"/>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f>ROUND(C11/E7,4)</f>
        <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67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8" t="s">
        <v>1979</v>
      </c>
      <c r="C11" s="757">
        <f>C10/4</f>
        <v>0</v>
      </c>
      <c r="D11" s="757" t="s">
        <v>115</v>
      </c>
      <c r="E11" s="757">
        <f>ROUND(C11/E7,4)</f>
        <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8" thickBot="1">
      <c r="A12" s="3301" t="s">
        <v>3238</v>
      </c>
      <c r="B12" s="3302" t="s">
        <v>3239</v>
      </c>
      <c r="C12" s="3303">
        <v>1</v>
      </c>
      <c r="D12" s="3304" t="s">
        <v>3240</v>
      </c>
      <c r="E12" s="3305" t="s">
        <v>3241</v>
      </c>
      <c r="F12" s="3306"/>
      <c r="G12" s="3307"/>
      <c r="H12" s="3307"/>
      <c r="I12" s="3307"/>
      <c r="J12" s="3308"/>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24.6" thickBot="1">
      <c r="A13" s="3301" t="s">
        <v>3242</v>
      </c>
      <c r="B13" s="2032" t="s">
        <v>1982</v>
      </c>
      <c r="C13" s="753">
        <f>ROUND(C16*D16*E16*F16*G16*H16*I16*J16,4)</f>
        <v>1</v>
      </c>
      <c r="D13" s="2033" t="s">
        <v>1983</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24">
      <c r="A14" s="3295"/>
      <c r="B14" s="2038" t="s">
        <v>1985</v>
      </c>
      <c r="C14" s="2039" t="s">
        <v>1986</v>
      </c>
      <c r="D14" s="1348" t="s">
        <v>1987</v>
      </c>
      <c r="E14" s="27" t="s">
        <v>1988</v>
      </c>
      <c r="F14" s="3309" t="s">
        <v>3243</v>
      </c>
      <c r="G14" s="3309" t="s">
        <v>3243</v>
      </c>
      <c r="H14" s="3309" t="s">
        <v>3243</v>
      </c>
      <c r="I14" s="3309" t="s">
        <v>3243</v>
      </c>
      <c r="J14" s="3309" t="s">
        <v>3243</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t="s">
        <v>3390</v>
      </c>
      <c r="D15" s="2042"/>
      <c r="E15" s="2043"/>
      <c r="F15" s="3310" t="s">
        <v>3244</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6" thickBot="1">
      <c r="A16" s="3295"/>
      <c r="B16" s="3317" t="s">
        <v>1989</v>
      </c>
      <c r="C16" s="3315">
        <v>1</v>
      </c>
      <c r="D16" s="3315">
        <v>1</v>
      </c>
      <c r="E16" s="3315">
        <v>1</v>
      </c>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ht="24">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30"/>
      <c r="B18" s="3007"/>
      <c r="C18" s="3325"/>
      <c r="D18" s="3320" t="s">
        <v>3248</v>
      </c>
      <c r="E18" s="3326"/>
      <c r="F18" s="3321" t="s">
        <v>3251</v>
      </c>
      <c r="G18" s="3325">
        <f>ROUND(1-(1/(POWER(1+G24,E18))),4)</f>
        <v>0</v>
      </c>
      <c r="H18" s="3321" t="s">
        <v>3253</v>
      </c>
      <c r="I18" s="3325">
        <f>ROUND(1-(1/(POWER(1+G24,J24))),4)</f>
        <v>0.88249999999999995</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8"/>
      <c r="AH18" s="2138"/>
      <c r="AI18" s="2138"/>
      <c r="AJ18" s="2785"/>
    </row>
    <row r="19" spans="1:37" s="2012" customFormat="1" ht="14.4" thickBot="1">
      <c r="A19" s="3332"/>
      <c r="B19" s="3333"/>
      <c r="C19" s="3334"/>
      <c r="D19" s="3334" t="s">
        <v>3249</v>
      </c>
      <c r="E19" s="3335"/>
      <c r="F19" s="3336" t="s">
        <v>3252</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8"/>
      <c r="AI19" s="2789"/>
      <c r="AJ19" s="2789"/>
      <c r="AK19" s="2055"/>
    </row>
    <row r="20" spans="1:37" s="2012" customFormat="1" ht="13.8">
      <c r="A20" s="3679" t="s">
        <v>3254</v>
      </c>
      <c r="B20" s="167" t="s">
        <v>1994</v>
      </c>
      <c r="C20" s="3322">
        <f>ROUND(IF(F21="与级别开发程度一致",0,(G21-E21)/C21),0)</f>
        <v>-16</v>
      </c>
      <c r="D20" s="3338" t="s">
        <v>1998</v>
      </c>
      <c r="E20" s="3339"/>
      <c r="F20" s="3685" t="s">
        <v>1995</v>
      </c>
      <c r="G20" s="3686"/>
      <c r="H20" s="3323" t="s">
        <v>3391</v>
      </c>
      <c r="I20" s="3323" t="s">
        <v>3392</v>
      </c>
      <c r="J20" s="3324" t="s">
        <v>3393</v>
      </c>
      <c r="K20" s="2045" t="s">
        <v>3394</v>
      </c>
      <c r="L20" s="2045" t="s">
        <v>3395</v>
      </c>
      <c r="M20" s="2045" t="s">
        <v>3396</v>
      </c>
      <c r="N20" s="2045"/>
      <c r="O20" s="2046" t="s">
        <v>3397</v>
      </c>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7" thickBot="1">
      <c r="A21" s="3680"/>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3398</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0</v>
      </c>
      <c r="O21" s="2164">
        <f>SUMPRODUCT((七通一平=O20)*(修正!B1:M1=G2)*(修正!B8:M16))</f>
        <v>15</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 thickBot="1">
      <c r="A22" s="2155" t="s">
        <v>363</v>
      </c>
      <c r="B22" s="2156" t="s">
        <v>2000</v>
      </c>
      <c r="C22" s="2157">
        <f>SUMIF(修正!C20:C51,E3,修正!E20:E51)</f>
        <v>1</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7"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2" t="s">
        <v>2002</v>
      </c>
      <c r="E23" s="759">
        <v>44197</v>
      </c>
      <c r="F23" s="2052" t="s">
        <v>2003</v>
      </c>
      <c r="G23" s="760">
        <f>'数据-取费表'!B2</f>
        <v>45491</v>
      </c>
      <c r="H23" s="3340" t="s">
        <v>3256</v>
      </c>
      <c r="I23" s="3341" t="str">
        <f>IF(H23="季度增幅（自定义）",SUMIF(N25:N28,E2,O25:O28),"")</f>
        <v/>
      </c>
      <c r="J23" s="3443" t="s">
        <v>3255</v>
      </c>
      <c r="K23" s="1123"/>
      <c r="L23" s="2053" t="s">
        <v>2004</v>
      </c>
      <c r="M23" s="1326">
        <f>ROUND(SUMIF(地价!B2:G2,E2,地价!B16:G16),0)</f>
        <v>350</v>
      </c>
      <c r="N23" s="2054" t="s">
        <v>2005</v>
      </c>
      <c r="O23" s="761">
        <f>ROUNDDOWN(DATEDIF(E23,G23,"M")/3,0)</f>
        <v>14</v>
      </c>
      <c r="P23" s="1120"/>
      <c r="Q23" s="2785"/>
      <c r="R23" s="1122"/>
      <c r="S23" s="1122"/>
      <c r="T23" s="1118"/>
      <c r="U23" s="1118"/>
      <c r="V23" s="1118"/>
      <c r="W23" s="1117"/>
      <c r="X23" s="1117"/>
      <c r="Y23" s="1117"/>
      <c r="Z23" s="1123"/>
      <c r="AA23" s="1123"/>
      <c r="AB23" s="1123"/>
      <c r="AC23" s="1123"/>
      <c r="AD23" s="1123"/>
      <c r="AE23" s="1118"/>
      <c r="AF23" s="1118"/>
      <c r="AG23" s="2138"/>
      <c r="AH23" s="2138"/>
      <c r="AI23" s="2138"/>
      <c r="AJ23" s="2138"/>
      <c r="AK23" s="2051"/>
    </row>
    <row r="24" spans="1:37" s="2012" customFormat="1" ht="24.6" thickBot="1">
      <c r="A24" s="2056" t="s">
        <v>365</v>
      </c>
      <c r="B24" s="2057" t="s">
        <v>2006</v>
      </c>
      <c r="C24" s="762">
        <f>ROUND(POWER(1+G24,J24-I24)*(POWER(1+G24,I24)-1)/(POWER(1+G24,J24)-1),4)</f>
        <v>0.76500000000000001</v>
      </c>
      <c r="D24" s="2058" t="s">
        <v>2007</v>
      </c>
      <c r="E24" s="1333">
        <f>存贷款利率!E26/100</f>
        <v>4.3499999999999997E-2</v>
      </c>
      <c r="F24" s="2058" t="s">
        <v>1999</v>
      </c>
      <c r="G24" s="766">
        <f>SUMIF(M30:Q30,E2,M33:Q33)</f>
        <v>5.5E-2</v>
      </c>
      <c r="H24" s="2058" t="s">
        <v>2008</v>
      </c>
      <c r="I24" s="767">
        <f>SUMIF('数据-取费表'!C6:C15,E2,'数据-取费表'!F6:F15)/COUNTIF('数据-取费表'!C6:C15,E2)</f>
        <v>21</v>
      </c>
      <c r="J24" s="768">
        <f>IF(E2="住宅",70,IF(E2="商业",40,50))</f>
        <v>40</v>
      </c>
      <c r="K24" s="1123"/>
      <c r="L24" s="2059" t="s">
        <v>2009</v>
      </c>
      <c r="M24" s="1327">
        <f>ROUND(SUMPRODUCT((地价!A4:A16=YEAR(G23)&amp;"-"&amp;ROUNDUP(MONTH(G23)/3,0))*(地价!B2:G2=E2)*(地价!B4:G16)),0)</f>
        <v>0</v>
      </c>
      <c r="N24" s="3476" t="s">
        <v>3492</v>
      </c>
      <c r="O24" s="2060" t="s">
        <v>2010</v>
      </c>
      <c r="P24" s="2061" t="s">
        <v>2011</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4.4">
      <c r="A25" s="2062" t="s">
        <v>366</v>
      </c>
      <c r="B25" s="2063" t="s">
        <v>3399</v>
      </c>
      <c r="C25" s="769">
        <f>IF(B25="容积率修正",IF(G3&lt;10,D26,J26),C27)</f>
        <v>1.0004999999999999</v>
      </c>
      <c r="D25" s="2064"/>
      <c r="E25" s="2064"/>
      <c r="F25" s="2064"/>
      <c r="G25" s="2064"/>
      <c r="H25" s="2064"/>
      <c r="I25" s="2064"/>
      <c r="J25" s="2065"/>
      <c r="K25" s="1123"/>
      <c r="L25" s="2785"/>
      <c r="M25" s="2785"/>
      <c r="N25" s="2066" t="s">
        <v>2012</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4">
      <c r="A26" s="1953" t="s">
        <v>2013</v>
      </c>
      <c r="B26" s="2067" t="s">
        <v>2014</v>
      </c>
      <c r="C26" s="3342" t="s">
        <v>3257</v>
      </c>
      <c r="D26" s="1350">
        <f>IF(E26=G26,F26,IF(G3&lt;10,ROUND(F26+(H26-F26)*(G3-E26)/(G26-E26),4),"——"))</f>
        <v>1.1984999999999999</v>
      </c>
      <c r="E26" s="750">
        <f>ROUNDDOWN(G3,1)</f>
        <v>1.1000000000000001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1.1984999999999999</v>
      </c>
      <c r="G26" s="750">
        <f>ROUNDUP(G3,1)</f>
        <v>1.1000000000000001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1.1984999999999999</v>
      </c>
      <c r="I26" s="3342" t="s">
        <v>3258</v>
      </c>
      <c r="J26" s="770" t="str">
        <f>IF(G3&gt;=10,D115,"——")</f>
        <v>——</v>
      </c>
      <c r="K26" s="1123"/>
      <c r="L26" s="2785"/>
      <c r="M26" s="2785"/>
      <c r="N26" s="2066" t="s">
        <v>2015</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 thickBot="1">
      <c r="A27" s="1953" t="s">
        <v>2016</v>
      </c>
      <c r="B27" s="2068" t="s">
        <v>2017</v>
      </c>
      <c r="C27" s="839">
        <f>ROUND(IF(I3&lt;6,SUMPRODUCT((B106:B110=I3)*(C105:N105=G2)*(C106:N110)),SUMIF(C105:N105,G2,C112:N112)),4)</f>
        <v>1.0004999999999999</v>
      </c>
      <c r="D27" s="2044"/>
      <c r="E27" s="2044"/>
      <c r="F27" s="2069"/>
      <c r="G27" s="2070"/>
      <c r="H27" s="2071"/>
      <c r="I27" s="2072"/>
      <c r="J27" s="2073"/>
      <c r="K27" s="1117"/>
      <c r="L27" s="1995"/>
      <c r="M27" s="1995"/>
      <c r="N27" s="2066" t="s">
        <v>2018</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 thickBot="1">
      <c r="A28" s="2056" t="s">
        <v>367</v>
      </c>
      <c r="B28" s="2049" t="s">
        <v>2019</v>
      </c>
      <c r="C28" s="758">
        <f>SUMIF(A47:A101,E2,B47:B101)</f>
        <v>1.0545</v>
      </c>
      <c r="D28" s="2050"/>
      <c r="E28" s="2074"/>
      <c r="F28" s="2074"/>
      <c r="G28" s="2074"/>
      <c r="H28" s="2074"/>
      <c r="I28" s="2074"/>
      <c r="J28" s="2075"/>
      <c r="K28" s="1123"/>
      <c r="L28" s="2785"/>
      <c r="M28" s="2785"/>
      <c r="N28" s="2076"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 thickBot="1">
      <c r="A29" s="2056" t="s">
        <v>368</v>
      </c>
      <c r="B29" s="2077" t="s">
        <v>2021</v>
      </c>
      <c r="C29" s="763"/>
      <c r="D29" s="2022"/>
      <c r="E29" s="2022"/>
      <c r="F29" s="2078"/>
      <c r="G29" s="2022"/>
      <c r="H29" s="2022"/>
      <c r="I29" s="2022"/>
      <c r="J29" s="2023"/>
      <c r="K29" s="1117"/>
      <c r="L29" s="1995"/>
      <c r="M29" s="1995"/>
      <c r="N29" s="2782" t="s">
        <v>2022</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79"/>
      <c r="B30" s="2067" t="s">
        <v>2023</v>
      </c>
      <c r="C30" s="2318">
        <f>IF(B25="容积率修正",E33+SUM(E37:E42),SUM(V2:V16)+SUM(E37:E42))</f>
        <v>0</v>
      </c>
      <c r="D30" s="2080"/>
      <c r="E30" s="2044"/>
      <c r="F30" s="2081"/>
      <c r="G30" s="2044"/>
      <c r="H30" s="2044"/>
      <c r="I30" s="2044"/>
      <c r="J30" s="2082"/>
      <c r="K30" s="1117"/>
      <c r="L30" s="3348" t="s">
        <v>1936</v>
      </c>
      <c r="M30" s="3349" t="s">
        <v>1990</v>
      </c>
      <c r="N30" s="3349" t="s">
        <v>1991</v>
      </c>
      <c r="O30" s="3349" t="s">
        <v>1992</v>
      </c>
      <c r="P30" s="3349" t="s">
        <v>1993</v>
      </c>
      <c r="Q30" s="3352" t="s">
        <v>3262</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79"/>
      <c r="B31" s="2083" t="s">
        <v>2024</v>
      </c>
      <c r="C31" s="764">
        <f>E34+SUM(I37:I42)</f>
        <v>0</v>
      </c>
      <c r="D31" s="2084"/>
      <c r="E31" s="2085"/>
      <c r="F31" s="2086"/>
      <c r="G31" s="2085"/>
      <c r="H31" s="2085"/>
      <c r="I31" s="2085"/>
      <c r="J31" s="2087"/>
      <c r="K31" s="1117"/>
      <c r="L31" s="3350" t="s">
        <v>1996</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8"/>
      <c r="B32" s="2089" t="s">
        <v>2025</v>
      </c>
      <c r="C32" s="2090" t="s">
        <v>2026</v>
      </c>
      <c r="D32" s="2090" t="s">
        <v>2027</v>
      </c>
      <c r="E32" s="2091" t="s">
        <v>2028</v>
      </c>
      <c r="F32" s="2092"/>
      <c r="G32" s="2035"/>
      <c r="H32" s="2035"/>
      <c r="I32" s="2035"/>
      <c r="J32" s="2036"/>
      <c r="K32" s="1117"/>
      <c r="L32" s="3351" t="s">
        <v>1999</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3"/>
      <c r="B33" s="2094" t="s">
        <v>2029</v>
      </c>
      <c r="C33" s="175">
        <f>ROUND(C5*C22*C23*C24*C25*C28,0)</f>
        <v>11518</v>
      </c>
      <c r="D33" s="2095">
        <f>'数据-汇总表'!E19</f>
        <v>127.35</v>
      </c>
      <c r="E33" s="771">
        <f>ROUND(C33*D33/10000,0)</f>
        <v>147</v>
      </c>
      <c r="F33" s="3343" t="s">
        <v>3260</v>
      </c>
      <c r="G33" s="2096"/>
      <c r="H33" s="2096"/>
      <c r="I33" s="2096"/>
      <c r="J33" s="2097"/>
      <c r="K33" s="1117"/>
      <c r="L33" s="3346" t="s">
        <v>3263</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8" thickBot="1">
      <c r="A34" s="2098"/>
      <c r="B34" s="2099" t="s">
        <v>2030</v>
      </c>
      <c r="C34" s="187" t="e">
        <f>ROUND(IF(E2="工业",C33*M42,IF(B25="楼层修正",SUM(V2:V16)*M41*10000/D34,C33*M41)),0)</f>
        <v>#DIV/0!</v>
      </c>
      <c r="D34" s="2100"/>
      <c r="E34" s="771">
        <f>ROUND(IF(B25="楼层修正",SUM(V2:V16)*M40,C34*D34/10000),0)</f>
        <v>0</v>
      </c>
      <c r="F34" s="2101" t="s">
        <v>2031</v>
      </c>
      <c r="G34" s="2102"/>
      <c r="H34" s="2102"/>
      <c r="I34" s="2102"/>
      <c r="J34" s="2103"/>
      <c r="K34" s="1117"/>
      <c r="L34" s="3346" t="s">
        <v>3264</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2032</v>
      </c>
      <c r="C35" s="3344" t="s">
        <v>3261</v>
      </c>
      <c r="D35" s="2035"/>
      <c r="E35" s="2106"/>
      <c r="F35" s="2106"/>
      <c r="G35" s="2033" t="s">
        <v>2033</v>
      </c>
      <c r="H35" s="2035"/>
      <c r="I35" s="2107"/>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36.6" thickBot="1">
      <c r="A36" s="2093"/>
      <c r="B36" s="2108"/>
      <c r="C36" s="450" t="s">
        <v>2026</v>
      </c>
      <c r="D36" s="447" t="s">
        <v>2027</v>
      </c>
      <c r="E36" s="447" t="s">
        <v>2028</v>
      </c>
      <c r="F36" s="342" t="s">
        <v>2034</v>
      </c>
      <c r="G36" s="2109" t="s">
        <v>2026</v>
      </c>
      <c r="H36" s="2109" t="s">
        <v>2027</v>
      </c>
      <c r="I36" s="2109" t="s">
        <v>2028</v>
      </c>
      <c r="J36" s="243"/>
      <c r="K36" s="3354" t="s">
        <v>3265</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6" thickBot="1">
      <c r="A37" s="3683"/>
      <c r="B37" s="2110" t="s">
        <v>2035</v>
      </c>
      <c r="C37" s="175">
        <f>ROUND(D5*C22*C23*C24*C28*F37,0)</f>
        <v>6907</v>
      </c>
      <c r="D37" s="2095"/>
      <c r="E37" s="171">
        <f>ROUND(C37*D37/10000,0)</f>
        <v>0</v>
      </c>
      <c r="F37" s="171">
        <f>SUMIF(修正!A57:A68,G2,修正!B57:B68)</f>
        <v>0.6</v>
      </c>
      <c r="G37" s="171">
        <f>ROUND(IF(E2="工业",C37*$M$42,C37*$M$41),0)</f>
        <v>1727</v>
      </c>
      <c r="H37" s="171">
        <f>D37</f>
        <v>0</v>
      </c>
      <c r="I37" s="171">
        <f>ROUND(G37*H37/10000,0)</f>
        <v>0</v>
      </c>
      <c r="J37" s="3009"/>
      <c r="K37" s="3356" t="s">
        <v>3266</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684"/>
      <c r="B38" s="2039" t="s">
        <v>2036</v>
      </c>
      <c r="C38" s="175">
        <f>ROUND(D5*C22*C23*C24*C28*F38,0)</f>
        <v>3454</v>
      </c>
      <c r="D38" s="2095"/>
      <c r="E38" s="171">
        <f t="shared" ref="E38:E42" si="4">ROUND(C38*D38/10000,0)</f>
        <v>0</v>
      </c>
      <c r="F38" s="171">
        <f>SUMIF(修正!A57:A68,G2,修正!C57:C68)</f>
        <v>0.3</v>
      </c>
      <c r="G38" s="171">
        <f>ROUND(IF(E2="工业",C38*$M$42,C38*$M$41),0)</f>
        <v>864</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8" thickBot="1">
      <c r="A39" s="3684"/>
      <c r="B39" s="2039" t="s">
        <v>3259</v>
      </c>
      <c r="C39" s="175">
        <f>ROUND(D5*C22*C23*C24*C28*F39,0)</f>
        <v>2878</v>
      </c>
      <c r="D39" s="2095"/>
      <c r="E39" s="171">
        <f t="shared" si="4"/>
        <v>0</v>
      </c>
      <c r="F39" s="171">
        <f>SUMIF(修正!A57:A68,G2,修正!D57:D68)</f>
        <v>0.25</v>
      </c>
      <c r="G39" s="171">
        <f>ROUND(IF(E2="工业",C39*$M$42,C39*$M$41),0)</f>
        <v>720</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9" t="s">
        <v>2037</v>
      </c>
      <c r="C40" s="171">
        <f>ROUND(D5*C22*C23*C24*C28*F40,0)</f>
        <v>2878</v>
      </c>
      <c r="D40" s="2095"/>
      <c r="E40" s="171">
        <f t="shared" si="4"/>
        <v>0</v>
      </c>
      <c r="F40" s="175">
        <f>SUMIF(修正!A57:A68,G2,修正!E57:E68)</f>
        <v>0.25</v>
      </c>
      <c r="G40" s="171">
        <f>ROUND(IF(E2="工业",C40*$M$42,C40*$M$41),0)</f>
        <v>720</v>
      </c>
      <c r="H40" s="171">
        <f t="shared" si="5"/>
        <v>0</v>
      </c>
      <c r="I40" s="171">
        <f t="shared" si="6"/>
        <v>0</v>
      </c>
      <c r="J40" s="2111"/>
      <c r="L40" s="2113" t="s">
        <v>2038</v>
      </c>
      <c r="M40" s="2114"/>
      <c r="Z40" s="1118"/>
      <c r="AA40" s="1118"/>
      <c r="AB40" s="1118"/>
      <c r="AC40" s="1118"/>
      <c r="AD40" s="1118"/>
      <c r="AE40" s="1118"/>
      <c r="AF40" s="1118"/>
      <c r="AG40" s="1118"/>
      <c r="AH40" s="1118"/>
      <c r="AI40" s="1118"/>
      <c r="AJ40" s="1118"/>
    </row>
    <row r="41" spans="1:37" s="1117" customFormat="1">
      <c r="A41" s="2112"/>
      <c r="B41" s="2039"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7" t="s">
        <v>3267</v>
      </c>
      <c r="M41" s="2115">
        <v>0.25</v>
      </c>
      <c r="Z41" s="1118"/>
      <c r="AA41" s="1118"/>
      <c r="AB41" s="1118"/>
      <c r="AC41" s="1118"/>
      <c r="AD41" s="1118"/>
      <c r="AE41" s="1118"/>
      <c r="AF41" s="1118"/>
      <c r="AG41" s="1118"/>
      <c r="AH41" s="1118"/>
      <c r="AI41" s="1118"/>
      <c r="AJ41" s="1118"/>
    </row>
    <row r="42" spans="1:37" s="1117" customFormat="1" ht="13.8" thickBot="1">
      <c r="A42" s="2098"/>
      <c r="B42" s="2116" t="s">
        <v>2040</v>
      </c>
      <c r="C42" s="187">
        <f>ROUND(D5*C22*C23*C44*C28*F42,0)</f>
        <v>0</v>
      </c>
      <c r="D42" s="2100"/>
      <c r="E42" s="187">
        <f t="shared" si="4"/>
        <v>0</v>
      </c>
      <c r="F42" s="765">
        <f>SUMIF(修正!A57:A68,G2,修正!G57:G68)</f>
        <v>0.15</v>
      </c>
      <c r="G42" s="187">
        <f>ROUND(IF(E2="工业",C42*$M$42,C42*$M$41),0)</f>
        <v>0</v>
      </c>
      <c r="H42" s="187">
        <f t="shared" si="5"/>
        <v>0</v>
      </c>
      <c r="I42" s="187">
        <f t="shared" si="6"/>
        <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1" t="s">
        <v>2121</v>
      </c>
      <c r="C44" s="342">
        <f>ROUND(POWER(1+E44,H44-G44)*(POWER(1+E44,G44)-1)/(POWER(1+E44,H44)-1),4)</f>
        <v>0</v>
      </c>
      <c r="D44" s="171" t="s">
        <v>1999</v>
      </c>
      <c r="E44" s="2150">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 thickBot="1">
      <c r="A47" s="2121" t="s">
        <v>2041</v>
      </c>
      <c r="B47" s="2122"/>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c r="A48" s="2123" t="s">
        <v>2042</v>
      </c>
      <c r="B48" s="2124">
        <f>1+E50</f>
        <v>1.0545</v>
      </c>
      <c r="C48" s="2125"/>
      <c r="D48" s="739"/>
      <c r="E48" s="740"/>
      <c r="F48" s="2126"/>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c r="A49" s="2127" t="s">
        <v>2043</v>
      </c>
      <c r="B49" s="1349" t="s">
        <v>2044</v>
      </c>
      <c r="C49" s="1349" t="s">
        <v>2045</v>
      </c>
      <c r="D49" s="1349" t="s">
        <v>2046</v>
      </c>
      <c r="E49" s="741" t="s">
        <v>2047</v>
      </c>
      <c r="F49" s="2128" t="s">
        <v>2048</v>
      </c>
      <c r="G49" s="1349" t="s">
        <v>310</v>
      </c>
      <c r="H49" s="2129" t="s">
        <v>2049</v>
      </c>
      <c r="I49" s="1349" t="s">
        <v>2050</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9.6">
      <c r="A50" s="2127" t="s">
        <v>2051</v>
      </c>
      <c r="B50" s="2130" t="str">
        <f>估价对象房地状况!C4</f>
        <v>估价对象位于XX商圈，周边商业氛围成熟，人流量大，商业繁华度好</v>
      </c>
      <c r="C50" s="2042" t="s">
        <v>3400</v>
      </c>
      <c r="D50" s="1063">
        <f t="shared" ref="D50:D58" si="7">SUMIF($J$49:$N$49,C50,J50:N50)</f>
        <v>0</v>
      </c>
      <c r="E50" s="742">
        <f>ROUND(SUM(D50:D58),4)</f>
        <v>5.45E-2</v>
      </c>
      <c r="F50" s="1812">
        <f>IF(E2="商业",SUMIF(L1:L12,G2,N1:N12),"——")</f>
        <v>0.1</v>
      </c>
      <c r="G50" s="1061">
        <v>0.01</v>
      </c>
      <c r="H50" s="1064">
        <f t="shared" ref="H50:H58" si="8">IFERROR(ROUNDDOWN($F$50*I50/2,4),"——")</f>
        <v>1.4999999999999999E-2</v>
      </c>
      <c r="I50" s="3364">
        <v>0.3</v>
      </c>
      <c r="J50" s="1062">
        <f t="shared" ref="J50:J58" si="9">K50+$G50</f>
        <v>0.02</v>
      </c>
      <c r="K50" s="1062">
        <f t="shared" ref="K50:K58" si="10">$L50+$G50</f>
        <v>0.01</v>
      </c>
      <c r="L50" s="1062">
        <v>0</v>
      </c>
      <c r="M50" s="1062">
        <f t="shared" ref="M50:N58" si="11">L50-$G50</f>
        <v>-0.01</v>
      </c>
      <c r="N50" s="1062">
        <f t="shared" si="11"/>
        <v>-0.02</v>
      </c>
      <c r="AA50" s="1118"/>
      <c r="AB50" s="1118"/>
      <c r="AC50" s="1118"/>
      <c r="AD50" s="1118"/>
      <c r="AE50" s="1118"/>
      <c r="AF50" s="1118"/>
      <c r="AG50" s="1118"/>
      <c r="AH50" s="1118"/>
      <c r="AI50" s="1118"/>
      <c r="AJ50" s="1118"/>
      <c r="AK50" s="1118"/>
    </row>
    <row r="51" spans="1:37" s="1117" customFormat="1" ht="52.8">
      <c r="A51" s="2127" t="s">
        <v>2052</v>
      </c>
      <c r="B51" s="2131" t="str">
        <f>估价对象房地状况!C18</f>
        <v>估价对象周边道路状况、公共交通通达情况、停车便捷程度，综合评价交通便捷度较好</v>
      </c>
      <c r="C51" s="2042" t="s">
        <v>3401</v>
      </c>
      <c r="D51" s="1063">
        <f t="shared" si="7"/>
        <v>8.0000000000000002E-3</v>
      </c>
      <c r="E51" s="743"/>
      <c r="F51" s="1812"/>
      <c r="G51" s="1061">
        <v>8.0000000000000002E-3</v>
      </c>
      <c r="H51" s="1064">
        <f t="shared" si="8"/>
        <v>1.0999999999999999E-2</v>
      </c>
      <c r="I51" s="3364">
        <v>0.22</v>
      </c>
      <c r="J51" s="1062">
        <f t="shared" si="9"/>
        <v>1.6E-2</v>
      </c>
      <c r="K51" s="1062">
        <f t="shared" si="10"/>
        <v>8.0000000000000002E-3</v>
      </c>
      <c r="L51" s="1062">
        <v>0</v>
      </c>
      <c r="M51" s="1062">
        <f t="shared" si="11"/>
        <v>-8.0000000000000002E-3</v>
      </c>
      <c r="N51" s="1062">
        <f t="shared" si="11"/>
        <v>-1.6E-2</v>
      </c>
      <c r="AA51" s="1118"/>
      <c r="AB51" s="1118"/>
      <c r="AC51" s="1118"/>
      <c r="AD51" s="1118"/>
      <c r="AE51" s="1118"/>
      <c r="AF51" s="1118"/>
      <c r="AG51" s="1118"/>
      <c r="AH51" s="1118"/>
      <c r="AI51" s="1118"/>
      <c r="AJ51" s="1118"/>
      <c r="AK51" s="1118"/>
    </row>
    <row r="52" spans="1:37" s="1117" customFormat="1" ht="48">
      <c r="A52" s="3366" t="s">
        <v>3269</v>
      </c>
      <c r="B52" s="2131">
        <f>估价对象房地状况!C19</f>
        <v>0</v>
      </c>
      <c r="C52" s="2042" t="s">
        <v>3401</v>
      </c>
      <c r="D52" s="1063">
        <f t="shared" si="7"/>
        <v>6.0000000000000001E-3</v>
      </c>
      <c r="E52" s="743"/>
      <c r="F52" s="1812"/>
      <c r="G52" s="1061">
        <f t="shared" ref="G51:G58" si="12">H52</f>
        <v>6.0000000000000001E-3</v>
      </c>
      <c r="H52" s="1064">
        <f t="shared" si="8"/>
        <v>6.0000000000000001E-3</v>
      </c>
      <c r="I52" s="3364">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7.200000000000003">
      <c r="A53" s="2127" t="s">
        <v>2053</v>
      </c>
      <c r="B53" s="2132" t="s">
        <v>2054</v>
      </c>
      <c r="C53" s="2042" t="s">
        <v>3401</v>
      </c>
      <c r="D53" s="1063">
        <f t="shared" si="7"/>
        <v>2.5000000000000001E-3</v>
      </c>
      <c r="E53" s="743"/>
      <c r="F53" s="1812"/>
      <c r="G53" s="1061">
        <f t="shared" si="12"/>
        <v>2.5000000000000001E-3</v>
      </c>
      <c r="H53" s="1064">
        <f t="shared" si="8"/>
        <v>2.5000000000000001E-3</v>
      </c>
      <c r="I53" s="3364">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7" t="s">
        <v>2055</v>
      </c>
      <c r="B54" s="2131">
        <f>估价对象房地状况!C24</f>
        <v>0</v>
      </c>
      <c r="C54" s="2042" t="s">
        <v>3401</v>
      </c>
      <c r="D54" s="1063">
        <f t="shared" si="7"/>
        <v>4.0000000000000001E-3</v>
      </c>
      <c r="E54" s="743"/>
      <c r="F54" s="1812"/>
      <c r="G54" s="1061">
        <f t="shared" si="12"/>
        <v>4.0000000000000001E-3</v>
      </c>
      <c r="H54" s="1064">
        <f t="shared" si="8"/>
        <v>4.0000000000000001E-3</v>
      </c>
      <c r="I54" s="3364">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36">
      <c r="A55" s="2127" t="s">
        <v>2056</v>
      </c>
      <c r="B55" s="2133" t="s">
        <v>2057</v>
      </c>
      <c r="C55" s="2042" t="s">
        <v>3401</v>
      </c>
      <c r="D55" s="1063">
        <f t="shared" si="7"/>
        <v>2.5000000000000001E-3</v>
      </c>
      <c r="E55" s="743"/>
      <c r="F55" s="1812"/>
      <c r="G55" s="1061">
        <f t="shared" si="12"/>
        <v>2.5000000000000001E-3</v>
      </c>
      <c r="H55" s="1064">
        <f t="shared" si="8"/>
        <v>2.5000000000000001E-3</v>
      </c>
      <c r="I55" s="3364">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6.4">
      <c r="A56" s="2134" t="s">
        <v>2058</v>
      </c>
      <c r="B56" s="1324" t="str">
        <f>估价对象房地状况!C21</f>
        <v>估价对象所在区域公共配套设施齐备情况</v>
      </c>
      <c r="C56" s="2042" t="s">
        <v>3401</v>
      </c>
      <c r="D56" s="1063">
        <f t="shared" si="7"/>
        <v>2.5000000000000001E-3</v>
      </c>
      <c r="E56" s="743"/>
      <c r="F56" s="1812"/>
      <c r="G56" s="1061">
        <f t="shared" si="12"/>
        <v>2.5000000000000001E-3</v>
      </c>
      <c r="H56" s="1064">
        <f t="shared" si="8"/>
        <v>2.5000000000000001E-3</v>
      </c>
      <c r="I56" s="3364">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6.4">
      <c r="A57" s="2134" t="s">
        <v>2059</v>
      </c>
      <c r="B57" s="2131" t="str">
        <f>估价对象房地状况!C22</f>
        <v>估价对象所在区域基础设施水平</v>
      </c>
      <c r="C57" s="2042" t="s">
        <v>3402</v>
      </c>
      <c r="D57" s="1063">
        <f t="shared" si="7"/>
        <v>1.4E-2</v>
      </c>
      <c r="E57" s="743"/>
      <c r="F57" s="1812"/>
      <c r="G57" s="1061">
        <v>7.0000000000000001E-3</v>
      </c>
      <c r="H57" s="1064">
        <f t="shared" si="8"/>
        <v>4.0000000000000001E-3</v>
      </c>
      <c r="I57" s="3364">
        <v>0.08</v>
      </c>
      <c r="J57" s="1062">
        <f t="shared" si="9"/>
        <v>1.4E-2</v>
      </c>
      <c r="K57" s="1062">
        <f t="shared" si="10"/>
        <v>7.0000000000000001E-3</v>
      </c>
      <c r="L57" s="1062">
        <v>0</v>
      </c>
      <c r="M57" s="1062">
        <f t="shared" si="11"/>
        <v>-7.0000000000000001E-3</v>
      </c>
      <c r="N57" s="1062">
        <f t="shared" si="11"/>
        <v>-1.4E-2</v>
      </c>
      <c r="AA57" s="1118"/>
      <c r="AB57" s="1118"/>
      <c r="AC57" s="1118"/>
      <c r="AD57" s="1118"/>
      <c r="AE57" s="1118"/>
      <c r="AF57" s="1118"/>
      <c r="AG57" s="1118"/>
      <c r="AH57" s="1118"/>
      <c r="AI57" s="1118"/>
      <c r="AJ57" s="1118"/>
      <c r="AK57" s="1118"/>
    </row>
    <row r="58" spans="1:37" s="1117" customFormat="1" ht="40.200000000000003" thickBot="1">
      <c r="A58" s="2135" t="s">
        <v>2060</v>
      </c>
      <c r="B58" s="2136" t="str">
        <f>估价对象房地状况!C20</f>
        <v>区域自然环境：；人文环境；综合评价环境状况一般</v>
      </c>
      <c r="C58" s="2042" t="s">
        <v>3402</v>
      </c>
      <c r="D58" s="1063">
        <f t="shared" si="7"/>
        <v>1.4999999999999999E-2</v>
      </c>
      <c r="E58" s="744"/>
      <c r="F58" s="1812"/>
      <c r="G58" s="1061">
        <v>7.4999999999999997E-3</v>
      </c>
      <c r="H58" s="1064">
        <f t="shared" si="8"/>
        <v>2.5000000000000001E-3</v>
      </c>
      <c r="I58" s="3365">
        <v>0.05</v>
      </c>
      <c r="J58" s="1062">
        <f t="shared" si="9"/>
        <v>1.4999999999999999E-2</v>
      </c>
      <c r="K58" s="1062">
        <f t="shared" si="10"/>
        <v>7.4999999999999997E-3</v>
      </c>
      <c r="L58" s="1062">
        <v>0</v>
      </c>
      <c r="M58" s="1062">
        <f t="shared" si="11"/>
        <v>-7.4999999999999997E-3</v>
      </c>
      <c r="N58" s="1062">
        <f t="shared" si="11"/>
        <v>-1.4999999999999999E-2</v>
      </c>
      <c r="AA58" s="1118"/>
      <c r="AB58" s="1118"/>
      <c r="AC58" s="1118"/>
      <c r="AD58" s="1118"/>
      <c r="AE58" s="1118"/>
      <c r="AF58" s="1118"/>
      <c r="AG58" s="1118"/>
      <c r="AH58" s="1118"/>
      <c r="AI58" s="1118"/>
      <c r="AJ58" s="1118"/>
      <c r="AK58" s="1118"/>
    </row>
    <row r="59" spans="1:37" s="1117" customFormat="1" ht="14.4">
      <c r="A59" s="2123" t="s">
        <v>2061</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c r="A60" s="2127" t="s">
        <v>2043</v>
      </c>
      <c r="B60" s="1349"/>
      <c r="C60" s="1349" t="s">
        <v>2045</v>
      </c>
      <c r="D60" s="1349" t="s">
        <v>2046</v>
      </c>
      <c r="E60" s="741" t="s">
        <v>2047</v>
      </c>
      <c r="F60" s="2128" t="s">
        <v>2062</v>
      </c>
      <c r="G60" s="1349" t="s">
        <v>310</v>
      </c>
      <c r="H60" s="2129" t="s">
        <v>2049</v>
      </c>
      <c r="I60" s="1349" t="s">
        <v>2050</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9.6">
      <c r="A61" s="2127" t="s">
        <v>2063</v>
      </c>
      <c r="B61" s="2130" t="str">
        <f>估价对象房地状况!C17</f>
        <v>估价对象位于XX商圈，周边办公楼项目较多，入驻率高，办公集聚程度较好</v>
      </c>
      <c r="C61" s="2042"/>
      <c r="D61" s="1063">
        <f t="shared" ref="D61:D69" si="13">SUMIF($J$60:$N$60,C61,J61:N61)</f>
        <v>0</v>
      </c>
      <c r="E61" s="742">
        <f>ROUND(SUM(D61:D69),4)</f>
        <v>0</v>
      </c>
      <c r="F61" s="1812" t="str">
        <f>IF(E2="办公",SUMIF(L1:L12,G2,N1:N12),"——")</f>
        <v>——</v>
      </c>
      <c r="G61" s="1061"/>
      <c r="H61" s="1064" t="str">
        <f t="shared" ref="H61:H69" si="14">IFERROR(ROUNDDOWN($F$61*I61/2,4),"——")</f>
        <v>——</v>
      </c>
      <c r="I61" s="3364">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52.8">
      <c r="A62" s="2127" t="s">
        <v>2052</v>
      </c>
      <c r="B62" s="2131" t="str">
        <f>估价对象房地状况!C18</f>
        <v>估价对象周边道路状况、公共交通通达情况、停车便捷程度，综合评价交通便捷度较好</v>
      </c>
      <c r="C62" s="2042"/>
      <c r="D62" s="1063">
        <f t="shared" si="13"/>
        <v>0</v>
      </c>
      <c r="E62" s="743"/>
      <c r="F62" s="1812"/>
      <c r="G62" s="1061"/>
      <c r="H62" s="1064" t="str">
        <f t="shared" si="14"/>
        <v>——</v>
      </c>
      <c r="I62" s="3364">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48">
      <c r="A63" s="3366" t="s">
        <v>3269</v>
      </c>
      <c r="B63" s="2131">
        <f>估价对象房地状况!C19</f>
        <v>0</v>
      </c>
      <c r="C63" s="2042"/>
      <c r="D63" s="1063">
        <f t="shared" si="13"/>
        <v>0</v>
      </c>
      <c r="E63" s="743"/>
      <c r="F63" s="1812"/>
      <c r="G63" s="1061"/>
      <c r="H63" s="1064" t="str">
        <f t="shared" si="14"/>
        <v>——</v>
      </c>
      <c r="I63" s="3364">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7.200000000000003">
      <c r="A64" s="2127" t="s">
        <v>2053</v>
      </c>
      <c r="B64" s="2132" t="s">
        <v>2054</v>
      </c>
      <c r="C64" s="2042"/>
      <c r="D64" s="1063">
        <f t="shared" si="13"/>
        <v>0</v>
      </c>
      <c r="E64" s="743"/>
      <c r="F64" s="1812"/>
      <c r="G64" s="1061"/>
      <c r="H64" s="1064" t="str">
        <f t="shared" si="14"/>
        <v>——</v>
      </c>
      <c r="I64" s="3364">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7" t="s">
        <v>2055</v>
      </c>
      <c r="B65" s="2131">
        <f>估价对象房地状况!C24</f>
        <v>0</v>
      </c>
      <c r="C65" s="2042"/>
      <c r="D65" s="1063">
        <f t="shared" si="13"/>
        <v>0</v>
      </c>
      <c r="E65" s="743"/>
      <c r="F65" s="1812"/>
      <c r="G65" s="1061"/>
      <c r="H65" s="1064" t="str">
        <f t="shared" si="14"/>
        <v>——</v>
      </c>
      <c r="I65" s="3364">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36">
      <c r="A66" s="2127" t="s">
        <v>2056</v>
      </c>
      <c r="B66" s="2133" t="s">
        <v>2057</v>
      </c>
      <c r="C66" s="2042"/>
      <c r="D66" s="1063">
        <f t="shared" si="13"/>
        <v>0</v>
      </c>
      <c r="E66" s="743"/>
      <c r="F66" s="1812"/>
      <c r="G66" s="1061"/>
      <c r="H66" s="1064" t="str">
        <f t="shared" si="14"/>
        <v>——</v>
      </c>
      <c r="I66" s="3364">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6.4">
      <c r="A67" s="2127" t="s">
        <v>2058</v>
      </c>
      <c r="B67" s="1324" t="str">
        <f>估价对象房地状况!C21</f>
        <v>估价对象所在区域公共配套设施齐备情况</v>
      </c>
      <c r="C67" s="2042"/>
      <c r="D67" s="1063">
        <f t="shared" si="13"/>
        <v>0</v>
      </c>
      <c r="E67" s="743"/>
      <c r="F67" s="1812"/>
      <c r="G67" s="1061"/>
      <c r="H67" s="1064" t="str">
        <f t="shared" si="14"/>
        <v>——</v>
      </c>
      <c r="I67" s="3364">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6.4">
      <c r="A68" s="2127" t="s">
        <v>2059</v>
      </c>
      <c r="B68" s="1324" t="str">
        <f>估价对象房地状况!C22</f>
        <v>估价对象所在区域基础设施水平</v>
      </c>
      <c r="C68" s="2042"/>
      <c r="D68" s="1063">
        <f t="shared" si="13"/>
        <v>0</v>
      </c>
      <c r="E68" s="743"/>
      <c r="F68" s="1812"/>
      <c r="G68" s="1061"/>
      <c r="H68" s="1064" t="str">
        <f t="shared" si="14"/>
        <v>——</v>
      </c>
      <c r="I68" s="3364">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40.200000000000003" thickBot="1">
      <c r="A69" s="2135" t="s">
        <v>2060</v>
      </c>
      <c r="B69" s="2137" t="str">
        <f>估价对象房地状况!C20</f>
        <v>区域自然环境：；人文环境；综合评价环境状况一般</v>
      </c>
      <c r="C69" s="2042"/>
      <c r="D69" s="1063">
        <f t="shared" si="13"/>
        <v>0</v>
      </c>
      <c r="E69" s="744"/>
      <c r="F69" s="1812"/>
      <c r="G69" s="1061"/>
      <c r="H69" s="1064" t="str">
        <f t="shared" si="14"/>
        <v>——</v>
      </c>
      <c r="I69" s="3365">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4.4">
      <c r="A70" s="2123" t="s">
        <v>2064</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7" t="s">
        <v>2043</v>
      </c>
      <c r="B71" s="1349"/>
      <c r="C71" s="1349" t="s">
        <v>2045</v>
      </c>
      <c r="D71" s="1349" t="s">
        <v>2046</v>
      </c>
      <c r="E71" s="741" t="s">
        <v>2047</v>
      </c>
      <c r="F71" s="2128" t="s">
        <v>2062</v>
      </c>
      <c r="G71" s="1349" t="s">
        <v>310</v>
      </c>
      <c r="H71" s="2129" t="s">
        <v>2049</v>
      </c>
      <c r="I71" s="1349" t="s">
        <v>2050</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2.8">
      <c r="A72" s="2127" t="s">
        <v>2065</v>
      </c>
      <c r="B72" s="2130"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64">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52.8">
      <c r="A73" s="2127" t="s">
        <v>2052</v>
      </c>
      <c r="B73" s="2131" t="str">
        <f>估价对象房地状况!C18</f>
        <v>估价对象周边道路状况、公共交通通达情况、停车便捷程度，综合评价交通便捷度较好</v>
      </c>
      <c r="C73" s="2042"/>
      <c r="D73" s="1063">
        <f t="shared" si="18"/>
        <v>0</v>
      </c>
      <c r="E73" s="745"/>
      <c r="F73" s="1812"/>
      <c r="G73" s="1061"/>
      <c r="H73" s="1064" t="str">
        <f t="shared" si="19"/>
        <v>——</v>
      </c>
      <c r="I73" s="3364">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48">
      <c r="A74" s="3366" t="s">
        <v>3269</v>
      </c>
      <c r="B74" s="2131">
        <f>估价对象房地状况!C19</f>
        <v>0</v>
      </c>
      <c r="C74" s="2042"/>
      <c r="D74" s="1063">
        <f t="shared" si="18"/>
        <v>0</v>
      </c>
      <c r="E74" s="745"/>
      <c r="F74" s="1812"/>
      <c r="G74" s="1061"/>
      <c r="H74" s="1064" t="str">
        <f t="shared" si="19"/>
        <v>——</v>
      </c>
      <c r="I74" s="3364">
        <v>0.1</v>
      </c>
      <c r="J74" s="1062">
        <f t="shared" si="20"/>
        <v>0</v>
      </c>
      <c r="K74" s="1062">
        <f t="shared" si="21"/>
        <v>0</v>
      </c>
      <c r="L74" s="1062">
        <v>0</v>
      </c>
      <c r="M74" s="1062">
        <f t="shared" si="22"/>
        <v>0</v>
      </c>
      <c r="N74" s="1062">
        <f t="shared" si="22"/>
        <v>0</v>
      </c>
      <c r="O74" s="1117"/>
      <c r="P74" s="1117"/>
      <c r="Q74" s="1117"/>
      <c r="AA74" s="2138"/>
      <c r="AB74" s="1118"/>
      <c r="AC74" s="1118"/>
      <c r="AD74" s="1118"/>
      <c r="AE74" s="1118"/>
      <c r="AF74" s="1118"/>
      <c r="AG74" s="1118"/>
      <c r="AH74" s="2138"/>
      <c r="AI74" s="2138"/>
      <c r="AJ74" s="2138"/>
      <c r="AK74" s="2138"/>
    </row>
    <row r="75" spans="1:37" ht="13.8">
      <c r="A75" s="2127" t="s">
        <v>2066</v>
      </c>
      <c r="B75" s="2131">
        <f>估价对象房地状况!C24</f>
        <v>0</v>
      </c>
      <c r="C75" s="2042"/>
      <c r="D75" s="1063">
        <f t="shared" si="18"/>
        <v>0</v>
      </c>
      <c r="E75" s="745"/>
      <c r="F75" s="1812"/>
      <c r="G75" s="1061"/>
      <c r="H75" s="1064" t="str">
        <f t="shared" si="19"/>
        <v>——</v>
      </c>
      <c r="I75" s="3364">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6.4">
      <c r="A76" s="2127" t="s">
        <v>2058</v>
      </c>
      <c r="B76" s="1324" t="str">
        <f>估价对象房地状况!C21</f>
        <v>估价对象所在区域公共配套设施齐备情况</v>
      </c>
      <c r="C76" s="2042"/>
      <c r="D76" s="1063">
        <f t="shared" si="18"/>
        <v>0</v>
      </c>
      <c r="E76" s="745"/>
      <c r="F76" s="1812"/>
      <c r="G76" s="1061"/>
      <c r="H76" s="1064" t="str">
        <f t="shared" si="19"/>
        <v>——</v>
      </c>
      <c r="I76" s="3364">
        <v>0.08</v>
      </c>
      <c r="J76" s="1062">
        <f t="shared" si="20"/>
        <v>0</v>
      </c>
      <c r="K76" s="1062">
        <f t="shared" si="21"/>
        <v>0</v>
      </c>
      <c r="L76" s="1062">
        <v>0</v>
      </c>
      <c r="M76" s="1062">
        <f t="shared" si="22"/>
        <v>0</v>
      </c>
      <c r="N76" s="1062">
        <f t="shared" si="22"/>
        <v>0</v>
      </c>
      <c r="O76" s="1117"/>
      <c r="P76" s="1117"/>
      <c r="Z76" s="1996"/>
      <c r="AA76" s="2051"/>
      <c r="AG76" s="1119"/>
      <c r="AK76" s="2051"/>
    </row>
    <row r="77" spans="1:37" ht="26.4">
      <c r="A77" s="2127" t="s">
        <v>2059</v>
      </c>
      <c r="B77" s="1324" t="str">
        <f>估价对象房地状况!C22</f>
        <v>估价对象所在区域基础设施水平</v>
      </c>
      <c r="C77" s="2042"/>
      <c r="D77" s="1063">
        <f t="shared" si="18"/>
        <v>0</v>
      </c>
      <c r="E77" s="745"/>
      <c r="F77" s="1812"/>
      <c r="G77" s="1061"/>
      <c r="H77" s="1064" t="str">
        <f t="shared" si="19"/>
        <v>——</v>
      </c>
      <c r="I77" s="3364">
        <v>0.09</v>
      </c>
      <c r="J77" s="1062">
        <f t="shared" si="20"/>
        <v>0</v>
      </c>
      <c r="K77" s="1062">
        <f t="shared" si="21"/>
        <v>0</v>
      </c>
      <c r="L77" s="1062">
        <v>0</v>
      </c>
      <c r="M77" s="1062">
        <f t="shared" si="22"/>
        <v>0</v>
      </c>
      <c r="N77" s="1062">
        <f t="shared" si="22"/>
        <v>0</v>
      </c>
      <c r="O77" s="1117"/>
      <c r="P77" s="1117"/>
      <c r="Z77" s="1996"/>
      <c r="AA77" s="2051"/>
      <c r="AG77" s="1119"/>
      <c r="AK77" s="2051"/>
    </row>
    <row r="78" spans="1:37" ht="36">
      <c r="A78" s="2127" t="s">
        <v>2056</v>
      </c>
      <c r="B78" s="2133" t="s">
        <v>2057</v>
      </c>
      <c r="C78" s="2042"/>
      <c r="D78" s="1063">
        <f t="shared" si="18"/>
        <v>0</v>
      </c>
      <c r="E78" s="745"/>
      <c r="F78" s="1812"/>
      <c r="G78" s="1061"/>
      <c r="H78" s="1064" t="str">
        <f t="shared" si="19"/>
        <v>——</v>
      </c>
      <c r="I78" s="3364">
        <v>0.05</v>
      </c>
      <c r="J78" s="1062">
        <f t="shared" si="20"/>
        <v>0</v>
      </c>
      <c r="K78" s="1062">
        <f t="shared" si="21"/>
        <v>0</v>
      </c>
      <c r="L78" s="1062">
        <v>0</v>
      </c>
      <c r="M78" s="1062">
        <f t="shared" si="22"/>
        <v>0</v>
      </c>
      <c r="N78" s="1062">
        <f t="shared" si="22"/>
        <v>0</v>
      </c>
      <c r="O78" s="1995"/>
      <c r="P78" s="1995"/>
      <c r="Z78" s="1996"/>
      <c r="AA78" s="2051"/>
      <c r="AG78" s="1119"/>
      <c r="AK78" s="2051"/>
    </row>
    <row r="79" spans="1:37" ht="39.6">
      <c r="A79" s="2127" t="s">
        <v>2060</v>
      </c>
      <c r="B79" s="2130" t="str">
        <f>估价对象房地状况!C20</f>
        <v>区域自然环境：；人文环境；综合评价环境状况一般</v>
      </c>
      <c r="C79" s="2042"/>
      <c r="D79" s="1063">
        <f t="shared" si="18"/>
        <v>0</v>
      </c>
      <c r="E79" s="745"/>
      <c r="F79" s="1812"/>
      <c r="G79" s="1061"/>
      <c r="H79" s="1064" t="str">
        <f t="shared" si="19"/>
        <v>——</v>
      </c>
      <c r="I79" s="3364">
        <v>0.12</v>
      </c>
      <c r="J79" s="1062">
        <f t="shared" si="20"/>
        <v>0</v>
      </c>
      <c r="K79" s="1062">
        <f t="shared" si="21"/>
        <v>0</v>
      </c>
      <c r="L79" s="1062">
        <v>0</v>
      </c>
      <c r="M79" s="1062">
        <f t="shared" si="22"/>
        <v>0</v>
      </c>
      <c r="N79" s="1062">
        <f t="shared" si="22"/>
        <v>0</v>
      </c>
      <c r="Z79" s="1996"/>
      <c r="AA79" s="2051"/>
      <c r="AG79" s="1119"/>
      <c r="AK79" s="2051"/>
    </row>
    <row r="80" spans="1:37" ht="36.6" thickBot="1">
      <c r="A80" s="2135" t="s">
        <v>2067</v>
      </c>
      <c r="B80" s="2139"/>
      <c r="C80" s="2042"/>
      <c r="D80" s="1063">
        <f t="shared" si="18"/>
        <v>0</v>
      </c>
      <c r="E80" s="746"/>
      <c r="F80" s="1812"/>
      <c r="G80" s="1061"/>
      <c r="H80" s="1064" t="str">
        <f t="shared" si="19"/>
        <v>——</v>
      </c>
      <c r="I80" s="3365">
        <v>0.05</v>
      </c>
      <c r="J80" s="1062">
        <f t="shared" si="20"/>
        <v>0</v>
      </c>
      <c r="K80" s="1062">
        <f t="shared" si="21"/>
        <v>0</v>
      </c>
      <c r="L80" s="1062">
        <v>0</v>
      </c>
      <c r="M80" s="1062">
        <f t="shared" si="22"/>
        <v>0</v>
      </c>
      <c r="N80" s="1062">
        <f t="shared" si="22"/>
        <v>0</v>
      </c>
      <c r="Z80" s="1996"/>
      <c r="AA80" s="2051"/>
      <c r="AG80" s="1119"/>
      <c r="AK80" s="2051"/>
    </row>
    <row r="81" spans="1:37" ht="14.4">
      <c r="A81" s="2123" t="s">
        <v>2068</v>
      </c>
      <c r="B81" s="2124">
        <f>1+E83</f>
        <v>1</v>
      </c>
      <c r="C81" s="739"/>
      <c r="D81" s="739"/>
      <c r="E81" s="740"/>
      <c r="F81" s="2126"/>
      <c r="G81" s="3"/>
      <c r="H81" s="3"/>
      <c r="I81" s="3"/>
      <c r="J81" s="4"/>
      <c r="K81" s="4"/>
      <c r="L81" s="4"/>
      <c r="M81" s="4"/>
      <c r="N81" s="4"/>
      <c r="Z81" s="1996"/>
      <c r="AA81" s="2051"/>
      <c r="AG81" s="1119"/>
      <c r="AK81" s="2051"/>
    </row>
    <row r="82" spans="1:37" ht="25.2">
      <c r="A82" s="2127" t="s">
        <v>2043</v>
      </c>
      <c r="B82" s="1349"/>
      <c r="C82" s="1349" t="s">
        <v>2045</v>
      </c>
      <c r="D82" s="1349" t="s">
        <v>2046</v>
      </c>
      <c r="E82" s="741" t="s">
        <v>2047</v>
      </c>
      <c r="F82" s="2128" t="s">
        <v>2062</v>
      </c>
      <c r="G82" s="1349" t="s">
        <v>310</v>
      </c>
      <c r="H82" s="2129" t="s">
        <v>2049</v>
      </c>
      <c r="I82" s="1349" t="s">
        <v>2050</v>
      </c>
      <c r="J82" s="552" t="s">
        <v>1721</v>
      </c>
      <c r="K82" s="552" t="s">
        <v>1722</v>
      </c>
      <c r="L82" s="552" t="s">
        <v>1723</v>
      </c>
      <c r="M82" s="552" t="s">
        <v>1724</v>
      </c>
      <c r="N82" s="552" t="s">
        <v>1725</v>
      </c>
      <c r="Z82" s="1996"/>
      <c r="AA82" s="2051"/>
      <c r="AG82" s="1119"/>
      <c r="AK82" s="2051"/>
    </row>
    <row r="83" spans="1:37" ht="39.6">
      <c r="A83" s="2127" t="s">
        <v>2069</v>
      </c>
      <c r="B83" s="2131"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64">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52.8">
      <c r="A84" s="2127" t="s">
        <v>2052</v>
      </c>
      <c r="B84" s="2131" t="str">
        <f>估价对象房地状况!G16</f>
        <v>估价对象周边道路状况、公共交通通达情况、停车便捷程度，综合评价交通便捷度较好</v>
      </c>
      <c r="C84" s="2042"/>
      <c r="D84" s="1063">
        <f t="shared" si="23"/>
        <v>0</v>
      </c>
      <c r="E84" s="745"/>
      <c r="F84" s="1812"/>
      <c r="G84" s="1061"/>
      <c r="H84" s="1064" t="str">
        <f t="shared" si="24"/>
        <v>——</v>
      </c>
      <c r="I84" s="3364">
        <v>0.3</v>
      </c>
      <c r="J84" s="1062">
        <f t="shared" si="25"/>
        <v>0</v>
      </c>
      <c r="K84" s="1062">
        <f t="shared" si="26"/>
        <v>0</v>
      </c>
      <c r="L84" s="1062">
        <v>0</v>
      </c>
      <c r="M84" s="1062">
        <f t="shared" si="27"/>
        <v>0</v>
      </c>
      <c r="N84" s="1062">
        <f t="shared" si="27"/>
        <v>0</v>
      </c>
      <c r="Z84" s="1996"/>
      <c r="AA84" s="2051"/>
      <c r="AG84" s="1119"/>
      <c r="AK84" s="2051"/>
    </row>
    <row r="85" spans="1:37" ht="48">
      <c r="A85" s="3366" t="s">
        <v>3270</v>
      </c>
      <c r="B85" s="2131">
        <f>估价对象房地状况!G17</f>
        <v>0</v>
      </c>
      <c r="C85" s="2042"/>
      <c r="D85" s="1063">
        <f t="shared" si="23"/>
        <v>0</v>
      </c>
      <c r="E85" s="745"/>
      <c r="F85" s="1812"/>
      <c r="G85" s="1061"/>
      <c r="H85" s="1064" t="str">
        <f t="shared" si="24"/>
        <v>——</v>
      </c>
      <c r="I85" s="3364">
        <v>0.1</v>
      </c>
      <c r="J85" s="1062">
        <f t="shared" si="25"/>
        <v>0</v>
      </c>
      <c r="K85" s="1062">
        <f t="shared" si="26"/>
        <v>0</v>
      </c>
      <c r="L85" s="1062">
        <v>0</v>
      </c>
      <c r="M85" s="1062">
        <f t="shared" si="27"/>
        <v>0</v>
      </c>
      <c r="N85" s="1062">
        <f t="shared" si="27"/>
        <v>0</v>
      </c>
      <c r="Z85" s="1996"/>
      <c r="AA85" s="2051"/>
      <c r="AG85" s="1119"/>
      <c r="AK85" s="2051"/>
    </row>
    <row r="86" spans="1:37" ht="13.8">
      <c r="A86" s="2127" t="s">
        <v>2066</v>
      </c>
      <c r="B86" s="2131">
        <f>估价对象房地状况!G22</f>
        <v>0</v>
      </c>
      <c r="C86" s="2042"/>
      <c r="D86" s="1063">
        <f t="shared" si="23"/>
        <v>0</v>
      </c>
      <c r="E86" s="745"/>
      <c r="F86" s="1812"/>
      <c r="G86" s="1061"/>
      <c r="H86" s="1064" t="str">
        <f t="shared" si="24"/>
        <v>——</v>
      </c>
      <c r="I86" s="3364">
        <v>0.05</v>
      </c>
      <c r="J86" s="1062">
        <f t="shared" si="25"/>
        <v>0</v>
      </c>
      <c r="K86" s="1062">
        <f t="shared" si="26"/>
        <v>0</v>
      </c>
      <c r="L86" s="1062">
        <v>0</v>
      </c>
      <c r="M86" s="1062">
        <f t="shared" si="27"/>
        <v>0</v>
      </c>
      <c r="N86" s="1062">
        <f t="shared" si="27"/>
        <v>0</v>
      </c>
      <c r="Z86" s="1996"/>
      <c r="AA86" s="2051"/>
      <c r="AG86" s="1119"/>
      <c r="AK86" s="2051"/>
    </row>
    <row r="87" spans="1:37" ht="26.4">
      <c r="A87" s="2127" t="s">
        <v>2058</v>
      </c>
      <c r="B87" s="1324" t="str">
        <f>估价对象房地状况!G19</f>
        <v>估价对象所在区域公共配套设施齐备情况</v>
      </c>
      <c r="C87" s="2042"/>
      <c r="D87" s="1063">
        <f t="shared" si="23"/>
        <v>0</v>
      </c>
      <c r="E87" s="745"/>
      <c r="F87" s="1812"/>
      <c r="G87" s="1061"/>
      <c r="H87" s="1064" t="str">
        <f t="shared" si="24"/>
        <v>——</v>
      </c>
      <c r="I87" s="3364">
        <v>0.06</v>
      </c>
      <c r="J87" s="1062">
        <f t="shared" si="25"/>
        <v>0</v>
      </c>
      <c r="K87" s="1062">
        <f t="shared" si="26"/>
        <v>0</v>
      </c>
      <c r="L87" s="1062">
        <v>0</v>
      </c>
      <c r="M87" s="1062">
        <f t="shared" si="27"/>
        <v>0</v>
      </c>
      <c r="N87" s="1062">
        <f t="shared" si="27"/>
        <v>0</v>
      </c>
    </row>
    <row r="88" spans="1:37" ht="26.4">
      <c r="A88" s="2127" t="s">
        <v>2059</v>
      </c>
      <c r="B88" s="1324" t="str">
        <f>估价对象房地状况!G20</f>
        <v>估价对象所在区域基础设施水平</v>
      </c>
      <c r="C88" s="2042"/>
      <c r="D88" s="1063">
        <f t="shared" si="23"/>
        <v>0</v>
      </c>
      <c r="E88" s="745"/>
      <c r="F88" s="1812"/>
      <c r="G88" s="1061"/>
      <c r="H88" s="1064" t="str">
        <f t="shared" si="24"/>
        <v>——</v>
      </c>
      <c r="I88" s="3364">
        <v>0.12</v>
      </c>
      <c r="J88" s="1062">
        <f t="shared" si="25"/>
        <v>0</v>
      </c>
      <c r="K88" s="1062">
        <f t="shared" si="26"/>
        <v>0</v>
      </c>
      <c r="L88" s="1062">
        <v>0</v>
      </c>
      <c r="M88" s="1062">
        <f t="shared" si="27"/>
        <v>0</v>
      </c>
      <c r="N88" s="1062">
        <f t="shared" si="27"/>
        <v>0</v>
      </c>
    </row>
    <row r="89" spans="1:37" ht="36">
      <c r="A89" s="2127" t="s">
        <v>2056</v>
      </c>
      <c r="B89" s="2133" t="s">
        <v>2070</v>
      </c>
      <c r="C89" s="2042"/>
      <c r="D89" s="1063">
        <f t="shared" si="23"/>
        <v>0</v>
      </c>
      <c r="E89" s="745"/>
      <c r="F89" s="1812"/>
      <c r="G89" s="1061"/>
      <c r="H89" s="1064" t="str">
        <f t="shared" si="24"/>
        <v>——</v>
      </c>
      <c r="I89" s="3364">
        <v>0.06</v>
      </c>
      <c r="J89" s="1062">
        <f t="shared" si="25"/>
        <v>0</v>
      </c>
      <c r="K89" s="1062">
        <f t="shared" si="26"/>
        <v>0</v>
      </c>
      <c r="L89" s="1062">
        <v>0</v>
      </c>
      <c r="M89" s="1062">
        <f t="shared" si="27"/>
        <v>0</v>
      </c>
      <c r="N89" s="1062">
        <f t="shared" si="27"/>
        <v>0</v>
      </c>
    </row>
    <row r="90" spans="1:37" ht="40.200000000000003" thickBot="1">
      <c r="A90" s="2135" t="s">
        <v>2071</v>
      </c>
      <c r="B90" s="2140" t="str">
        <f>估价对象房地状况!G18</f>
        <v>该园区内是否有污染型企业，绿化情况，卫生条件，整体环境状况判断</v>
      </c>
      <c r="C90" s="2042"/>
      <c r="D90" s="1063">
        <f t="shared" si="23"/>
        <v>0</v>
      </c>
      <c r="E90" s="746"/>
      <c r="F90" s="1812"/>
      <c r="G90" s="1061"/>
      <c r="H90" s="1064" t="str">
        <f t="shared" si="24"/>
        <v>——</v>
      </c>
      <c r="I90" s="3365">
        <v>0.05</v>
      </c>
      <c r="J90" s="1062">
        <f t="shared" si="25"/>
        <v>0</v>
      </c>
      <c r="K90" s="1062">
        <f t="shared" si="26"/>
        <v>0</v>
      </c>
      <c r="L90" s="1062">
        <v>0</v>
      </c>
      <c r="M90" s="1062">
        <f t="shared" si="27"/>
        <v>0</v>
      </c>
      <c r="N90" s="1062">
        <f t="shared" si="27"/>
        <v>0</v>
      </c>
    </row>
    <row r="91" spans="1:37" ht="13.8">
      <c r="A91" s="3374" t="s">
        <v>2612</v>
      </c>
      <c r="B91" s="3375">
        <f>1+E93</f>
        <v>1</v>
      </c>
      <c r="C91" s="3368"/>
      <c r="D91" s="3369"/>
      <c r="E91" s="1812"/>
      <c r="F91" s="1812"/>
      <c r="G91" s="3370"/>
      <c r="H91" s="3371"/>
      <c r="I91" s="3372"/>
      <c r="J91" s="3373"/>
      <c r="K91" s="3373"/>
      <c r="L91" s="3373"/>
      <c r="M91" s="3373"/>
      <c r="N91" s="3373"/>
    </row>
    <row r="92" spans="1:37" ht="25.2">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52.8">
      <c r="A94" s="3376" t="s">
        <v>3273</v>
      </c>
      <c r="B94" s="3367" t="str">
        <f>估价对象房地状况!C18</f>
        <v>估价对象周边道路状况、公共交通通达情况、停车便捷程度，综合评价交通便捷度较好</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48">
      <c r="A95" s="3366" t="s">
        <v>3269</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7.200000000000003">
      <c r="A96" s="3376" t="s">
        <v>3274</v>
      </c>
      <c r="B96" s="3382" t="s">
        <v>3285</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3275</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36">
      <c r="A98" s="3376" t="s">
        <v>3276</v>
      </c>
      <c r="B98" s="3383" t="s">
        <v>3286</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6.4">
      <c r="A99" s="3376" t="s">
        <v>3277</v>
      </c>
      <c r="B99" s="3367" t="str">
        <f>估价对象房地状况!C21</f>
        <v>估价对象所在区域公共配套设施齐备情况</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6.4">
      <c r="A100" s="3376" t="s">
        <v>3278</v>
      </c>
      <c r="B100" s="3367" t="str">
        <f>估价对象房地状况!C22</f>
        <v>估价对象所在区域基础设施水平</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40.200000000000003" thickBot="1">
      <c r="A101" s="3377" t="s">
        <v>3279</v>
      </c>
      <c r="B101" s="3384" t="str">
        <f>估价对象房地状况!C20</f>
        <v>区域自然环境：；人文环境；综合评价环境状况一般</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681" t="s">
        <v>3294</v>
      </c>
      <c r="B103" s="3681"/>
      <c r="C103" s="3681"/>
      <c r="D103" s="3681"/>
      <c r="E103" s="3681"/>
      <c r="F103" s="3681"/>
      <c r="G103" s="3681"/>
      <c r="H103" s="3681"/>
      <c r="I103" s="3681"/>
      <c r="J103" s="3681"/>
      <c r="K103" s="3387"/>
      <c r="L103" s="3387"/>
      <c r="M103" s="3387"/>
      <c r="N103" s="3387"/>
    </row>
    <row r="104" spans="1:14">
      <c r="A104" s="3682" t="s">
        <v>3295</v>
      </c>
      <c r="B104" s="3682" t="s">
        <v>3296</v>
      </c>
      <c r="C104" s="3388" t="s">
        <v>3297</v>
      </c>
      <c r="D104" s="3389"/>
      <c r="E104" s="3389"/>
      <c r="F104" s="3389"/>
      <c r="G104" s="3389"/>
      <c r="H104" s="3389"/>
      <c r="I104" s="3389"/>
      <c r="J104" s="3390"/>
      <c r="K104" s="3391"/>
      <c r="L104" s="3391"/>
      <c r="M104" s="3391"/>
      <c r="N104" s="3391"/>
    </row>
    <row r="105" spans="1:14">
      <c r="A105" s="3682"/>
      <c r="B105" s="3682"/>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668"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6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6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6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6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69"/>
      <c r="B111" s="3392" t="s">
        <v>3268</v>
      </c>
      <c r="C111" s="3393">
        <f>$I$3</f>
        <v>3</v>
      </c>
      <c r="D111" s="3393">
        <f t="shared" ref="D111:M111" si="33">$I$3</f>
        <v>3</v>
      </c>
      <c r="E111" s="3393">
        <f t="shared" si="33"/>
        <v>3</v>
      </c>
      <c r="F111" s="3393">
        <f t="shared" si="33"/>
        <v>3</v>
      </c>
      <c r="G111" s="3393">
        <f t="shared" si="33"/>
        <v>3</v>
      </c>
      <c r="H111" s="3393">
        <f t="shared" si="33"/>
        <v>3</v>
      </c>
      <c r="I111" s="3393">
        <f t="shared" si="33"/>
        <v>3</v>
      </c>
      <c r="J111" s="3393">
        <f t="shared" si="33"/>
        <v>3</v>
      </c>
      <c r="K111" s="3393">
        <f t="shared" si="33"/>
        <v>3</v>
      </c>
      <c r="L111" s="3393">
        <f t="shared" si="33"/>
        <v>3</v>
      </c>
      <c r="M111" s="3393">
        <f t="shared" si="33"/>
        <v>3</v>
      </c>
      <c r="N111" s="3393">
        <f>$I$3</f>
        <v>3</v>
      </c>
    </row>
    <row r="112" spans="1:14">
      <c r="A112" s="3670"/>
      <c r="B112" s="3392">
        <v>6</v>
      </c>
      <c r="C112" s="3385">
        <f>(-0.5556*(C111^2)-0.2719*C111+8944)*(10^(-4))</f>
        <v>0.89381839000000007</v>
      </c>
      <c r="D112" s="3385">
        <f>(-0.5556*(D111^2)-0.2719*D111+8944)*(10^(-4))</f>
        <v>0.89381839000000007</v>
      </c>
      <c r="E112" s="3385">
        <f>(-0.7912*(E111^2)-11.3794*E111+8482)*(10^(-4))</f>
        <v>0.84407410000000005</v>
      </c>
      <c r="F112" s="3385">
        <f t="shared" ref="F112:I112" si="34">(-0.7912*(F111^2)-11.3794*F111+8482)*(10^(-4))</f>
        <v>0.84407410000000005</v>
      </c>
      <c r="G112" s="3385">
        <f t="shared" si="34"/>
        <v>0.84407410000000005</v>
      </c>
      <c r="H112" s="3385">
        <f t="shared" si="34"/>
        <v>0.84407410000000005</v>
      </c>
      <c r="I112" s="3385">
        <f t="shared" si="34"/>
        <v>0.84407410000000005</v>
      </c>
      <c r="J112" s="3385">
        <f>(-0.989*(J111^2)-63.78*J111+7771)*(10^(-4))</f>
        <v>0.75707590000000002</v>
      </c>
      <c r="K112" s="3385">
        <f t="shared" ref="K112:N112" si="35">(-0.989*(K111^2)-63.78*K111+7771)*(10^(-4))</f>
        <v>0.75707590000000002</v>
      </c>
      <c r="L112" s="3385">
        <f t="shared" si="35"/>
        <v>0.75707590000000002</v>
      </c>
      <c r="M112" s="3385">
        <f t="shared" si="35"/>
        <v>0.75707590000000002</v>
      </c>
      <c r="N112" s="3385">
        <f t="shared" si="35"/>
        <v>0.75707590000000002</v>
      </c>
    </row>
    <row r="113" spans="1:14">
      <c r="A113" s="3671" t="s">
        <v>3311</v>
      </c>
      <c r="B113" s="3671"/>
      <c r="C113" s="3671"/>
      <c r="D113" s="3671"/>
      <c r="E113" s="3671"/>
      <c r="F113" s="3671"/>
      <c r="G113" s="3671"/>
      <c r="H113" s="3671"/>
      <c r="I113" s="3671"/>
      <c r="J113" s="367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3312</v>
      </c>
      <c r="B116" s="3413">
        <f>G3</f>
        <v>1.1000000000000001</v>
      </c>
      <c r="C116" s="3397" t="s">
        <v>3313</v>
      </c>
      <c r="D116" s="3398">
        <f>SUMPRODUCT((A118:A122=F116)*(B117:M117=H116)*B118:M122)</f>
        <v>0.93359999999999999</v>
      </c>
      <c r="E116" s="1998" t="s">
        <v>3314</v>
      </c>
      <c r="F116" s="3399" t="str">
        <f>E2</f>
        <v>商业</v>
      </c>
      <c r="G116" s="1998" t="s">
        <v>3315</v>
      </c>
      <c r="H116" s="3399" t="str">
        <f>G2</f>
        <v>五级</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0.98470000000000002</v>
      </c>
      <c r="C118" s="3385">
        <f>B118</f>
        <v>0.98470000000000002</v>
      </c>
      <c r="D118" s="3385">
        <f>ROUND(0.949-0.014*B116,4)</f>
        <v>0.93359999999999999</v>
      </c>
      <c r="E118" s="3385">
        <f>D118</f>
        <v>0.93359999999999999</v>
      </c>
      <c r="F118" s="3385">
        <f>E118</f>
        <v>0.93359999999999999</v>
      </c>
      <c r="G118" s="3385">
        <f>F118</f>
        <v>0.93359999999999999</v>
      </c>
      <c r="H118" s="3385">
        <f>G118</f>
        <v>0.93359999999999999</v>
      </c>
      <c r="I118" s="3385">
        <f>ROUND(0.8486-0.018*B116,4)</f>
        <v>0.82879999999999998</v>
      </c>
      <c r="J118" s="3385">
        <f t="shared" ref="J118:M122" si="36">I118</f>
        <v>0.82879999999999998</v>
      </c>
      <c r="K118" s="3385">
        <f t="shared" si="36"/>
        <v>0.82879999999999998</v>
      </c>
      <c r="L118" s="3385">
        <f t="shared" si="36"/>
        <v>0.82879999999999998</v>
      </c>
      <c r="M118" s="3408">
        <f t="shared" si="36"/>
        <v>0.82879999999999998</v>
      </c>
      <c r="N118" s="3395"/>
    </row>
    <row r="119" spans="1:14">
      <c r="A119" s="3407" t="s">
        <v>3329</v>
      </c>
      <c r="B119" s="3385">
        <f>ROUND(0.993-0.0112*B116,4)</f>
        <v>0.98070000000000002</v>
      </c>
      <c r="C119" s="3385">
        <f>B119</f>
        <v>0.98070000000000002</v>
      </c>
      <c r="D119" s="3385">
        <f>ROUND(0.9415-0.0142*B116,4)</f>
        <v>0.92589999999999995</v>
      </c>
      <c r="E119" s="3385">
        <f t="shared" ref="E119:H120" si="37">D119</f>
        <v>0.92589999999999995</v>
      </c>
      <c r="F119" s="3385">
        <f t="shared" si="37"/>
        <v>0.92589999999999995</v>
      </c>
      <c r="G119" s="3385">
        <f t="shared" si="37"/>
        <v>0.92589999999999995</v>
      </c>
      <c r="H119" s="3385">
        <f t="shared" si="37"/>
        <v>0.92589999999999995</v>
      </c>
      <c r="I119" s="3385">
        <f>ROUND(0.838-0.0182*B116,4)</f>
        <v>0.81799999999999995</v>
      </c>
      <c r="J119" s="3385">
        <f t="shared" si="36"/>
        <v>0.81799999999999995</v>
      </c>
      <c r="K119" s="3385">
        <f t="shared" si="36"/>
        <v>0.81799999999999995</v>
      </c>
      <c r="L119" s="3385">
        <f t="shared" si="36"/>
        <v>0.81799999999999995</v>
      </c>
      <c r="M119" s="3408">
        <f t="shared" si="36"/>
        <v>0.81799999999999995</v>
      </c>
      <c r="N119" s="3395"/>
    </row>
    <row r="120" spans="1:14">
      <c r="A120" s="3407" t="s">
        <v>3330</v>
      </c>
      <c r="B120" s="3385">
        <f>ROUND(0.9448-0.0115*B116,4)</f>
        <v>0.93220000000000003</v>
      </c>
      <c r="C120" s="3385">
        <f>B120</f>
        <v>0.93220000000000003</v>
      </c>
      <c r="D120" s="3385">
        <f>ROUND(0.937-0.0145*B116,4)</f>
        <v>0.92110000000000003</v>
      </c>
      <c r="E120" s="3385">
        <f t="shared" si="37"/>
        <v>0.92110000000000003</v>
      </c>
      <c r="F120" s="3385">
        <f t="shared" si="37"/>
        <v>0.92110000000000003</v>
      </c>
      <c r="G120" s="3385">
        <f t="shared" si="37"/>
        <v>0.92110000000000003</v>
      </c>
      <c r="H120" s="3385">
        <f t="shared" si="37"/>
        <v>0.92110000000000003</v>
      </c>
      <c r="I120" s="3385">
        <f>ROUND(0.7965-0.0185*B116,4)</f>
        <v>0.7762</v>
      </c>
      <c r="J120" s="3385">
        <f t="shared" si="36"/>
        <v>0.7762</v>
      </c>
      <c r="K120" s="3385">
        <f t="shared" si="36"/>
        <v>0.7762</v>
      </c>
      <c r="L120" s="3385">
        <f t="shared" si="36"/>
        <v>0.7762</v>
      </c>
      <c r="M120" s="3408">
        <f t="shared" si="36"/>
        <v>0.7762</v>
      </c>
      <c r="N120" s="3395"/>
    </row>
    <row r="121" spans="1:14" ht="13.8" thickBot="1">
      <c r="A121" s="3409" t="s">
        <v>3331</v>
      </c>
      <c r="B121" s="3410">
        <f>ROUND(0.7836-0.012*B116,4)</f>
        <v>0.77039999999999997</v>
      </c>
      <c r="C121" s="3410">
        <f>B121</f>
        <v>0.77039999999999997</v>
      </c>
      <c r="D121" s="3410">
        <f>ROUND(0.753-0.015*B116,4)</f>
        <v>0.73650000000000004</v>
      </c>
      <c r="E121" s="3410">
        <f>D121</f>
        <v>0.73650000000000004</v>
      </c>
      <c r="F121" s="3410">
        <f>E121</f>
        <v>0.73650000000000004</v>
      </c>
      <c r="G121" s="3410">
        <f>ROUND(0.6612-0.018*B116,4)</f>
        <v>0.64139999999999997</v>
      </c>
      <c r="H121" s="3410">
        <f>G121</f>
        <v>0.64139999999999997</v>
      </c>
      <c r="I121" s="3410">
        <f>ROUND(0.5905-0.019*B116,4)</f>
        <v>0.5696</v>
      </c>
      <c r="J121" s="3410">
        <f t="shared" si="36"/>
        <v>0.5696</v>
      </c>
      <c r="K121" s="3410">
        <f t="shared" si="36"/>
        <v>0.5696</v>
      </c>
      <c r="L121" s="3410">
        <f t="shared" si="36"/>
        <v>0.5696</v>
      </c>
      <c r="M121" s="3411">
        <f t="shared" si="36"/>
        <v>0.5696</v>
      </c>
      <c r="N121" s="3395"/>
    </row>
    <row r="122" spans="1:14">
      <c r="A122" s="3412" t="s">
        <v>2612</v>
      </c>
      <c r="B122" s="3385">
        <f>ROUND(0.9404-0.0106*B116,4)</f>
        <v>0.92869999999999997</v>
      </c>
      <c r="C122" s="3385">
        <f>B122</f>
        <v>0.92869999999999997</v>
      </c>
      <c r="D122" s="3385">
        <f>ROUND(0.8955-0.0135*B116,4)</f>
        <v>0.88070000000000004</v>
      </c>
      <c r="E122" s="3385">
        <f t="shared" ref="E122:H122" si="38">D122</f>
        <v>0.88070000000000004</v>
      </c>
      <c r="F122" s="3385">
        <f t="shared" si="38"/>
        <v>0.88070000000000004</v>
      </c>
      <c r="G122" s="3385">
        <f t="shared" si="38"/>
        <v>0.88070000000000004</v>
      </c>
      <c r="H122" s="3385">
        <f t="shared" si="38"/>
        <v>0.88070000000000004</v>
      </c>
      <c r="I122" s="3385">
        <f>ROUND(0.7632-0.0166*B116,4)</f>
        <v>0.74490000000000001</v>
      </c>
      <c r="J122" s="3385">
        <f t="shared" si="36"/>
        <v>0.74490000000000001</v>
      </c>
      <c r="K122" s="3385">
        <f t="shared" si="36"/>
        <v>0.74490000000000001</v>
      </c>
      <c r="L122" s="3385">
        <f t="shared" si="36"/>
        <v>0.74490000000000001</v>
      </c>
      <c r="M122" s="3408">
        <f t="shared" si="36"/>
        <v>0.74490000000000001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Normal="70" zoomScaleSheetLayoutView="100" workbookViewId="0">
      <selection activeCell="I53" sqref="I53"/>
    </sheetView>
  </sheetViews>
  <sheetFormatPr defaultColWidth="9" defaultRowHeight="13.2"/>
  <cols>
    <col min="1" max="1" width="9" style="258" customWidth="1"/>
    <col min="2" max="2" width="20.6640625" style="653" customWidth="1"/>
    <col min="3" max="3" width="11.88671875" style="653"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1"/>
      <c r="C1" s="1377" t="s">
        <v>673</v>
      </c>
      <c r="D1" s="1360" t="s">
        <v>43</v>
      </c>
      <c r="E1" s="1361" t="s">
        <v>678</v>
      </c>
      <c r="F1" s="1060">
        <f ca="1">J53</f>
        <v>21</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f ca="1">ROUND(D2/10000,4)</f>
        <v>367.52609999999999</v>
      </c>
      <c r="C2" s="1385" t="s">
        <v>879</v>
      </c>
      <c r="D2" s="1469">
        <f ca="1">C40+J29+L46</f>
        <v>3675261</v>
      </c>
      <c r="E2" s="1386" t="s">
        <v>880</v>
      </c>
      <c r="F2" s="1387"/>
      <c r="G2" s="2703"/>
      <c r="H2" s="2692"/>
      <c r="I2" s="2692"/>
      <c r="J2" s="2692"/>
      <c r="K2" s="2693"/>
      <c r="L2" s="2692"/>
      <c r="M2" s="2692"/>
    </row>
    <row r="3" spans="1:37" ht="18" customHeight="1" thickBot="1">
      <c r="A3" s="1388" t="s">
        <v>881</v>
      </c>
      <c r="B3" s="1389">
        <f ca="1">IF(ISERROR(D2/F43),0,ROUND(D2/F43,0))</f>
        <v>28860</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257080</v>
      </c>
      <c r="D5" s="1362" t="s">
        <v>889</v>
      </c>
      <c r="E5" s="1069"/>
      <c r="F5" s="1070"/>
      <c r="G5" s="1382"/>
      <c r="H5" s="299">
        <v>1</v>
      </c>
      <c r="I5" s="300" t="s">
        <v>888</v>
      </c>
      <c r="J5" s="1068">
        <f ca="1">J6+J10+J12</f>
        <v>0</v>
      </c>
      <c r="K5" s="1362" t="s">
        <v>889</v>
      </c>
      <c r="L5" s="1069"/>
      <c r="M5" s="1070"/>
    </row>
    <row r="6" spans="1:37" ht="18" customHeight="1">
      <c r="A6" s="1067" t="s">
        <v>398</v>
      </c>
      <c r="B6" s="3665" t="s">
        <v>694</v>
      </c>
      <c r="C6" s="1072">
        <f ca="1">ROUND(F6*F8*F7*(1-F9),0)</f>
        <v>256120</v>
      </c>
      <c r="D6" s="155" t="s">
        <v>2105</v>
      </c>
      <c r="E6" s="302" t="s">
        <v>696</v>
      </c>
      <c r="F6" s="303">
        <f ca="1">INDIRECT("'数据-取费表'!u"&amp;$G$1)</f>
        <v>5.8</v>
      </c>
      <c r="G6" s="1382"/>
      <c r="H6" s="1067" t="s">
        <v>398</v>
      </c>
      <c r="I6" s="3665" t="s">
        <v>694</v>
      </c>
      <c r="J6" s="301">
        <f ca="1">ROUND(M6*M8*M7*(1-M9),0)</f>
        <v>0</v>
      </c>
      <c r="K6" s="1374" t="s">
        <v>2106</v>
      </c>
      <c r="L6" s="302" t="s">
        <v>696</v>
      </c>
      <c r="M6" s="303">
        <f ca="1">INDIRECT("'数据-取费表'!z"&amp;$G$1)</f>
        <v>0</v>
      </c>
    </row>
    <row r="7" spans="1:37" ht="18" customHeight="1">
      <c r="A7" s="1071"/>
      <c r="B7" s="3666"/>
      <c r="C7" s="1073"/>
      <c r="D7" s="307"/>
      <c r="E7" s="1074" t="s">
        <v>697</v>
      </c>
      <c r="F7" s="303">
        <f ca="1">IF(INDIRECT("'数据-取费表'!ah"&amp;$G$1)="",INDIRECT("'数据-取费表'!k"&amp;$G$1),INDIRECT("'数据-取费表'!ah"&amp;$G$1))</f>
        <v>127.35</v>
      </c>
      <c r="G7" s="1382"/>
      <c r="H7" s="304"/>
      <c r="I7" s="3666"/>
      <c r="J7" s="306"/>
      <c r="K7" s="307"/>
      <c r="L7" s="302" t="s">
        <v>697</v>
      </c>
      <c r="M7" s="303">
        <f ca="1">F7</f>
        <v>127.35</v>
      </c>
    </row>
    <row r="8" spans="1:37" ht="18" customHeight="1">
      <c r="A8" s="304"/>
      <c r="B8" s="3666"/>
      <c r="C8" s="306"/>
      <c r="D8" s="307"/>
      <c r="E8" s="302" t="s">
        <v>698</v>
      </c>
      <c r="F8" s="303">
        <f ca="1">INDIRECT("'数据-取费表'!ai"&amp;$G$1)</f>
        <v>365</v>
      </c>
      <c r="G8" s="1382"/>
      <c r="H8" s="304"/>
      <c r="I8" s="3666"/>
      <c r="J8" s="306"/>
      <c r="K8" s="307"/>
      <c r="L8" s="302" t="s">
        <v>698</v>
      </c>
      <c r="M8" s="303">
        <f ca="1">INDIRECT("'数据-取费表'!ai"&amp;$G$1)</f>
        <v>365</v>
      </c>
    </row>
    <row r="9" spans="1:37" ht="18" customHeight="1">
      <c r="A9" s="304"/>
      <c r="B9" s="3667"/>
      <c r="C9" s="306"/>
      <c r="D9" s="307"/>
      <c r="E9" s="302" t="s">
        <v>699</v>
      </c>
      <c r="F9" s="312">
        <f ca="1">INDIRECT("'数据-取费表'!w"&amp;$G$1)</f>
        <v>0.05</v>
      </c>
      <c r="G9" s="1382"/>
      <c r="H9" s="304"/>
      <c r="I9" s="3667"/>
      <c r="J9" s="306"/>
      <c r="K9" s="307"/>
      <c r="L9" s="313" t="s">
        <v>699</v>
      </c>
      <c r="M9" s="314">
        <f ca="1">INDIRECT("'数据-取费表'!ab"&amp;$G$1)</f>
        <v>0</v>
      </c>
    </row>
    <row r="10" spans="1:37" ht="18" customHeight="1">
      <c r="A10" s="1067" t="s">
        <v>402</v>
      </c>
      <c r="B10" s="1363" t="s">
        <v>700</v>
      </c>
      <c r="C10" s="316">
        <f ca="1">ROUND(IF(F10="押一",C6/12*F11,IF(F10="押二",C6/12*2*F11,IF(F10="押三",C6/12*3*F11,C11*F11))),0)</f>
        <v>960</v>
      </c>
      <c r="D10" s="1364" t="s">
        <v>2115</v>
      </c>
      <c r="E10" s="313" t="s">
        <v>701</v>
      </c>
      <c r="F10" s="1114" t="s">
        <v>3493</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735218</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611280</v>
      </c>
      <c r="D14" s="1343" t="s">
        <v>708</v>
      </c>
      <c r="E14" s="1340"/>
      <c r="F14" s="319"/>
      <c r="G14" s="1382"/>
      <c r="H14" s="980" t="s">
        <v>398</v>
      </c>
      <c r="I14" s="302" t="s">
        <v>709</v>
      </c>
      <c r="J14" s="21">
        <f ca="1">C29</f>
        <v>954829</v>
      </c>
      <c r="K14" s="12"/>
      <c r="L14" s="805"/>
      <c r="M14" s="806"/>
    </row>
    <row r="15" spans="1:37" s="1395" customFormat="1" ht="18" customHeight="1" thickBot="1">
      <c r="A15" s="980" t="s">
        <v>399</v>
      </c>
      <c r="B15" s="302" t="s">
        <v>710</v>
      </c>
      <c r="C15" s="21">
        <f ca="1">ROUND(C14*F15,0)</f>
        <v>18338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955</v>
      </c>
      <c r="K16" s="1085" t="s">
        <v>715</v>
      </c>
      <c r="L16" s="1086"/>
      <c r="M16" s="1070"/>
    </row>
    <row r="17" spans="1:37" s="1395" customFormat="1" ht="18" customHeight="1">
      <c r="A17" s="980" t="s">
        <v>681</v>
      </c>
      <c r="B17" s="302" t="s">
        <v>716</v>
      </c>
      <c r="C17" s="21">
        <f ca="1">ROUND(F17*(F43+INDIRECT("'数据-取费表'!S"&amp;$G$1)),0)</f>
        <v>25470</v>
      </c>
      <c r="D17" s="302" t="s">
        <v>717</v>
      </c>
      <c r="E17" s="302" t="s">
        <v>718</v>
      </c>
      <c r="F17" s="23">
        <f>'数据-取费表'!B35</f>
        <v>200</v>
      </c>
      <c r="G17" s="1394"/>
      <c r="H17" s="980" t="s">
        <v>398</v>
      </c>
      <c r="I17" s="302" t="s">
        <v>719</v>
      </c>
      <c r="J17" s="2313">
        <f ca="1">ROUND(IF(AND(项目基本情况!B11="自然人",项目基本情况!B10="北京市"),J6*M17/(1+'数据-取费表'!C42),J18+J19+J20),0)</f>
        <v>0</v>
      </c>
      <c r="K17" s="1343" t="s">
        <v>720</v>
      </c>
      <c r="L17" s="1342" t="s">
        <v>721</v>
      </c>
      <c r="M17" s="2312">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9169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664257</v>
      </c>
      <c r="D19" s="131" t="s">
        <v>726</v>
      </c>
      <c r="E19" s="1358"/>
      <c r="F19" s="23"/>
      <c r="G19" s="1382"/>
      <c r="H19" s="980"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0" t="s">
        <v>402</v>
      </c>
      <c r="B20" s="302" t="s">
        <v>728</v>
      </c>
      <c r="C20" s="21">
        <f ca="1">ROUND(C19*F20,0)</f>
        <v>13285</v>
      </c>
      <c r="D20" s="323" t="s">
        <v>729</v>
      </c>
      <c r="E20" s="302" t="s">
        <v>712</v>
      </c>
      <c r="F20" s="322">
        <f>'数据-取费表'!B37</f>
        <v>0.02</v>
      </c>
      <c r="G20" s="1394"/>
      <c r="H20" s="980" t="s">
        <v>680</v>
      </c>
      <c r="I20" s="155" t="s">
        <v>730</v>
      </c>
      <c r="J20" s="22">
        <f ca="1">ROUND(M20*M21,0)</f>
        <v>0</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955</v>
      </c>
      <c r="K22" s="1342" t="s">
        <v>739</v>
      </c>
      <c r="L22" s="302" t="s">
        <v>712</v>
      </c>
      <c r="M22" s="328">
        <f ca="1">INDIRECT("'数据-取费表'!Ak"&amp;$G$1)</f>
        <v>1E-3</v>
      </c>
    </row>
    <row r="23" spans="1:37" s="1395" customFormat="1" ht="18" customHeight="1">
      <c r="A23" s="980" t="s">
        <v>397</v>
      </c>
      <c r="B23" s="302" t="s">
        <v>740</v>
      </c>
      <c r="C23" s="21">
        <f ca="1">IF('数据-取费表'!B22&lt;=1,ROUND(C19*F24*F23/2,0)+ROUND(C20*F24*F23/2,0),ROUND(C19*(POWER((1+F24),F23/2)-1),0)+ROUND(C20*(POWER((1+F24),F23/2)-1),0))</f>
        <v>32183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-955</v>
      </c>
      <c r="K25" s="1093" t="s">
        <v>753</v>
      </c>
      <c r="L25" s="1094"/>
      <c r="M25" s="1095"/>
    </row>
    <row r="26" spans="1:37" ht="18" customHeight="1">
      <c r="A26" s="980" t="s">
        <v>397</v>
      </c>
      <c r="B26" s="302" t="s">
        <v>754</v>
      </c>
      <c r="C26" s="21">
        <f ca="1">ROUND((C19+C20)*F26,0)</f>
        <v>169386</v>
      </c>
      <c r="D26" s="323" t="s">
        <v>755</v>
      </c>
      <c r="E26" s="313" t="s">
        <v>756</v>
      </c>
      <c r="F26" s="312">
        <f ca="1">INDIRECT("'数据-取费表'!q"&amp;$G$1)</f>
        <v>0.25</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5.0000000000000001E-3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954829</v>
      </c>
      <c r="D29" s="1090"/>
      <c r="E29" s="1088"/>
      <c r="F29" s="1091"/>
      <c r="G29" s="1394"/>
      <c r="H29" s="334" t="s">
        <v>396</v>
      </c>
      <c r="I29" s="335" t="s">
        <v>768</v>
      </c>
      <c r="J29" s="336">
        <f ca="1">ROUND(J26/(1+F40)^F41,0)</f>
        <v>0</v>
      </c>
      <c r="K29" s="337" t="s">
        <v>769</v>
      </c>
      <c r="L29" s="338"/>
      <c r="M29" s="339">
        <f ca="1">INDIRECT("'数据-取费表'!k"&amp;$G$1)</f>
        <v>127.35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21336</v>
      </c>
      <c r="D30" s="1085" t="s">
        <v>715</v>
      </c>
      <c r="E30" s="1086"/>
      <c r="F30" s="1070"/>
      <c r="G30" s="1382"/>
      <c r="H30" s="2694"/>
      <c r="I30" s="1396"/>
      <c r="J30" s="1397"/>
      <c r="K30" s="2472"/>
      <c r="L30" s="2695"/>
      <c r="M30" s="2696"/>
    </row>
    <row r="31" spans="1:37" ht="18" customHeight="1">
      <c r="A31" s="980" t="s">
        <v>398</v>
      </c>
      <c r="B31" s="302" t="s">
        <v>719</v>
      </c>
      <c r="C31" s="2313">
        <f ca="1">ROUND(IF(AND(项目基本情况!B11="自然人",项目基本情况!B10="北京市"),C6*F31/(1+'数据-取费表'!C42),C32+C33+C34),0)</f>
        <v>17075</v>
      </c>
      <c r="D31" s="1343" t="s">
        <v>720</v>
      </c>
      <c r="E31" s="1342" t="s">
        <v>770</v>
      </c>
      <c r="F31" s="2312">
        <f ca="1">IF(项目基本情况!B11="企业","——",IF(M47="住宅",IF(F6*F7*F8/12/(1+'数据-取费表'!F30)&gt;100000,4%,2.5%),IF(F6*F7*F8/12/(1+'数据-取费表'!F30)&gt;100000,12%,7%)))</f>
        <v>7.0000000000000007E-2</v>
      </c>
      <c r="G31" s="1382"/>
      <c r="H31" s="2805" t="s">
        <v>2307</v>
      </c>
      <c r="I31" s="1396"/>
      <c r="J31" s="1397"/>
      <c r="K31" s="2472"/>
      <c r="L31" s="2695"/>
      <c r="M31" s="2696"/>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4"/>
      <c r="I32" s="1396"/>
      <c r="J32" s="1397"/>
      <c r="K32" s="2472"/>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3335</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IF(项目基本情况!B11="自然人","——",ROUND(F34*F35,0))</f>
        <v>——</v>
      </c>
      <c r="D34" s="324" t="s">
        <v>731</v>
      </c>
      <c r="E34" s="302" t="s">
        <v>732</v>
      </c>
      <c r="F34" s="325">
        <f>'数据-取费表'!B52</f>
        <v>3</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955</v>
      </c>
      <c r="D36" s="1342" t="s">
        <v>771</v>
      </c>
      <c r="E36" s="302" t="s">
        <v>712</v>
      </c>
      <c r="F36" s="328">
        <f ca="1">INDIRECT("'数据-取费表'!Ak"&amp;$G$1)</f>
        <v>1E-3</v>
      </c>
      <c r="G36" s="1382"/>
      <c r="H36" s="2697"/>
      <c r="I36" s="1396"/>
      <c r="J36" s="1397"/>
      <c r="K36" s="2541"/>
      <c r="L36" s="2697"/>
      <c r="M36" s="2697"/>
    </row>
    <row r="37" spans="1:18" ht="18" customHeight="1">
      <c r="A37" s="980" t="s">
        <v>437</v>
      </c>
      <c r="B37" s="302" t="s">
        <v>742</v>
      </c>
      <c r="C37" s="21">
        <f ca="1">ROUND(C13*F37,0)</f>
        <v>735</v>
      </c>
      <c r="D37" s="1342" t="s">
        <v>743</v>
      </c>
      <c r="E37" s="302" t="s">
        <v>744</v>
      </c>
      <c r="F37" s="330">
        <f ca="1">INDIRECT("'数据-取费表'!Al"&amp;$G$1)</f>
        <v>1E-3</v>
      </c>
      <c r="G37" s="1382"/>
      <c r="H37" s="2697"/>
      <c r="I37" s="1396"/>
      <c r="J37" s="1397"/>
      <c r="K37" s="2541"/>
      <c r="L37" s="2697"/>
      <c r="M37" s="2697"/>
    </row>
    <row r="38" spans="1:18" ht="18" customHeight="1" thickBot="1">
      <c r="A38" s="1087" t="s">
        <v>684</v>
      </c>
      <c r="B38" s="1088" t="s">
        <v>728</v>
      </c>
      <c r="C38" s="1089">
        <f ca="1">ROUND(C5*F38,0)</f>
        <v>2571</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235744</v>
      </c>
      <c r="D39" s="1093" t="s">
        <v>773</v>
      </c>
      <c r="E39" s="1094"/>
      <c r="F39" s="1095"/>
      <c r="G39" s="1382"/>
      <c r="H39" s="2697"/>
      <c r="I39" s="1396"/>
      <c r="J39" s="1397"/>
      <c r="K39" s="2701"/>
      <c r="L39" s="2697"/>
      <c r="M39" s="2697"/>
    </row>
    <row r="40" spans="1:18" ht="18" customHeight="1">
      <c r="A40" s="299" t="s">
        <v>395</v>
      </c>
      <c r="B40" s="300" t="s">
        <v>774</v>
      </c>
      <c r="C40" s="301">
        <f ca="1">ROUND(C39*(1-((1+F42)/(1+F40))^F41)/(F40-F42),0)</f>
        <v>3583019</v>
      </c>
      <c r="D40" s="324" t="s">
        <v>758</v>
      </c>
      <c r="E40" s="302" t="s">
        <v>759</v>
      </c>
      <c r="F40" s="312">
        <f ca="1">INDIRECT("'数据-取费表'!I"&amp;$G$1)</f>
        <v>0.05</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21</v>
      </c>
      <c r="G41" s="1382"/>
      <c r="H41" s="1189"/>
      <c r="I41" s="1396"/>
      <c r="J41" s="1397"/>
      <c r="K41" s="2541"/>
      <c r="L41" s="1189"/>
      <c r="M41" s="1189"/>
    </row>
    <row r="42" spans="1:18" ht="18" customHeight="1">
      <c r="A42" s="308"/>
      <c r="B42" s="309"/>
      <c r="C42" s="310"/>
      <c r="D42" s="327"/>
      <c r="E42" s="302" t="s">
        <v>766</v>
      </c>
      <c r="F42" s="312">
        <f ca="1">INDIRECT("'数据-取费表'!v"&amp;$G$1)</f>
        <v>0.02</v>
      </c>
      <c r="G42" s="1382"/>
      <c r="H42" s="1189"/>
      <c r="I42" s="1396"/>
      <c r="J42" s="1397"/>
      <c r="K42" s="2541"/>
      <c r="L42" s="1189"/>
      <c r="M42" s="1189"/>
    </row>
    <row r="43" spans="1:18" ht="18" customHeight="1" thickBot="1">
      <c r="A43" s="334" t="s">
        <v>396</v>
      </c>
      <c r="B43" s="335" t="s">
        <v>776</v>
      </c>
      <c r="C43" s="336">
        <f ca="1">ROUND(C40/F43,0)</f>
        <v>28135</v>
      </c>
      <c r="D43" s="337" t="s">
        <v>777</v>
      </c>
      <c r="E43" s="338" t="s">
        <v>778</v>
      </c>
      <c r="F43" s="339">
        <f ca="1">INDIRECT("'数据-取费表'!k"&amp;$G$1)</f>
        <v>127.35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3351</v>
      </c>
      <c r="B45" s="1398"/>
      <c r="C45" s="1470">
        <f ca="1">ROUND((C68-C40)/10000,4)</f>
        <v>-360.46870000000001</v>
      </c>
      <c r="D45" s="3429" t="s">
        <v>3352</v>
      </c>
      <c r="E45" s="1398"/>
      <c r="F45" s="1398"/>
      <c r="O45" s="1401" t="s">
        <v>808</v>
      </c>
      <c r="P45" s="1459"/>
      <c r="Q45" s="1459"/>
      <c r="R45" s="1459"/>
    </row>
    <row r="46" spans="1:18" s="1382" customFormat="1" ht="13.8" thickBot="1">
      <c r="A46" s="1402" t="s">
        <v>809</v>
      </c>
      <c r="C46" s="1403">
        <f ca="1">ROUND(C45,0)</f>
        <v>-360</v>
      </c>
      <c r="D46" s="1404" t="str">
        <f>C2</f>
        <v>万元</v>
      </c>
      <c r="I46" s="1405" t="s">
        <v>810</v>
      </c>
      <c r="J46" s="1406"/>
      <c r="K46" s="1407"/>
      <c r="L46" s="1408">
        <f ca="1">IF(M47="住宅",0,IF(L48&gt;J51,L60,J60))</f>
        <v>92242</v>
      </c>
      <c r="O46" s="1409" t="s">
        <v>811</v>
      </c>
      <c r="P46" s="1410" t="s">
        <v>812</v>
      </c>
      <c r="Q46" s="1411" t="s">
        <v>813</v>
      </c>
      <c r="R46" s="1411" t="s">
        <v>814</v>
      </c>
    </row>
    <row r="47" spans="1:18" s="1382" customFormat="1" ht="13.8" thickBot="1">
      <c r="A47" s="944" t="s">
        <v>687</v>
      </c>
      <c r="B47" s="976" t="s">
        <v>688</v>
      </c>
      <c r="C47" s="976" t="s">
        <v>689</v>
      </c>
      <c r="D47" s="976" t="s">
        <v>690</v>
      </c>
      <c r="E47" s="1056" t="s">
        <v>691</v>
      </c>
      <c r="F47" s="1057"/>
      <c r="G47" s="720"/>
      <c r="I47" s="1412" t="s">
        <v>815</v>
      </c>
      <c r="J47" s="1413" t="s">
        <v>3425</v>
      </c>
      <c r="K47" s="1414" t="s">
        <v>816</v>
      </c>
      <c r="L47" s="1415">
        <f ca="1">INDIRECT("'数据-取费表'!d"&amp;$G$1)</f>
        <v>40</v>
      </c>
      <c r="M47" s="1378" t="str">
        <f>IF(ISNUMBER(FIND("住宅",C1)),"住宅","非住宅")</f>
        <v>非住宅</v>
      </c>
      <c r="O47" s="1416" t="s">
        <v>403</v>
      </c>
      <c r="P47" s="1417" t="s">
        <v>817</v>
      </c>
      <c r="Q47" s="1418">
        <f ca="1">C40+J29</f>
        <v>3583019</v>
      </c>
      <c r="R47" s="1418" t="s">
        <v>818</v>
      </c>
    </row>
    <row r="48" spans="1:18" s="1382" customFormat="1" ht="40.200000000000003" thickBot="1">
      <c r="A48" s="1108" t="s">
        <v>438</v>
      </c>
      <c r="B48" s="300" t="s">
        <v>692</v>
      </c>
      <c r="C48" s="1357">
        <f ca="1">C49+C53+C55</f>
        <v>0</v>
      </c>
      <c r="D48" s="1110"/>
      <c r="E48" s="1111"/>
      <c r="F48" s="960"/>
      <c r="G48" s="720"/>
      <c r="H48" s="721"/>
      <c r="I48" s="1419" t="s">
        <v>819</v>
      </c>
      <c r="J48" s="1420" t="s">
        <v>3426</v>
      </c>
      <c r="K48" s="1421" t="s">
        <v>820</v>
      </c>
      <c r="L48" s="1422">
        <f ca="1">INDIRECT("'数据-取费表'!f"&amp;$G$1)</f>
        <v>21</v>
      </c>
      <c r="O48" s="1416" t="s">
        <v>404</v>
      </c>
      <c r="P48" s="1417" t="s">
        <v>821</v>
      </c>
      <c r="Q48" s="1418">
        <f ca="1">J60</f>
        <v>92242</v>
      </c>
      <c r="R48" s="1418" t="s">
        <v>822</v>
      </c>
    </row>
    <row r="49" spans="1:18" s="1382" customFormat="1" ht="13.8" thickBot="1">
      <c r="A49" s="973" t="s">
        <v>439</v>
      </c>
      <c r="B49" s="1369" t="s">
        <v>779</v>
      </c>
      <c r="C49" s="1112">
        <f ca="1">ROUND(F49*F51*F50*(1-F52),0)</f>
        <v>0</v>
      </c>
      <c r="D49" s="1053" t="s">
        <v>695</v>
      </c>
      <c r="E49" s="1370" t="s">
        <v>780</v>
      </c>
      <c r="F49" s="1058"/>
      <c r="G49" s="1423"/>
      <c r="H49" s="721"/>
      <c r="I49" s="1419" t="s">
        <v>823</v>
      </c>
      <c r="J49" s="1424">
        <v>2007</v>
      </c>
      <c r="K49" s="1421" t="s">
        <v>824</v>
      </c>
      <c r="L49" s="1425"/>
      <c r="O49" s="1426" t="s">
        <v>405</v>
      </c>
      <c r="P49" s="1417" t="s">
        <v>825</v>
      </c>
      <c r="Q49" s="1418">
        <f ca="1">C29</f>
        <v>954829</v>
      </c>
      <c r="R49" s="1418" t="s">
        <v>818</v>
      </c>
    </row>
    <row r="50" spans="1:18" s="1382" customFormat="1" ht="13.8" thickBot="1">
      <c r="A50" s="974"/>
      <c r="B50" s="977"/>
      <c r="C50" s="978"/>
      <c r="D50" s="951"/>
      <c r="E50" s="1054" t="s">
        <v>697</v>
      </c>
      <c r="F50" s="1055">
        <f ca="1">F7</f>
        <v>127.35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8" thickBot="1">
      <c r="A51" s="975"/>
      <c r="B51" s="977"/>
      <c r="C51" s="978"/>
      <c r="D51" s="951"/>
      <c r="E51" s="979" t="s">
        <v>698</v>
      </c>
      <c r="F51" s="303">
        <f ca="1">F8</f>
        <v>365</v>
      </c>
      <c r="I51" s="1430" t="s">
        <v>829</v>
      </c>
      <c r="J51" s="1431">
        <f>IF(J49="",J50,J49+J50-YEAR('数据-取费表'!B2))</f>
        <v>43</v>
      </c>
      <c r="K51" s="1432" t="s">
        <v>830</v>
      </c>
      <c r="L51" s="1433">
        <f ca="1">ROUND(-PV(INDIRECT("'数据-取费表'!h"&amp;$G$1),J51,(C39-C13*C76),0),0)</f>
        <v>3297839</v>
      </c>
      <c r="M51" s="1434"/>
      <c r="O51" s="1426" t="s">
        <v>407</v>
      </c>
      <c r="P51" s="1417" t="s">
        <v>831</v>
      </c>
      <c r="Q51" s="1429">
        <f>J52</f>
        <v>7.0000000000000007E-2</v>
      </c>
      <c r="R51" s="1418"/>
    </row>
    <row r="52" spans="1:18" s="1382" customFormat="1" ht="13.8" thickBot="1">
      <c r="A52" s="975"/>
      <c r="B52" s="977"/>
      <c r="C52" s="978"/>
      <c r="D52" s="951"/>
      <c r="E52" s="979" t="s">
        <v>699</v>
      </c>
      <c r="F52" s="1052"/>
      <c r="I52" s="1435" t="s">
        <v>832</v>
      </c>
      <c r="J52" s="1436">
        <v>7.0000000000000007E-2</v>
      </c>
      <c r="K52" s="1435" t="s">
        <v>833</v>
      </c>
      <c r="L52" s="1436"/>
      <c r="O52" s="1426" t="s">
        <v>408</v>
      </c>
      <c r="P52" s="1417" t="s">
        <v>834</v>
      </c>
      <c r="Q52" s="1418">
        <f ca="1">J53</f>
        <v>21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5">
        <f ca="1">IF(M47="住宅",IF(D1="——",MAX(J51,L48),MAX(J51,L48-'数据-取费表'!B24)),IF(D1="——",MIN(J51,L48),MIN(J51,L48-'数据-取费表'!B24)))</f>
        <v>21</v>
      </c>
      <c r="K53" s="3663" t="s">
        <v>837</v>
      </c>
      <c r="L53" s="3664"/>
      <c r="O53" s="1416" t="s">
        <v>409</v>
      </c>
      <c r="P53" s="1417" t="s">
        <v>838</v>
      </c>
      <c r="Q53" s="1418">
        <f ca="1">Q47+Q48</f>
        <v>3675261</v>
      </c>
      <c r="R53" s="1418" t="s">
        <v>410</v>
      </c>
    </row>
    <row r="54" spans="1:18" s="1382" customFormat="1" ht="13.8"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f ca="1">ROUND(IF(J47="钢混",J57/J50,1-(1-2%)*(J50-J57)/J50),3)</f>
        <v>0.36699999999999999</v>
      </c>
      <c r="K55" s="1443" t="s">
        <v>841</v>
      </c>
      <c r="L55" s="1444" t="s">
        <v>3427</v>
      </c>
      <c r="O55" s="1409" t="s">
        <v>811</v>
      </c>
      <c r="P55" s="1410" t="s">
        <v>812</v>
      </c>
      <c r="Q55" s="1411" t="s">
        <v>813</v>
      </c>
      <c r="R55" s="1411" t="s">
        <v>814</v>
      </c>
    </row>
    <row r="56" spans="1:18" s="1382" customFormat="1" ht="36" customHeight="1" thickTop="1" thickBot="1">
      <c r="A56" s="955">
        <v>2</v>
      </c>
      <c r="B56" s="956" t="s">
        <v>704</v>
      </c>
      <c r="C56" s="232">
        <f ca="1">C13</f>
        <v>735218</v>
      </c>
      <c r="D56" s="1445"/>
      <c r="E56" s="1446"/>
      <c r="F56" s="1438"/>
      <c r="I56" s="1447" t="s">
        <v>842</v>
      </c>
      <c r="J56" s="3467" t="s">
        <v>3491</v>
      </c>
      <c r="K56" s="1419" t="s">
        <v>843</v>
      </c>
      <c r="L56" s="1422" t="str">
        <f ca="1">IF(L48&lt;J51,"——",L48-J51)</f>
        <v>——</v>
      </c>
      <c r="O56" s="1416" t="s">
        <v>403</v>
      </c>
      <c r="P56" s="1417" t="s">
        <v>817</v>
      </c>
      <c r="Q56" s="1418">
        <f ca="1">C40+J29</f>
        <v>3583019</v>
      </c>
      <c r="R56" s="1418" t="s">
        <v>818</v>
      </c>
    </row>
    <row r="57" spans="1:18" s="1382" customFormat="1" ht="24.6" thickBot="1">
      <c r="A57" s="1449"/>
      <c r="B57" s="948" t="s">
        <v>767</v>
      </c>
      <c r="C57" s="238">
        <f ca="1">C29</f>
        <v>954829</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6" thickBot="1">
      <c r="A58" s="315" t="s">
        <v>393</v>
      </c>
      <c r="B58" s="956" t="s">
        <v>714</v>
      </c>
      <c r="C58" s="316">
        <f ca="1">ROUND(C59+C64+C65+C66,0)</f>
        <v>1690</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3" t="s">
        <v>851</v>
      </c>
      <c r="J59" s="1454">
        <f ca="1">IF(OR(M47="住宅",J51&lt;L48,J56="是"),"——",ROUND(C29*J58,0))</f>
        <v>381932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f ca="1">IF(OR(M47="住宅",J51&lt;L48,J56="是"),"0",ROUND(J59/(1+J52)^J53,0))</f>
        <v>92242</v>
      </c>
      <c r="K60" s="1458" t="s">
        <v>854</v>
      </c>
      <c r="L60" s="1457">
        <f ca="1">IF(OR(M47="住宅",L48&lt;J51),0,ROUND(L57*(L58/L59-1),0))</f>
        <v>0</v>
      </c>
      <c r="O60" s="1426" t="s">
        <v>407</v>
      </c>
      <c r="P60" s="1417" t="s">
        <v>855</v>
      </c>
      <c r="Q60" s="1418" t="e">
        <f ca="1">L58</f>
        <v>#DIV/0!</v>
      </c>
      <c r="R60" s="1418" t="s">
        <v>856</v>
      </c>
    </row>
    <row r="61" spans="1:18" s="1382" customFormat="1" ht="13.8" thickBot="1">
      <c r="A61" s="980" t="s">
        <v>781</v>
      </c>
      <c r="B61" s="948" t="s">
        <v>782</v>
      </c>
      <c r="C61" s="21" t="str">
        <f ca="1">IF(项目基本情况!B11="自然人","——",IF(D61="按租金收入计税",ROUND(C49*F61/(1+'数据-取费表'!C42),0),IF(D61="按房产原值计税",ROUND(C57*F61*0.7,0),INDIRECT("'数据-取费表'!Aj"&amp;$G$1))))</f>
        <v>——</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t="str">
        <f>IF(项目基本情况!B11="自然人","——",ROUND(F62*F63,0))</f>
        <v>——</v>
      </c>
      <c r="D62" s="963" t="s">
        <v>786</v>
      </c>
      <c r="E62" s="948" t="s">
        <v>787</v>
      </c>
      <c r="F62" s="325">
        <f t="shared" si="0"/>
        <v>3</v>
      </c>
      <c r="I62" s="1460" t="s">
        <v>858</v>
      </c>
      <c r="J62" s="1461" t="s">
        <v>859</v>
      </c>
      <c r="K62" s="1461" t="s">
        <v>860</v>
      </c>
      <c r="L62" s="1461" t="s">
        <v>861</v>
      </c>
      <c r="M62" s="1462" t="s">
        <v>862</v>
      </c>
      <c r="O62" s="1416" t="s">
        <v>409</v>
      </c>
      <c r="P62" s="1417" t="s">
        <v>863</v>
      </c>
      <c r="Q62" s="1418">
        <f ca="1">Q56+Q57</f>
        <v>3583019</v>
      </c>
      <c r="R62" s="1418" t="s">
        <v>410</v>
      </c>
    </row>
    <row r="63" spans="1:18" s="1382" customFormat="1" ht="13.8"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ROUND(C57*F64,0)</f>
        <v>955</v>
      </c>
      <c r="D64" s="962" t="s">
        <v>791</v>
      </c>
      <c r="E64" s="948" t="s">
        <v>783</v>
      </c>
      <c r="F64" s="328">
        <f t="shared" ca="1" si="0"/>
        <v>1E-3</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ROUND(C56*F65,0)</f>
        <v>735</v>
      </c>
      <c r="D65" s="962" t="s">
        <v>743</v>
      </c>
      <c r="E65" s="948" t="s">
        <v>744</v>
      </c>
      <c r="F65" s="330">
        <f t="shared" ca="1" si="0"/>
        <v>1E-3</v>
      </c>
      <c r="I65" s="1460" t="s">
        <v>867</v>
      </c>
      <c r="J65" s="1461">
        <v>40</v>
      </c>
      <c r="K65" s="1461">
        <v>30</v>
      </c>
      <c r="L65" s="1461">
        <v>50</v>
      </c>
      <c r="M65" s="1463">
        <v>0.02</v>
      </c>
      <c r="O65" s="1416" t="s">
        <v>403</v>
      </c>
      <c r="P65" s="1417" t="s">
        <v>868</v>
      </c>
      <c r="Q65" s="1418">
        <f ca="1">C40+J29</f>
        <v>3583019</v>
      </c>
      <c r="R65" s="1418" t="s">
        <v>818</v>
      </c>
    </row>
    <row r="66" spans="1:18" s="1382" customFormat="1" ht="16.2"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24.6" thickBot="1">
      <c r="A67" s="955" t="s">
        <v>394</v>
      </c>
      <c r="B67" s="965" t="s">
        <v>752</v>
      </c>
      <c r="C67" s="316">
        <f ca="1">C48-C58</f>
        <v>-1690</v>
      </c>
      <c r="D67" s="961" t="s">
        <v>753</v>
      </c>
      <c r="E67" s="966"/>
      <c r="F67" s="967"/>
      <c r="O67" s="1426" t="s">
        <v>405</v>
      </c>
      <c r="P67" s="1417" t="s">
        <v>850</v>
      </c>
      <c r="Q67" s="1464">
        <f ca="1">L51</f>
        <v>3297839</v>
      </c>
      <c r="R67" s="1418" t="s">
        <v>870</v>
      </c>
    </row>
    <row r="68" spans="1:18" s="1382" customFormat="1" ht="16.2" thickBot="1">
      <c r="A68" s="945" t="s">
        <v>395</v>
      </c>
      <c r="B68" s="946" t="s">
        <v>774</v>
      </c>
      <c r="C68" s="301">
        <f ca="1">ROUND(C67*(1-((1+F70)/(1+F68))^F69)/(F68-F70),0)</f>
        <v>-21668</v>
      </c>
      <c r="D68" s="963" t="s">
        <v>758</v>
      </c>
      <c r="E68" s="948" t="s">
        <v>759</v>
      </c>
      <c r="F68" s="312">
        <f ca="1">F40</f>
        <v>0.05</v>
      </c>
      <c r="O68" s="1426" t="s">
        <v>406</v>
      </c>
      <c r="P68" s="1465" t="s">
        <v>871</v>
      </c>
      <c r="Q68" s="1418">
        <f ca="1">ROUND(Q69-Q70*Q71,0)</f>
        <v>187955</v>
      </c>
      <c r="R68" s="1418" t="s">
        <v>414</v>
      </c>
    </row>
    <row r="69" spans="1:18" s="1382" customFormat="1" ht="13.8" thickBot="1">
      <c r="A69" s="949"/>
      <c r="B69" s="950"/>
      <c r="C69" s="306"/>
      <c r="D69" s="968" t="s">
        <v>762</v>
      </c>
      <c r="E69" s="948" t="s">
        <v>763</v>
      </c>
      <c r="F69" s="333">
        <f ca="1">F41</f>
        <v>21</v>
      </c>
      <c r="O69" s="1426" t="s">
        <v>411</v>
      </c>
      <c r="P69" s="1465" t="s">
        <v>872</v>
      </c>
      <c r="Q69" s="1418">
        <f ca="1">C39</f>
        <v>235744</v>
      </c>
      <c r="R69" s="1418" t="s">
        <v>818</v>
      </c>
    </row>
    <row r="70" spans="1:18" s="1382" customFormat="1" ht="13.8" thickBot="1">
      <c r="A70" s="952"/>
      <c r="B70" s="953"/>
      <c r="C70" s="310"/>
      <c r="D70" s="964"/>
      <c r="E70" s="948" t="s">
        <v>766</v>
      </c>
      <c r="F70" s="1052"/>
      <c r="O70" s="1426" t="s">
        <v>412</v>
      </c>
      <c r="P70" s="1465" t="s">
        <v>873</v>
      </c>
      <c r="Q70" s="1418">
        <f ca="1">C13</f>
        <v>735218</v>
      </c>
      <c r="R70" s="1418" t="s">
        <v>818</v>
      </c>
    </row>
    <row r="71" spans="1:18" s="1382" customFormat="1" ht="13.8" thickBot="1">
      <c r="A71" s="969" t="s">
        <v>396</v>
      </c>
      <c r="B71" s="970" t="s">
        <v>776</v>
      </c>
      <c r="C71" s="336">
        <f ca="1">ROUND(C68/F71,0)</f>
        <v>-170</v>
      </c>
      <c r="D71" s="971" t="s">
        <v>777</v>
      </c>
      <c r="E71" s="972" t="s">
        <v>778</v>
      </c>
      <c r="F71" s="339">
        <f ca="1">F43</f>
        <v>127.35</v>
      </c>
      <c r="O71" s="1426" t="s">
        <v>413</v>
      </c>
      <c r="P71" s="1465" t="s">
        <v>874</v>
      </c>
      <c r="Q71" s="1429">
        <f ca="1">C76</f>
        <v>6.5000000000000002E-2</v>
      </c>
      <c r="R71" s="1418"/>
    </row>
    <row r="72" spans="1:18" s="1382" customFormat="1" ht="13.8" thickBot="1">
      <c r="B72" s="724"/>
      <c r="C72" s="724"/>
      <c r="O72" s="1426" t="s">
        <v>407</v>
      </c>
      <c r="P72" s="1417" t="s">
        <v>852</v>
      </c>
      <c r="Q72" s="1429">
        <f>L52</f>
        <v>0</v>
      </c>
      <c r="R72" s="1418"/>
    </row>
    <row r="73" spans="1:18" ht="16.2" thickBot="1">
      <c r="A73" s="1382"/>
      <c r="B73" s="724"/>
      <c r="C73" s="724"/>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47789</v>
      </c>
      <c r="D75" s="1382"/>
      <c r="E75" s="1382"/>
      <c r="F75" s="1382"/>
      <c r="K75" s="1400"/>
      <c r="L75" s="1382"/>
      <c r="O75" s="1416" t="s">
        <v>409</v>
      </c>
      <c r="P75" s="1417" t="s">
        <v>838</v>
      </c>
      <c r="Q75" s="1418">
        <f ca="1">Q65+Q66</f>
        <v>3583019</v>
      </c>
      <c r="R75" s="1418" t="s">
        <v>410</v>
      </c>
    </row>
    <row r="76" spans="1:18">
      <c r="B76" s="342" t="s">
        <v>796</v>
      </c>
      <c r="C76" s="343">
        <f ca="1">INDIRECT("'数据-取费表'!j"&amp;$G$1)</f>
        <v>6.5000000000000002E-2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0.79699999999999993</v>
      </c>
    </row>
    <row r="80" spans="1:18">
      <c r="B80" s="340" t="s">
        <v>800</v>
      </c>
      <c r="C80" s="274">
        <f ca="1">ROUND(C75/C39,3)</f>
        <v>0.20300000000000001</v>
      </c>
    </row>
    <row r="81" spans="2:3">
      <c r="B81" s="270" t="s">
        <v>801</v>
      </c>
      <c r="C81" s="238"/>
    </row>
    <row r="82" spans="2:3">
      <c r="B82" s="273" t="s">
        <v>802</v>
      </c>
      <c r="C82" s="275">
        <f ca="1">1-C83</f>
        <v>0.79500000000000004</v>
      </c>
    </row>
    <row r="83" spans="2:3">
      <c r="B83" s="273" t="s">
        <v>803</v>
      </c>
      <c r="C83" s="274">
        <f ca="1">ROUND(C13/C40,3)</f>
        <v>0.20499999999999999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估价对象为北京市房地产，为所有。根据《国有土地使用证》[]，估价对象（分摊）出让国有建设用地使用权面积为0平方米，建筑面积为127.35平方米。</v>
      </c>
    </row>
    <row r="8" spans="1:1" ht="54.6">
      <c r="A8" s="1481" t="s">
        <v>901</v>
      </c>
    </row>
    <row r="9" spans="1:1" ht="17.399999999999999">
      <c r="A9" s="1480" t="s">
        <v>902</v>
      </c>
    </row>
    <row r="10" spans="1:1" ht="52.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估价对象为北京市房地产,属开发建设的，该项目尚在开发建设中。根据《国有土地使用证》[]，估价对象（分摊）出让国有建设用地使用权面积为0平方米，规划建筑面积为127.35平方米。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7.399999999999999">
      <c r="A14" s="1483" t="s">
        <v>905</v>
      </c>
    </row>
    <row r="15" spans="1:1" ht="17.399999999999999">
      <c r="A15" s="1484" t="str">
        <f>TEXT(项目基本情况!D3,"yyyy年m月d日;;")&amp;IF(项目基本情况!D3=项目基本情况!B3,"（评估专业人员实地查勘之日）","")</f>
        <v>2024年7月18日（评估专业人员实地查勘之日）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本次评估采用的主估价方法为成本法和收益法。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2435</v>
      </c>
      <c r="B1" s="2829"/>
      <c r="C1" s="2841"/>
      <c r="D1" s="2841"/>
      <c r="E1" s="2830"/>
      <c r="F1" s="2831"/>
      <c r="G1" s="2832"/>
      <c r="J1" s="2835" t="s">
        <v>2314</v>
      </c>
      <c r="K1" s="2836"/>
      <c r="L1" s="2836"/>
      <c r="M1" s="2836"/>
      <c r="N1" s="2836"/>
      <c r="O1" s="2836"/>
      <c r="P1" s="2836"/>
      <c r="Q1" s="2836"/>
      <c r="R1" s="2837"/>
      <c r="S1" s="2838"/>
      <c r="T1" s="2838"/>
      <c r="U1" s="2838"/>
    </row>
    <row r="2" spans="1:22" s="2850" customFormat="1" ht="13.2" customHeight="1">
      <c r="A2" s="1383" t="s">
        <v>2315</v>
      </c>
      <c r="B2" s="2840" t="e">
        <f>IF(D2="——",C40,C40+E2)</f>
        <v>#DIV/0!</v>
      </c>
      <c r="C2" s="2841" t="s">
        <v>2316</v>
      </c>
      <c r="D2" s="3440" t="s">
        <v>3358</v>
      </c>
      <c r="E2" s="3441"/>
      <c r="F2" s="2843"/>
      <c r="G2" s="2844"/>
      <c r="H2" s="2845"/>
      <c r="I2" s="2846"/>
      <c r="J2" s="3687" t="s">
        <v>2317</v>
      </c>
      <c r="K2" s="3688"/>
      <c r="L2" s="2847" t="s">
        <v>2318</v>
      </c>
      <c r="M2" s="2847" t="s">
        <v>2319</v>
      </c>
      <c r="N2" s="2847" t="s">
        <v>2320</v>
      </c>
      <c r="O2" s="2847" t="s">
        <v>2321</v>
      </c>
      <c r="P2" s="2847" t="s">
        <v>2322</v>
      </c>
      <c r="Q2" s="2848" t="s">
        <v>2323</v>
      </c>
      <c r="R2" s="2849" t="s">
        <v>2324</v>
      </c>
      <c r="S2" s="2838"/>
      <c r="T2" s="2838"/>
      <c r="U2" s="2838"/>
      <c r="V2" s="2846"/>
    </row>
    <row r="3" spans="1:22" s="2850" customFormat="1" ht="13.2" customHeight="1">
      <c r="A3" s="2851" t="s">
        <v>2325</v>
      </c>
      <c r="B3" s="2852" t="e">
        <f>ROUND(B2*10000/B4,0)</f>
        <v>#DIV/0!</v>
      </c>
      <c r="C3" s="2841" t="s">
        <v>2326</v>
      </c>
      <c r="D3" s="2841"/>
      <c r="E3" s="2842"/>
      <c r="F3" s="2843"/>
      <c r="G3" s="2844"/>
      <c r="H3" s="2845"/>
      <c r="I3" s="2846"/>
      <c r="J3" s="3689" t="s">
        <v>2327</v>
      </c>
      <c r="K3" s="3690"/>
      <c r="L3" s="2853"/>
      <c r="M3" s="2853"/>
      <c r="N3" s="2853"/>
      <c r="O3" s="2853"/>
      <c r="P3" s="2853"/>
      <c r="Q3" s="2854"/>
      <c r="R3" s="2855">
        <f>SUM(L3:Q3)</f>
        <v>0</v>
      </c>
      <c r="S3" s="2838"/>
      <c r="T3" s="2838"/>
      <c r="U3" s="2838"/>
      <c r="V3" s="2846"/>
    </row>
    <row r="4" spans="1:22" s="2850" customFormat="1" ht="13.2" customHeight="1">
      <c r="A4" s="2856" t="s">
        <v>2328</v>
      </c>
      <c r="B4" s="2857"/>
      <c r="C4" s="2841"/>
      <c r="D4" s="2841"/>
      <c r="E4" s="2842"/>
      <c r="F4" s="2843"/>
      <c r="G4" s="2844"/>
      <c r="H4" s="2845"/>
      <c r="I4" s="2846"/>
      <c r="J4" s="3689" t="s">
        <v>2329</v>
      </c>
      <c r="K4" s="3690"/>
      <c r="L4" s="2858"/>
      <c r="M4" s="2858"/>
      <c r="N4" s="2858"/>
      <c r="O4" s="2858"/>
      <c r="P4" s="2858"/>
      <c r="Q4" s="2859"/>
      <c r="R4" s="2860">
        <f>SUM(L4:Q4)</f>
        <v>0</v>
      </c>
      <c r="S4" s="2838"/>
      <c r="T4" s="2838"/>
      <c r="U4" s="2838"/>
      <c r="V4" s="2846"/>
    </row>
    <row r="5" spans="1:22" s="2850" customFormat="1" ht="13.2" customHeight="1" thickBot="1">
      <c r="A5" s="2861" t="s">
        <v>2330</v>
      </c>
      <c r="B5" s="2862"/>
      <c r="C5" s="2841"/>
      <c r="D5" s="2863"/>
      <c r="E5" s="2843"/>
      <c r="F5" s="2843"/>
      <c r="G5" s="2844"/>
      <c r="H5" s="2845"/>
      <c r="I5" s="2846"/>
      <c r="J5" s="2864" t="s">
        <v>2331</v>
      </c>
      <c r="K5" s="2865"/>
      <c r="L5" s="2865"/>
      <c r="M5" s="2866"/>
      <c r="N5" s="2866"/>
      <c r="O5" s="2866"/>
      <c r="P5" s="2866"/>
      <c r="Q5" s="2866"/>
      <c r="R5" s="2849">
        <f>SUM(R14,R19,R24,R25,R27,R28)</f>
        <v>0</v>
      </c>
      <c r="S5" s="2838"/>
      <c r="T5" s="2838" t="s">
        <v>2332</v>
      </c>
      <c r="U5" s="2838" t="e">
        <f>ROUND(R5*10000/365/R3,1)</f>
        <v>#DIV/0!</v>
      </c>
      <c r="V5" s="2846"/>
    </row>
    <row r="6" spans="1:22" s="2850" customFormat="1" ht="13.2" customHeight="1" thickBot="1">
      <c r="A6" s="3691" t="s">
        <v>2333</v>
      </c>
      <c r="B6" s="3692"/>
      <c r="C6" s="3693"/>
      <c r="D6" s="2867"/>
      <c r="E6" s="2868"/>
      <c r="F6" s="2869"/>
      <c r="G6" s="2870"/>
      <c r="H6" s="2845"/>
      <c r="I6" s="2846"/>
      <c r="J6" s="3694">
        <v>1</v>
      </c>
      <c r="K6" s="3695" t="s">
        <v>2334</v>
      </c>
      <c r="L6" s="2871" t="s">
        <v>2335</v>
      </c>
      <c r="M6" s="2872" t="s">
        <v>2336</v>
      </c>
      <c r="N6" s="2872" t="s">
        <v>2337</v>
      </c>
      <c r="O6" s="2872" t="s">
        <v>2338</v>
      </c>
      <c r="P6" s="2872" t="s">
        <v>2339</v>
      </c>
      <c r="Q6" s="2872" t="s">
        <v>2340</v>
      </c>
      <c r="R6" s="2855" t="s">
        <v>2341</v>
      </c>
      <c r="S6" s="2838"/>
      <c r="T6" s="2838" t="s">
        <v>2342</v>
      </c>
      <c r="U6" s="2838"/>
      <c r="V6" s="2846"/>
    </row>
    <row r="7" spans="1:22" s="2850" customFormat="1" ht="13.2" customHeight="1">
      <c r="A7" s="2873" t="s">
        <v>2343</v>
      </c>
      <c r="B7" s="2874"/>
      <c r="C7" s="2875"/>
      <c r="D7" s="2876">
        <f>SUM(D9,D10,D11,D17,0)</f>
        <v>0</v>
      </c>
      <c r="E7" s="2877" t="e">
        <f>E9+E10+E11+E17</f>
        <v>#DIV/0!</v>
      </c>
      <c r="F7" s="2878"/>
      <c r="G7" s="2879"/>
      <c r="H7" s="2845"/>
      <c r="I7" s="2846"/>
      <c r="J7" s="3694"/>
      <c r="K7" s="3696"/>
      <c r="L7" s="2880" t="s">
        <v>2344</v>
      </c>
      <c r="M7" s="2881"/>
      <c r="N7" s="2857"/>
      <c r="O7" s="2882"/>
      <c r="P7" s="2882"/>
      <c r="Q7" s="2883">
        <v>365</v>
      </c>
      <c r="R7" s="2884">
        <f>ROUND(M7*N7*O7*P7*Q7/10000,0)</f>
        <v>0</v>
      </c>
      <c r="S7" s="2838"/>
      <c r="T7" s="2838" t="s">
        <v>2345</v>
      </c>
      <c r="U7" s="2838"/>
      <c r="V7" s="2846"/>
    </row>
    <row r="8" spans="1:22" s="2850" customFormat="1" ht="13.2" customHeight="1">
      <c r="A8" s="2885" t="s">
        <v>2346</v>
      </c>
      <c r="B8" s="3698" t="s">
        <v>2347</v>
      </c>
      <c r="C8" s="3699"/>
      <c r="D8" s="2886" t="s">
        <v>2348</v>
      </c>
      <c r="E8" s="2887" t="s">
        <v>2349</v>
      </c>
      <c r="F8" s="2888" t="s">
        <v>2350</v>
      </c>
      <c r="G8" s="2889"/>
      <c r="H8" s="2845"/>
      <c r="I8" s="2846"/>
      <c r="J8" s="3694"/>
      <c r="K8" s="3696"/>
      <c r="L8" s="2880" t="s">
        <v>2351</v>
      </c>
      <c r="M8" s="2881"/>
      <c r="N8" s="2857"/>
      <c r="O8" s="2882"/>
      <c r="P8" s="2882"/>
      <c r="Q8" s="2883">
        <v>365</v>
      </c>
      <c r="R8" s="2884">
        <f t="shared" ref="R8:R13" si="0">ROUND(M8*N8*O8*P8*Q8/10000,0)</f>
        <v>0</v>
      </c>
      <c r="S8" s="2838"/>
      <c r="T8" s="2838" t="s">
        <v>2352</v>
      </c>
      <c r="U8" s="2838"/>
      <c r="V8" s="2846"/>
    </row>
    <row r="9" spans="1:22" s="2850" customFormat="1" ht="13.2" customHeight="1">
      <c r="A9" s="2885">
        <v>1</v>
      </c>
      <c r="B9" s="3698" t="s">
        <v>2353</v>
      </c>
      <c r="C9" s="3699"/>
      <c r="D9" s="2886">
        <f>ROUND(D6*E9,0)</f>
        <v>0</v>
      </c>
      <c r="E9" s="2890"/>
      <c r="F9" s="2891" t="s">
        <v>2354</v>
      </c>
      <c r="G9" s="2870"/>
      <c r="H9" s="2845"/>
      <c r="I9" s="2846"/>
      <c r="J9" s="3694"/>
      <c r="K9" s="3696"/>
      <c r="L9" s="2880" t="s">
        <v>2355</v>
      </c>
      <c r="M9" s="2881"/>
      <c r="N9" s="2857"/>
      <c r="O9" s="2882"/>
      <c r="P9" s="2882"/>
      <c r="Q9" s="2883">
        <v>365</v>
      </c>
      <c r="R9" s="2884">
        <f t="shared" si="0"/>
        <v>0</v>
      </c>
      <c r="S9" s="2838"/>
      <c r="T9" s="2838"/>
      <c r="U9" s="2838"/>
      <c r="V9" s="2846"/>
    </row>
    <row r="10" spans="1:22" s="2850" customFormat="1" ht="13.2" customHeight="1">
      <c r="A10" s="2885">
        <v>2</v>
      </c>
      <c r="B10" s="3698" t="s">
        <v>2356</v>
      </c>
      <c r="C10" s="3699"/>
      <c r="D10" s="2886">
        <f>ROUND(D6*E10,0)</f>
        <v>0</v>
      </c>
      <c r="E10" s="2890"/>
      <c r="F10" s="2891" t="s">
        <v>2357</v>
      </c>
      <c r="G10" s="2870"/>
      <c r="H10" s="2845"/>
      <c r="I10" s="2846"/>
      <c r="J10" s="3694"/>
      <c r="K10" s="3696"/>
      <c r="L10" s="2880" t="s">
        <v>2358</v>
      </c>
      <c r="M10" s="2881"/>
      <c r="N10" s="2857"/>
      <c r="O10" s="2882"/>
      <c r="P10" s="2882"/>
      <c r="Q10" s="2883">
        <v>365</v>
      </c>
      <c r="R10" s="2884">
        <f t="shared" si="0"/>
        <v>0</v>
      </c>
      <c r="S10" s="2838"/>
      <c r="T10" s="2838"/>
      <c r="U10" s="2838"/>
      <c r="V10" s="2846"/>
    </row>
    <row r="11" spans="1:22" s="2850" customFormat="1" ht="13.2" customHeight="1">
      <c r="A11" s="2885">
        <v>3</v>
      </c>
      <c r="B11" s="3698" t="s">
        <v>2359</v>
      </c>
      <c r="C11" s="3699"/>
      <c r="D11" s="2886">
        <f>D12+D14+D15+D16</f>
        <v>0</v>
      </c>
      <c r="E11" s="2892" t="e">
        <f>D11/D6</f>
        <v>#DIV/0!</v>
      </c>
      <c r="F11" s="2888"/>
      <c r="G11" s="2889"/>
      <c r="H11" s="2845"/>
      <c r="I11" s="2846"/>
      <c r="J11" s="3694"/>
      <c r="K11" s="3696"/>
      <c r="L11" s="2880" t="s">
        <v>2360</v>
      </c>
      <c r="M11" s="2881"/>
      <c r="N11" s="2857"/>
      <c r="O11" s="2882"/>
      <c r="P11" s="2882"/>
      <c r="Q11" s="2883">
        <v>365</v>
      </c>
      <c r="R11" s="2884">
        <f t="shared" si="0"/>
        <v>0</v>
      </c>
      <c r="S11" s="2838"/>
      <c r="T11" s="2838"/>
      <c r="U11" s="2838"/>
      <c r="V11" s="2846"/>
    </row>
    <row r="12" spans="1:22" s="2850" customFormat="1" ht="13.2" customHeight="1">
      <c r="A12" s="2893" t="s">
        <v>2361</v>
      </c>
      <c r="B12" s="3700" t="s">
        <v>2362</v>
      </c>
      <c r="C12" s="3701"/>
      <c r="D12" s="2894">
        <f>ROUND(D13*1.2%*(1-30%),0)</f>
        <v>0</v>
      </c>
      <c r="E12" s="2895">
        <v>1.2E-2</v>
      </c>
      <c r="F12" s="2888" t="s">
        <v>2363</v>
      </c>
      <c r="G12" s="2889"/>
      <c r="H12" s="2845"/>
      <c r="I12" s="2846"/>
      <c r="J12" s="3694"/>
      <c r="K12" s="3696"/>
      <c r="L12" s="2880" t="s">
        <v>2364</v>
      </c>
      <c r="M12" s="2881"/>
      <c r="N12" s="2857"/>
      <c r="O12" s="2882"/>
      <c r="P12" s="2882"/>
      <c r="Q12" s="2883">
        <v>365</v>
      </c>
      <c r="R12" s="2884">
        <f t="shared" si="0"/>
        <v>0</v>
      </c>
      <c r="S12" s="2838"/>
      <c r="T12" s="2838"/>
      <c r="U12" s="2838"/>
      <c r="V12" s="2846"/>
    </row>
    <row r="13" spans="1:22" s="2850" customFormat="1" ht="13.2" customHeight="1">
      <c r="A13" s="2893"/>
      <c r="B13" s="2896"/>
      <c r="C13" s="2897" t="s">
        <v>2365</v>
      </c>
      <c r="D13" s="2898"/>
      <c r="E13" s="2899"/>
      <c r="F13" s="2888"/>
      <c r="G13" s="2889"/>
      <c r="H13" s="2845"/>
      <c r="I13" s="2846"/>
      <c r="J13" s="3694"/>
      <c r="K13" s="3696"/>
      <c r="L13" s="2880" t="s">
        <v>2366</v>
      </c>
      <c r="M13" s="2881"/>
      <c r="N13" s="2857"/>
      <c r="O13" s="2882"/>
      <c r="P13" s="2882"/>
      <c r="Q13" s="2883">
        <v>365</v>
      </c>
      <c r="R13" s="2884">
        <f t="shared" si="0"/>
        <v>0</v>
      </c>
      <c r="S13" s="2838"/>
      <c r="T13" s="2838"/>
      <c r="U13" s="2838"/>
      <c r="V13" s="2846"/>
    </row>
    <row r="14" spans="1:22" s="2850" customFormat="1" ht="13.2" customHeight="1">
      <c r="A14" s="2893" t="s">
        <v>2367</v>
      </c>
      <c r="B14" s="3700" t="s">
        <v>2368</v>
      </c>
      <c r="C14" s="3701"/>
      <c r="D14" s="2894">
        <f>ROUND(E14*B5/10000,0)</f>
        <v>0</v>
      </c>
      <c r="E14" s="2883"/>
      <c r="F14" s="2888" t="s">
        <v>2369</v>
      </c>
      <c r="G14" s="2889"/>
      <c r="H14" s="2845"/>
      <c r="I14" s="2846"/>
      <c r="J14" s="3694"/>
      <c r="K14" s="3697"/>
      <c r="L14" s="2900" t="s">
        <v>2370</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2371</v>
      </c>
      <c r="B15" s="3700" t="s">
        <v>2372</v>
      </c>
      <c r="C15" s="3701"/>
      <c r="D15" s="2894">
        <f>ROUND(D6*E15,0)</f>
        <v>0</v>
      </c>
      <c r="E15" s="2895">
        <v>5.5E-2</v>
      </c>
      <c r="F15" s="2888" t="s">
        <v>2373</v>
      </c>
      <c r="G15" s="2870"/>
      <c r="H15" s="2845"/>
      <c r="I15" s="2846"/>
      <c r="J15" s="3694">
        <v>2</v>
      </c>
      <c r="K15" s="3695" t="s">
        <v>2374</v>
      </c>
      <c r="L15" s="2880" t="s">
        <v>2375</v>
      </c>
      <c r="M15" s="2881" t="s">
        <v>2376</v>
      </c>
      <c r="N15" s="2881" t="s">
        <v>2377</v>
      </c>
      <c r="O15" s="2882" t="s">
        <v>2378</v>
      </c>
      <c r="P15" s="2882" t="s">
        <v>2340</v>
      </c>
      <c r="Q15" s="2857" t="s">
        <v>2379</v>
      </c>
      <c r="R15" s="2904" t="s">
        <v>2341</v>
      </c>
      <c r="S15" s="2838"/>
      <c r="T15" s="2838"/>
      <c r="U15" s="2838"/>
      <c r="V15" s="2846"/>
    </row>
    <row r="16" spans="1:22" s="2850" customFormat="1" ht="13.2" customHeight="1">
      <c r="A16" s="2893" t="s">
        <v>2380</v>
      </c>
      <c r="B16" s="3700" t="s">
        <v>2381</v>
      </c>
      <c r="C16" s="3701"/>
      <c r="D16" s="2905">
        <f>D6*E16</f>
        <v>0</v>
      </c>
      <c r="E16" s="2906"/>
      <c r="F16" s="2891" t="s">
        <v>2382</v>
      </c>
      <c r="G16" s="2870"/>
      <c r="H16" s="2845"/>
      <c r="I16" s="2846"/>
      <c r="J16" s="3694"/>
      <c r="K16" s="3696"/>
      <c r="L16" s="2880" t="s">
        <v>2383</v>
      </c>
      <c r="M16" s="2881"/>
      <c r="N16" s="2881"/>
      <c r="O16" s="2882"/>
      <c r="P16" s="2883">
        <v>365</v>
      </c>
      <c r="Q16" s="2857"/>
      <c r="R16" s="2904">
        <f>ROUND(M16*N16*O16*P16/10000,0)</f>
        <v>0</v>
      </c>
      <c r="S16" s="2838"/>
      <c r="T16" s="2838"/>
      <c r="U16" s="2838"/>
      <c r="V16" s="2846"/>
    </row>
    <row r="17" spans="1:22" s="2850" customFormat="1" ht="13.2" customHeight="1" thickBot="1">
      <c r="A17" s="2907">
        <v>4</v>
      </c>
      <c r="B17" s="3702" t="s">
        <v>2384</v>
      </c>
      <c r="C17" s="3703"/>
      <c r="D17" s="2908">
        <f>ROUND(D6*E17,0)</f>
        <v>0</v>
      </c>
      <c r="E17" s="2909"/>
      <c r="F17" s="2910" t="s">
        <v>2385</v>
      </c>
      <c r="G17" s="2870"/>
      <c r="H17" s="2845"/>
      <c r="I17" s="2846"/>
      <c r="J17" s="3694"/>
      <c r="K17" s="3696"/>
      <c r="L17" s="2880" t="s">
        <v>2386</v>
      </c>
      <c r="M17" s="2881"/>
      <c r="N17" s="2881"/>
      <c r="O17" s="2882"/>
      <c r="P17" s="2883">
        <v>365</v>
      </c>
      <c r="Q17" s="2857"/>
      <c r="R17" s="2904">
        <f>ROUND(M17*N17*O17*P17/10000,0)</f>
        <v>0</v>
      </c>
      <c r="S17" s="2838"/>
      <c r="T17" s="2838"/>
      <c r="U17" s="2838"/>
      <c r="V17" s="2846"/>
    </row>
    <row r="18" spans="1:22" s="2850" customFormat="1" ht="13.2" customHeight="1" thickBot="1">
      <c r="A18" s="2873" t="s">
        <v>2387</v>
      </c>
      <c r="B18" s="2874"/>
      <c r="C18" s="2874"/>
      <c r="D18" s="2911">
        <f>ROUND(D6*E18,0)</f>
        <v>0</v>
      </c>
      <c r="E18" s="2912"/>
      <c r="F18" s="2913" t="s">
        <v>2388</v>
      </c>
      <c r="G18" s="2870"/>
      <c r="H18" s="2845"/>
      <c r="I18" s="2846"/>
      <c r="J18" s="3694"/>
      <c r="K18" s="3696"/>
      <c r="L18" s="2880" t="s">
        <v>2389</v>
      </c>
      <c r="M18" s="2881"/>
      <c r="N18" s="2881"/>
      <c r="O18" s="2882"/>
      <c r="P18" s="2883">
        <v>365</v>
      </c>
      <c r="Q18" s="2857"/>
      <c r="R18" s="2904">
        <f>ROUND(M18*N18*O18*P18/10000,0)</f>
        <v>0</v>
      </c>
      <c r="S18" s="2838"/>
      <c r="T18" s="2838"/>
      <c r="U18" s="2838"/>
      <c r="V18" s="2846"/>
    </row>
    <row r="19" spans="1:22" s="2850" customFormat="1" ht="13.2" customHeight="1" thickBot="1">
      <c r="A19" s="2914" t="s">
        <v>2390</v>
      </c>
      <c r="B19" s="2868"/>
      <c r="C19" s="2868"/>
      <c r="D19" s="2868"/>
      <c r="E19" s="2868"/>
      <c r="F19" s="2869"/>
      <c r="G19" s="2889"/>
      <c r="H19" s="2845"/>
      <c r="I19" s="2846"/>
      <c r="J19" s="3694"/>
      <c r="K19" s="3697"/>
      <c r="L19" s="2900" t="s">
        <v>2370</v>
      </c>
      <c r="M19" s="2901"/>
      <c r="N19" s="2901">
        <f>SUM(N16:N18)</f>
        <v>0</v>
      </c>
      <c r="O19" s="2902"/>
      <c r="P19" s="2915" t="s">
        <v>2434</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94">
        <v>3</v>
      </c>
      <c r="K20" s="3695" t="s">
        <v>2391</v>
      </c>
      <c r="L20" s="2880" t="s">
        <v>2392</v>
      </c>
      <c r="M20" s="2881" t="s">
        <v>2393</v>
      </c>
      <c r="N20" s="2918" t="s">
        <v>2394</v>
      </c>
      <c r="O20" s="2882" t="s">
        <v>2395</v>
      </c>
      <c r="P20" s="2883" t="s">
        <v>2396</v>
      </c>
      <c r="Q20" s="2857" t="s">
        <v>2397</v>
      </c>
      <c r="R20" s="2904" t="s">
        <v>2398</v>
      </c>
      <c r="S20" s="2919"/>
      <c r="T20" s="2919"/>
      <c r="U20" s="2919"/>
      <c r="V20" s="2846"/>
    </row>
    <row r="21" spans="1:22" s="2850" customFormat="1" ht="13.2" customHeight="1">
      <c r="A21" s="2873"/>
      <c r="B21" s="2874"/>
      <c r="C21" s="2920" t="s">
        <v>2399</v>
      </c>
      <c r="D21" s="2921" t="s">
        <v>2400</v>
      </c>
      <c r="E21" s="2922" t="s">
        <v>2401</v>
      </c>
      <c r="F21" s="2917"/>
      <c r="G21" s="2889"/>
      <c r="H21" s="2845"/>
      <c r="I21" s="2846"/>
      <c r="J21" s="3694"/>
      <c r="K21" s="3696"/>
      <c r="L21" s="2880" t="s">
        <v>2402</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2403</v>
      </c>
      <c r="D22" s="2925" t="s">
        <v>2404</v>
      </c>
      <c r="E22" s="2926" t="s">
        <v>2405</v>
      </c>
      <c r="F22" s="2917"/>
      <c r="G22" s="2927"/>
      <c r="H22" s="2845"/>
      <c r="I22" s="2846"/>
      <c r="J22" s="3694"/>
      <c r="K22" s="3696"/>
      <c r="L22" s="2880" t="s">
        <v>2406</v>
      </c>
      <c r="M22" s="2881"/>
      <c r="N22" s="2881"/>
      <c r="O22" s="2882"/>
      <c r="P22" s="2883">
        <v>365</v>
      </c>
      <c r="Q22" s="2857"/>
      <c r="R22" s="2923">
        <f>ROUND(M22*N22*O22*P22/10000,0)</f>
        <v>0</v>
      </c>
      <c r="S22" s="2919"/>
      <c r="T22" s="2919"/>
      <c r="U22" s="2919"/>
      <c r="V22" s="2846"/>
    </row>
    <row r="23" spans="1:22" s="2850" customFormat="1" ht="13.2" customHeight="1">
      <c r="A23" s="2928">
        <v>1</v>
      </c>
      <c r="B23" s="2929" t="s">
        <v>2407</v>
      </c>
      <c r="C23" s="2930">
        <f>D6</f>
        <v>0</v>
      </c>
      <c r="D23" s="2931">
        <f>C23*(1+D24)</f>
        <v>0</v>
      </c>
      <c r="E23" s="2932">
        <f>D23*(1+E24)</f>
        <v>0</v>
      </c>
      <c r="F23" s="2933"/>
      <c r="G23" s="2934"/>
      <c r="H23" s="2845"/>
      <c r="I23" s="2846"/>
      <c r="J23" s="3694"/>
      <c r="K23" s="3696"/>
      <c r="L23" s="2880" t="s">
        <v>2408</v>
      </c>
      <c r="M23" s="2881"/>
      <c r="N23" s="2881"/>
      <c r="O23" s="2882"/>
      <c r="P23" s="2883">
        <v>365</v>
      </c>
      <c r="Q23" s="2857"/>
      <c r="R23" s="2923">
        <f>ROUND(M23*N23*O23*P23/10000,0)</f>
        <v>0</v>
      </c>
      <c r="S23" s="2838"/>
      <c r="T23" s="2838"/>
      <c r="U23" s="2838"/>
      <c r="V23" s="2846"/>
    </row>
    <row r="24" spans="1:22" s="2850" customFormat="1" ht="13.2" customHeight="1">
      <c r="A24" s="2935"/>
      <c r="B24" s="2936" t="s">
        <v>2409</v>
      </c>
      <c r="C24" s="2937"/>
      <c r="D24" s="2938"/>
      <c r="E24" s="2939"/>
      <c r="F24" s="2940"/>
      <c r="G24" s="2934"/>
      <c r="H24" s="2845"/>
      <c r="I24" s="2846"/>
      <c r="J24" s="3694"/>
      <c r="K24" s="3697"/>
      <c r="L24" s="2900" t="s">
        <v>2370</v>
      </c>
      <c r="M24" s="2901">
        <f>SUM(M21:M23)</f>
        <v>0</v>
      </c>
      <c r="N24" s="2901"/>
      <c r="O24" s="2902"/>
      <c r="P24" s="2915" t="s">
        <v>2434</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2410</v>
      </c>
      <c r="L25" s="2943"/>
      <c r="M25" s="2943"/>
      <c r="N25" s="2943"/>
      <c r="O25" s="2943"/>
      <c r="P25" s="2944"/>
      <c r="Q25" s="2945">
        <v>0</v>
      </c>
      <c r="R25" s="2916">
        <f>ROUND(R14*Q25,0)</f>
        <v>0</v>
      </c>
      <c r="S25" s="2838"/>
      <c r="T25" s="2838"/>
      <c r="U25" s="2838"/>
      <c r="V25" s="2946"/>
    </row>
    <row r="26" spans="1:22" s="2947" customFormat="1" ht="13.2" customHeight="1">
      <c r="A26" s="2928">
        <v>2</v>
      </c>
      <c r="B26" s="2929" t="s">
        <v>2411</v>
      </c>
      <c r="C26" s="2930">
        <f>D7</f>
        <v>0</v>
      </c>
      <c r="D26" s="2931">
        <f>D23*D27</f>
        <v>0</v>
      </c>
      <c r="E26" s="2932">
        <f>E23*E27</f>
        <v>0</v>
      </c>
      <c r="F26" s="2933"/>
      <c r="G26" s="2934"/>
      <c r="H26" s="2845"/>
      <c r="I26" s="2846"/>
      <c r="J26" s="3704">
        <v>5</v>
      </c>
      <c r="K26" s="2948" t="s">
        <v>2412</v>
      </c>
      <c r="L26" s="2949"/>
      <c r="M26" s="2950"/>
      <c r="N26" s="2951" t="s">
        <v>2413</v>
      </c>
      <c r="O26" s="2951" t="s">
        <v>2414</v>
      </c>
      <c r="P26" s="2952" t="s">
        <v>2415</v>
      </c>
      <c r="Q26" s="2952" t="s">
        <v>2416</v>
      </c>
      <c r="R26" s="2855" t="s">
        <v>2341</v>
      </c>
      <c r="S26" s="2953"/>
      <c r="T26" s="2953"/>
      <c r="U26" s="2953"/>
      <c r="V26" s="2946"/>
    </row>
    <row r="27" spans="1:22" s="2850" customFormat="1" ht="13.2" customHeight="1">
      <c r="A27" s="2935"/>
      <c r="B27" s="2936" t="s">
        <v>2417</v>
      </c>
      <c r="C27" s="2954" t="e">
        <f>E7</f>
        <v>#DIV/0!</v>
      </c>
      <c r="D27" s="2938"/>
      <c r="E27" s="2939"/>
      <c r="F27" s="2940"/>
      <c r="G27" s="2934"/>
      <c r="H27" s="2955"/>
      <c r="I27" s="2946"/>
      <c r="J27" s="3705"/>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2418</v>
      </c>
      <c r="F28" s="2940"/>
      <c r="G28" s="2927"/>
      <c r="H28" s="2955"/>
      <c r="I28" s="2946"/>
      <c r="J28" s="2961">
        <v>6</v>
      </c>
      <c r="K28" s="2962" t="s">
        <v>2419</v>
      </c>
      <c r="L28" s="2963" t="s">
        <v>2420</v>
      </c>
      <c r="M28" s="2964"/>
      <c r="N28" s="2963" t="s">
        <v>2421</v>
      </c>
      <c r="O28" s="2965"/>
      <c r="P28" s="2963" t="s">
        <v>2422</v>
      </c>
      <c r="Q28" s="2966">
        <v>1.4999999999999999E-2</v>
      </c>
      <c r="R28" s="2967"/>
      <c r="S28" s="2919"/>
      <c r="T28" s="2919"/>
      <c r="U28" s="2919"/>
      <c r="V28" s="2946"/>
    </row>
    <row r="29" spans="1:22" s="2947" customFormat="1" ht="13.2" customHeight="1">
      <c r="A29" s="2928">
        <v>3</v>
      </c>
      <c r="B29" s="2929" t="s">
        <v>2423</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2417</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2424</v>
      </c>
      <c r="K31" s="2836"/>
      <c r="L31" s="2836"/>
      <c r="M31" s="2836"/>
      <c r="N31" s="2836"/>
      <c r="O31" s="2836"/>
      <c r="P31" s="2836"/>
      <c r="Q31" s="2836"/>
      <c r="R31" s="2837"/>
      <c r="S31" s="2919"/>
      <c r="T31" s="2838"/>
      <c r="U31" s="2838"/>
      <c r="V31" s="2946"/>
    </row>
    <row r="32" spans="1:22" s="2947" customFormat="1" ht="13.2" customHeight="1">
      <c r="A32" s="2928">
        <v>4</v>
      </c>
      <c r="B32" s="2929" t="s">
        <v>2425</v>
      </c>
      <c r="C32" s="2930">
        <f>C23-C26-C29</f>
        <v>0</v>
      </c>
      <c r="D32" s="2931">
        <f>D23-D26-D29</f>
        <v>0</v>
      </c>
      <c r="E32" s="2932">
        <f>E23-E26-E29</f>
        <v>0</v>
      </c>
      <c r="F32" s="2933"/>
      <c r="G32" s="2927"/>
      <c r="H32" s="2845"/>
      <c r="I32" s="2846"/>
      <c r="J32" s="3687" t="s">
        <v>2317</v>
      </c>
      <c r="K32" s="3688"/>
      <c r="L32" s="2847" t="s">
        <v>2318</v>
      </c>
      <c r="M32" s="2847" t="s">
        <v>2319</v>
      </c>
      <c r="N32" s="2847" t="s">
        <v>2320</v>
      </c>
      <c r="O32" s="2847" t="s">
        <v>2321</v>
      </c>
      <c r="P32" s="2847" t="s">
        <v>2322</v>
      </c>
      <c r="Q32" s="2848" t="s">
        <v>2323</v>
      </c>
      <c r="R32" s="2970" t="s">
        <v>2324</v>
      </c>
      <c r="S32" s="2919"/>
      <c r="T32" s="2838"/>
      <c r="U32" s="2838"/>
      <c r="V32" s="2946"/>
    </row>
    <row r="33" spans="1:23" s="2850" customFormat="1" ht="13.2" customHeight="1">
      <c r="A33" s="2928"/>
      <c r="B33" s="2929"/>
      <c r="C33" s="2930"/>
      <c r="D33" s="2971"/>
      <c r="E33" s="2972"/>
      <c r="F33" s="2933"/>
      <c r="G33" s="2927"/>
      <c r="H33" s="2955"/>
      <c r="I33" s="2946"/>
      <c r="J33" s="3689" t="s">
        <v>2327</v>
      </c>
      <c r="K33" s="3690"/>
      <c r="L33" s="2853"/>
      <c r="M33" s="2853"/>
      <c r="N33" s="2853"/>
      <c r="O33" s="2853"/>
      <c r="P33" s="2853"/>
      <c r="Q33" s="2854"/>
      <c r="R33" s="2973">
        <f>SUM(L33:Q33)</f>
        <v>0</v>
      </c>
      <c r="S33" s="2919"/>
      <c r="T33" s="2838"/>
      <c r="U33" s="2838"/>
      <c r="V33" s="2846"/>
    </row>
    <row r="34" spans="1:23" s="2850" customFormat="1" ht="13.2" customHeight="1">
      <c r="A34" s="2928">
        <v>5</v>
      </c>
      <c r="B34" s="2929" t="s">
        <v>2426</v>
      </c>
      <c r="C34" s="2974"/>
      <c r="D34" s="2975"/>
      <c r="E34" s="2976"/>
      <c r="F34" s="2933"/>
      <c r="G34" s="2927"/>
      <c r="H34" s="2955"/>
      <c r="I34" s="2946"/>
      <c r="J34" s="3689" t="s">
        <v>2329</v>
      </c>
      <c r="K34" s="3690"/>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2427</v>
      </c>
      <c r="C35" s="2978"/>
      <c r="D35" s="2979"/>
      <c r="E35" s="2980"/>
      <c r="F35" s="2933"/>
      <c r="G35" s="2981"/>
      <c r="H35" s="2845"/>
      <c r="I35" s="2946"/>
      <c r="J35" s="2864" t="s">
        <v>2331</v>
      </c>
      <c r="K35" s="2865"/>
      <c r="L35" s="2865"/>
      <c r="M35" s="2866"/>
      <c r="N35" s="2866"/>
      <c r="O35" s="2866"/>
      <c r="P35" s="2866"/>
      <c r="Q35" s="2866"/>
      <c r="R35" s="2982">
        <f>R40+R41+R43</f>
        <v>0</v>
      </c>
      <c r="S35" s="2919"/>
      <c r="T35" s="2838" t="s">
        <v>2332</v>
      </c>
      <c r="U35" s="2838"/>
      <c r="V35" s="2846"/>
    </row>
    <row r="36" spans="1:23" s="2850" customFormat="1" ht="13.2" customHeight="1" thickBot="1">
      <c r="A36" s="2928">
        <v>7</v>
      </c>
      <c r="B36" s="2983" t="s">
        <v>2428</v>
      </c>
      <c r="C36" s="2984"/>
      <c r="D36" s="2985"/>
      <c r="E36" s="2986"/>
      <c r="F36" s="2987">
        <f>C36+D36+E36</f>
        <v>0</v>
      </c>
      <c r="G36" s="2927"/>
      <c r="H36" s="2845"/>
      <c r="I36" s="2846"/>
      <c r="J36" s="3694">
        <v>1</v>
      </c>
      <c r="K36" s="3695" t="s">
        <v>2429</v>
      </c>
      <c r="L36" s="2871"/>
      <c r="M36" s="2872"/>
      <c r="N36" s="2872"/>
      <c r="O36" s="2872"/>
      <c r="P36" s="2872"/>
      <c r="Q36" s="2872"/>
      <c r="R36" s="2855" t="s">
        <v>2341</v>
      </c>
      <c r="S36" s="2919"/>
      <c r="T36" s="2838" t="s">
        <v>2342</v>
      </c>
      <c r="U36" s="2838"/>
      <c r="V36" s="2846"/>
    </row>
    <row r="37" spans="1:23" s="2850" customFormat="1" ht="13.2" customHeight="1">
      <c r="A37" s="2928"/>
      <c r="B37" s="2929"/>
      <c r="C37" s="2929"/>
      <c r="D37" s="2929"/>
      <c r="E37" s="2929"/>
      <c r="F37" s="2933"/>
      <c r="G37" s="2927"/>
      <c r="H37" s="2845"/>
      <c r="I37" s="2846"/>
      <c r="J37" s="3694"/>
      <c r="K37" s="3696"/>
      <c r="L37" s="2880"/>
      <c r="M37" s="2881"/>
      <c r="N37" s="2857"/>
      <c r="O37" s="2882"/>
      <c r="P37" s="2882"/>
      <c r="Q37" s="2883"/>
      <c r="R37" s="2884"/>
      <c r="S37" s="2919"/>
      <c r="T37" s="2838" t="s">
        <v>2345</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94"/>
      <c r="K38" s="3696"/>
      <c r="L38" s="2880"/>
      <c r="M38" s="2881"/>
      <c r="N38" s="2857"/>
      <c r="O38" s="2882"/>
      <c r="P38" s="2882"/>
      <c r="Q38" s="2883"/>
      <c r="R38" s="2884"/>
      <c r="S38" s="2919"/>
      <c r="T38" s="2838" t="s">
        <v>2352</v>
      </c>
      <c r="U38" s="2838"/>
      <c r="V38" s="2846"/>
    </row>
    <row r="39" spans="1:23" s="2850" customFormat="1" ht="13.2" customHeight="1">
      <c r="A39" s="2928">
        <v>9</v>
      </c>
      <c r="B39" s="2929" t="s">
        <v>2430</v>
      </c>
      <c r="C39" s="2894" t="e">
        <f>C38</f>
        <v>#DIV/0!</v>
      </c>
      <c r="D39" s="2929">
        <f>D38/(1+D34)^C36</f>
        <v>0</v>
      </c>
      <c r="E39" s="2929">
        <f>E38/(1+E34)^(C36+D36)</f>
        <v>0</v>
      </c>
      <c r="F39" s="2933"/>
      <c r="G39" s="2988"/>
      <c r="H39" s="2845"/>
      <c r="I39" s="2846"/>
      <c r="J39" s="3694"/>
      <c r="K39" s="3696"/>
      <c r="L39" s="2880"/>
      <c r="M39" s="2881"/>
      <c r="N39" s="2857"/>
      <c r="O39" s="2882"/>
      <c r="P39" s="2882"/>
      <c r="Q39" s="2883"/>
      <c r="R39" s="2884"/>
      <c r="S39" s="2919"/>
      <c r="T39" s="2838"/>
      <c r="U39" s="2838"/>
      <c r="V39" s="2846"/>
    </row>
    <row r="40" spans="1:23" s="2850" customFormat="1" ht="13.2" customHeight="1">
      <c r="A40" s="2989">
        <v>10</v>
      </c>
      <c r="B40" s="2929" t="s">
        <v>2431</v>
      </c>
      <c r="C40" s="2990" t="e">
        <f>C39+D39+E39</f>
        <v>#DIV/0!</v>
      </c>
      <c r="D40" s="2991"/>
      <c r="E40" s="2991"/>
      <c r="F40" s="2992"/>
      <c r="G40" s="2927"/>
      <c r="H40" s="2845"/>
      <c r="I40" s="2846"/>
      <c r="J40" s="3694"/>
      <c r="K40" s="3697"/>
      <c r="L40" s="2900" t="s">
        <v>2370</v>
      </c>
      <c r="M40" s="2901"/>
      <c r="N40" s="2901"/>
      <c r="O40" s="2902"/>
      <c r="P40" s="2902"/>
      <c r="Q40" s="2903"/>
      <c r="R40" s="2849">
        <f>SUM(R37:R39)</f>
        <v>0</v>
      </c>
      <c r="S40" s="2919"/>
      <c r="T40" s="2838"/>
      <c r="U40" s="2838"/>
      <c r="V40" s="2846"/>
    </row>
    <row r="41" spans="1:23" s="2850" customFormat="1" ht="13.2" customHeight="1" thickBot="1">
      <c r="A41" s="2993">
        <v>11</v>
      </c>
      <c r="B41" s="2994" t="s">
        <v>2432</v>
      </c>
      <c r="C41" s="2994" t="e">
        <f>ROUND(C40*10000/B4,0)</f>
        <v>#DIV/0!</v>
      </c>
      <c r="D41" s="2995"/>
      <c r="E41" s="2995"/>
      <c r="F41" s="2996"/>
      <c r="G41" s="2997"/>
      <c r="H41" s="2845"/>
      <c r="I41" s="2846"/>
      <c r="J41" s="2941">
        <v>2</v>
      </c>
      <c r="K41" s="2942" t="s">
        <v>2410</v>
      </c>
      <c r="L41" s="2943"/>
      <c r="M41" s="2943"/>
      <c r="N41" s="2943"/>
      <c r="O41" s="2943"/>
      <c r="P41" s="2944"/>
      <c r="Q41" s="2945"/>
      <c r="R41" s="2916">
        <f>ROUND(R40*Q41,0)</f>
        <v>0</v>
      </c>
      <c r="S41" s="2919"/>
      <c r="T41" s="2838"/>
      <c r="U41" s="2953"/>
      <c r="V41" s="2846"/>
    </row>
    <row r="42" spans="1:23" s="2850" customFormat="1" ht="13.2" customHeight="1">
      <c r="G42" s="2997"/>
      <c r="H42" s="2845"/>
      <c r="I42" s="2846"/>
      <c r="J42" s="3704">
        <v>3</v>
      </c>
      <c r="K42" s="2948" t="s">
        <v>2412</v>
      </c>
      <c r="L42" s="2949"/>
      <c r="M42" s="2950"/>
      <c r="N42" s="2951" t="s">
        <v>2413</v>
      </c>
      <c r="O42" s="2951" t="s">
        <v>2414</v>
      </c>
      <c r="P42" s="2952" t="s">
        <v>2415</v>
      </c>
      <c r="Q42" s="2952" t="s">
        <v>2416</v>
      </c>
      <c r="R42" s="2855" t="s">
        <v>2341</v>
      </c>
      <c r="S42" s="2953"/>
      <c r="T42" s="2953"/>
      <c r="U42" s="2838"/>
      <c r="V42" s="2846"/>
    </row>
    <row r="43" spans="1:23" ht="13.2" customHeight="1">
      <c r="A43" s="2850"/>
      <c r="B43" s="2850"/>
      <c r="C43" s="2850"/>
      <c r="D43" s="2850"/>
      <c r="E43" s="2850"/>
      <c r="F43" s="2850"/>
      <c r="I43" s="2833"/>
      <c r="J43" s="3705"/>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2419</v>
      </c>
      <c r="L44" s="3001" t="s">
        <v>2420</v>
      </c>
      <c r="M44" s="2964"/>
      <c r="N44" s="3001" t="s">
        <v>2421</v>
      </c>
      <c r="O44" s="2964"/>
      <c r="P44" s="3001" t="s">
        <v>2422</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4"/>
      <c r="G1" s="1487"/>
      <c r="H1" s="1487"/>
      <c r="I1" s="1487"/>
      <c r="J1" s="1487"/>
      <c r="K1" s="1487"/>
      <c r="L1" s="1487"/>
      <c r="M1" s="1487"/>
      <c r="N1" s="1487"/>
      <c r="O1" s="1487"/>
      <c r="P1" s="1487"/>
      <c r="Q1" s="1487"/>
      <c r="R1" s="1487"/>
      <c r="S1" s="1487"/>
    </row>
    <row r="2" spans="1:22" ht="15.6">
      <c r="A2" s="1868" t="s">
        <v>1462</v>
      </c>
      <c r="B2" s="1869">
        <f ca="1">SUMIF(B6:B13,"&lt;&gt;#ref!",B6:B13)</f>
        <v>367.52609999999999</v>
      </c>
      <c r="C2" s="1870" t="s">
        <v>1651</v>
      </c>
      <c r="D2" s="1871" t="s">
        <v>1652</v>
      </c>
      <c r="E2" s="2604">
        <f>SUM(E6:E13)</f>
        <v>127.35</v>
      </c>
      <c r="F2" s="2704"/>
      <c r="G2" s="1487"/>
      <c r="H2" s="1487"/>
      <c r="I2" s="1487"/>
      <c r="J2" s="1487"/>
      <c r="K2" s="1487"/>
      <c r="L2" s="1487"/>
      <c r="M2" s="1487"/>
      <c r="N2" s="1487"/>
      <c r="O2" s="1487"/>
      <c r="P2" s="1487"/>
      <c r="Q2" s="1487"/>
      <c r="R2" s="1487"/>
      <c r="S2" s="1487"/>
    </row>
    <row r="3" spans="1:22" ht="15.6">
      <c r="A3" s="1868" t="s">
        <v>686</v>
      </c>
      <c r="B3" s="2598">
        <f ca="1">ROUND(B2*10000/E2,0)</f>
        <v>28860</v>
      </c>
      <c r="C3" s="1870" t="s">
        <v>1659</v>
      </c>
      <c r="D3" s="2706"/>
      <c r="E3" s="2708"/>
      <c r="F3" s="2704"/>
      <c r="G3" s="1487"/>
      <c r="H3" s="1487"/>
      <c r="I3" s="1487"/>
      <c r="J3" s="1487"/>
      <c r="K3" s="1487"/>
      <c r="L3" s="1487"/>
      <c r="M3" s="1487"/>
      <c r="N3" s="1487"/>
      <c r="O3" s="1487"/>
      <c r="P3" s="1487"/>
      <c r="Q3" s="1487"/>
      <c r="R3" s="1487"/>
      <c r="S3" s="1487"/>
    </row>
    <row r="4" spans="1:22" ht="15.6">
      <c r="A4" s="2709"/>
      <c r="B4" s="2706"/>
      <c r="C4" s="2706"/>
      <c r="D4" s="2706"/>
      <c r="E4" s="2708"/>
      <c r="F4" s="2704"/>
      <c r="G4" s="1487"/>
      <c r="H4" s="1487"/>
      <c r="I4" s="1487"/>
      <c r="J4" s="1487"/>
      <c r="K4" s="1487"/>
      <c r="L4" s="1487"/>
      <c r="M4" s="1487"/>
      <c r="N4" s="1487"/>
      <c r="O4" s="1487"/>
      <c r="P4" s="1487"/>
      <c r="Q4" s="1487"/>
      <c r="R4" s="1487"/>
      <c r="S4" s="1487"/>
    </row>
    <row r="5" spans="1:22" ht="14.4">
      <c r="A5" s="2600" t="s">
        <v>1653</v>
      </c>
      <c r="B5" s="3706" t="s">
        <v>1654</v>
      </c>
      <c r="C5" s="3707"/>
      <c r="D5" s="2705"/>
      <c r="E5" s="1872" t="s">
        <v>1655</v>
      </c>
      <c r="F5" s="1873" t="s">
        <v>1656</v>
      </c>
      <c r="G5" s="1487"/>
      <c r="H5" s="1487"/>
      <c r="I5" s="1487"/>
      <c r="J5" s="1487"/>
      <c r="K5" s="1487"/>
      <c r="L5" s="1487"/>
      <c r="M5" s="1487"/>
      <c r="N5" s="1487"/>
      <c r="O5" s="1487"/>
      <c r="P5" s="1487"/>
      <c r="Q5" s="1487"/>
      <c r="R5" s="1487"/>
      <c r="S5" s="1487"/>
    </row>
    <row r="6" spans="1:22" ht="14.4">
      <c r="A6" s="2601" t="str">
        <f>'数据-取费表'!AN6</f>
        <v>收益法 (元)</v>
      </c>
      <c r="B6" s="2599">
        <f ca="1">IF(F6="是",'数据-取费表'!AO6,0)</f>
        <v>367.52609999999999</v>
      </c>
      <c r="C6" s="1870" t="s">
        <v>1651</v>
      </c>
      <c r="D6" s="2706"/>
      <c r="E6" s="2603">
        <f>IF(OR(A6=0,F6="否"),0,'数据-取费表'!K6+'数据-取费表'!S6)</f>
        <v>127.35</v>
      </c>
      <c r="F6" s="1874" t="s">
        <v>1657</v>
      </c>
      <c r="G6" s="1487"/>
      <c r="H6" s="1487"/>
      <c r="I6" s="1487"/>
      <c r="J6" s="1487"/>
      <c r="K6" s="1487"/>
      <c r="L6" s="1487"/>
      <c r="M6" s="1487"/>
      <c r="N6" s="1487"/>
      <c r="O6" s="1487"/>
      <c r="P6" s="1487"/>
      <c r="Q6" s="1487"/>
      <c r="R6" s="1487"/>
      <c r="S6" s="1487"/>
    </row>
    <row r="7" spans="1:22" ht="14.4">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ht="14.4">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ht="14.4">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ht="14.4">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127.35</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4.4">
      <c r="A4" s="355" t="s">
        <v>1666</v>
      </c>
      <c r="B4" s="356"/>
      <c r="C4" s="3726" t="s">
        <v>1667</v>
      </c>
      <c r="D4" s="3727"/>
      <c r="E4" s="3728" t="s">
        <v>1668</v>
      </c>
      <c r="F4" s="3729"/>
      <c r="G4" s="3726" t="s">
        <v>1669</v>
      </c>
      <c r="H4" s="3727"/>
      <c r="I4" s="3726" t="s">
        <v>1670</v>
      </c>
      <c r="J4" s="3727"/>
      <c r="K4" s="1887" t="s">
        <v>1671</v>
      </c>
      <c r="L4" s="2712"/>
      <c r="M4" s="2713"/>
      <c r="N4" s="2713"/>
      <c r="O4" s="2713"/>
      <c r="P4" s="3730" t="s">
        <v>1672</v>
      </c>
      <c r="Q4" s="3731"/>
      <c r="R4" s="3713" t="s">
        <v>1668</v>
      </c>
      <c r="S4" s="3714"/>
      <c r="T4" s="3713" t="s">
        <v>1669</v>
      </c>
      <c r="U4" s="3714"/>
      <c r="V4" s="3738" t="s">
        <v>1670</v>
      </c>
      <c r="W4" s="3738"/>
      <c r="X4" s="1353"/>
      <c r="Y4" s="3713" t="s">
        <v>1672</v>
      </c>
      <c r="Z4" s="3714"/>
      <c r="AA4" s="3708" t="s">
        <v>1668</v>
      </c>
      <c r="AB4" s="3708" t="s">
        <v>1669</v>
      </c>
      <c r="AC4" s="3708" t="s">
        <v>1670</v>
      </c>
    </row>
    <row r="5" spans="1:29">
      <c r="A5" s="358"/>
      <c r="B5" s="359"/>
      <c r="C5" s="3719" t="s">
        <v>1673</v>
      </c>
      <c r="D5" s="3720"/>
      <c r="E5" s="3717" t="s">
        <v>1674</v>
      </c>
      <c r="F5" s="3718"/>
      <c r="G5" s="3719" t="s">
        <v>1675</v>
      </c>
      <c r="H5" s="3720"/>
      <c r="I5" s="3719" t="s">
        <v>1676</v>
      </c>
      <c r="J5" s="3720"/>
      <c r="K5" s="1888"/>
      <c r="L5" s="2712"/>
      <c r="M5" s="2713"/>
      <c r="N5" s="2713"/>
      <c r="O5" s="2713"/>
      <c r="P5" s="3732"/>
      <c r="Q5" s="3733"/>
      <c r="R5" s="3715"/>
      <c r="S5" s="3716"/>
      <c r="T5" s="3715"/>
      <c r="U5" s="3716"/>
      <c r="V5" s="3738"/>
      <c r="W5" s="3738"/>
      <c r="X5" s="1353"/>
      <c r="Y5" s="3715"/>
      <c r="Z5" s="3716"/>
      <c r="AA5" s="3709"/>
      <c r="AB5" s="3709"/>
      <c r="AC5" s="3709"/>
    </row>
    <row r="6" spans="1:29" ht="15" thickBot="1">
      <c r="A6" s="360"/>
      <c r="B6" s="361"/>
      <c r="C6" s="3721" t="s">
        <v>1677</v>
      </c>
      <c r="D6" s="3722"/>
      <c r="E6" s="3723" t="s">
        <v>1677</v>
      </c>
      <c r="F6" s="3724"/>
      <c r="G6" s="3721" t="s">
        <v>1677</v>
      </c>
      <c r="H6" s="3722"/>
      <c r="I6" s="3721" t="s">
        <v>1677</v>
      </c>
      <c r="J6" s="3722"/>
      <c r="K6" s="1888" t="s">
        <v>1678</v>
      </c>
      <c r="L6" s="2712"/>
      <c r="M6" s="2713"/>
      <c r="N6" s="2713"/>
      <c r="O6" s="2713"/>
      <c r="P6" s="3734"/>
      <c r="Q6" s="3735"/>
      <c r="R6" s="3715"/>
      <c r="S6" s="3716"/>
      <c r="T6" s="3736"/>
      <c r="U6" s="3737"/>
      <c r="V6" s="3738"/>
      <c r="W6" s="3738"/>
      <c r="X6" s="1353"/>
      <c r="Y6" s="3736"/>
      <c r="Z6" s="3737"/>
      <c r="AA6" s="3710"/>
      <c r="AB6" s="3710"/>
      <c r="AC6" s="3710"/>
    </row>
    <row r="7" spans="1:29" s="108" customFormat="1" ht="1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11" t="s">
        <v>1680</v>
      </c>
      <c r="Q7" s="3739"/>
      <c r="R7" s="699" t="s">
        <v>20</v>
      </c>
      <c r="S7" s="700">
        <f t="shared" ref="S7:S15" si="0">F7</f>
        <v>0</v>
      </c>
      <c r="T7" s="699" t="s">
        <v>20</v>
      </c>
      <c r="U7" s="700">
        <f t="shared" ref="U7:U15" si="1">H7</f>
        <v>0</v>
      </c>
      <c r="V7" s="699" t="s">
        <v>20</v>
      </c>
      <c r="W7" s="700">
        <f t="shared" ref="W7:W15" si="2">J7</f>
        <v>0</v>
      </c>
      <c r="X7" s="701"/>
      <c r="Y7" s="3711" t="s">
        <v>1680</v>
      </c>
      <c r="Z7" s="3712"/>
      <c r="AA7" s="702" t="e">
        <f>D7/F7</f>
        <v>#DIV/0!</v>
      </c>
      <c r="AB7" s="702" t="e">
        <f>D7/H7</f>
        <v>#DIV/0!</v>
      </c>
      <c r="AC7" s="702" t="e">
        <f>D7/J7</f>
        <v>#DIV/0!</v>
      </c>
    </row>
    <row r="8" spans="1:29" s="108" customFormat="1" ht="1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11" t="s">
        <v>1683</v>
      </c>
      <c r="Q8" s="3712"/>
      <c r="R8" s="699" t="s">
        <v>20</v>
      </c>
      <c r="S8" s="700">
        <f t="shared" si="0"/>
        <v>100</v>
      </c>
      <c r="T8" s="699" t="s">
        <v>20</v>
      </c>
      <c r="U8" s="700">
        <f t="shared" si="1"/>
        <v>100</v>
      </c>
      <c r="V8" s="699" t="s">
        <v>20</v>
      </c>
      <c r="W8" s="700">
        <f t="shared" si="2"/>
        <v>100</v>
      </c>
      <c r="X8" s="701"/>
      <c r="Y8" s="3711" t="s">
        <v>1683</v>
      </c>
      <c r="Z8" s="3712"/>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25" t="s">
        <v>1686</v>
      </c>
      <c r="Q9" s="1341"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25"/>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5"/>
      <c r="Q11" s="1341" t="str">
        <f t="shared" si="6"/>
        <v>容积率</v>
      </c>
      <c r="R11" s="699" t="s">
        <v>18</v>
      </c>
      <c r="S11" s="700" t="e">
        <f t="shared" si="0"/>
        <v>#N/A</v>
      </c>
      <c r="T11" s="699" t="s">
        <v>18</v>
      </c>
      <c r="U11" s="700" t="e">
        <f t="shared" si="1"/>
        <v>#N/A</v>
      </c>
      <c r="V11" s="699" t="s">
        <v>18</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25"/>
      <c r="Q12" s="1341">
        <f t="shared" si="6"/>
        <v>111</v>
      </c>
      <c r="R12" s="699" t="s">
        <v>18</v>
      </c>
      <c r="S12" s="700">
        <f t="shared" si="0"/>
        <v>100</v>
      </c>
      <c r="T12" s="699" t="s">
        <v>18</v>
      </c>
      <c r="U12" s="700">
        <f t="shared" si="1"/>
        <v>100</v>
      </c>
      <c r="V12" s="699" t="s">
        <v>18</v>
      </c>
      <c r="W12" s="700">
        <f t="shared" si="2"/>
        <v>100</v>
      </c>
      <c r="X12" s="701"/>
      <c r="Y12" s="363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25"/>
      <c r="Q13" s="1341">
        <f t="shared" si="6"/>
        <v>111</v>
      </c>
      <c r="R13" s="699" t="s">
        <v>18</v>
      </c>
      <c r="S13" s="700">
        <f t="shared" si="0"/>
        <v>100</v>
      </c>
      <c r="T13" s="699" t="s">
        <v>18</v>
      </c>
      <c r="U13" s="700">
        <f t="shared" si="1"/>
        <v>100</v>
      </c>
      <c r="V13" s="699" t="s">
        <v>18</v>
      </c>
      <c r="W13" s="700">
        <f t="shared" si="2"/>
        <v>100</v>
      </c>
      <c r="X13" s="701"/>
      <c r="Y13" s="3636"/>
      <c r="Z13" s="52">
        <f t="shared" si="7"/>
        <v>111</v>
      </c>
      <c r="AA13" s="702">
        <f t="shared" si="3"/>
        <v>1</v>
      </c>
      <c r="AB13" s="702">
        <f t="shared" si="4"/>
        <v>1</v>
      </c>
      <c r="AC13" s="702">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25"/>
      <c r="Q14" s="1341">
        <f t="shared" si="6"/>
        <v>111</v>
      </c>
      <c r="R14" s="699" t="s">
        <v>18</v>
      </c>
      <c r="S14" s="700">
        <f t="shared" si="0"/>
        <v>100</v>
      </c>
      <c r="T14" s="699" t="s">
        <v>18</v>
      </c>
      <c r="U14" s="700">
        <f t="shared" si="1"/>
        <v>100</v>
      </c>
      <c r="V14" s="699" t="s">
        <v>18</v>
      </c>
      <c r="W14" s="700">
        <f t="shared" si="2"/>
        <v>100</v>
      </c>
      <c r="X14" s="701"/>
      <c r="Y14" s="3636"/>
      <c r="Z14" s="52">
        <f t="shared" si="7"/>
        <v>111</v>
      </c>
      <c r="AA14" s="702">
        <f t="shared" si="3"/>
        <v>1</v>
      </c>
      <c r="AB14" s="702">
        <f t="shared" si="4"/>
        <v>1</v>
      </c>
      <c r="AC14" s="702">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52" t="s">
        <v>1691</v>
      </c>
      <c r="Q15" s="1350" t="str">
        <f t="shared" si="6"/>
        <v>居住社区成熟度</v>
      </c>
      <c r="R15" s="703" t="s">
        <v>18</v>
      </c>
      <c r="S15" s="704">
        <f t="shared" si="0"/>
        <v>100</v>
      </c>
      <c r="T15" s="703" t="s">
        <v>18</v>
      </c>
      <c r="U15" s="704">
        <f t="shared" si="1"/>
        <v>100</v>
      </c>
      <c r="V15" s="703" t="s">
        <v>18</v>
      </c>
      <c r="W15" s="704">
        <f t="shared" si="2"/>
        <v>100</v>
      </c>
      <c r="X15" s="1353"/>
      <c r="Y15" s="374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53"/>
      <c r="Q16" s="1350"/>
      <c r="R16" s="703"/>
      <c r="S16" s="704"/>
      <c r="T16" s="703"/>
      <c r="U16" s="704"/>
      <c r="V16" s="703"/>
      <c r="W16" s="704"/>
      <c r="X16" s="1353"/>
      <c r="Y16" s="3746"/>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53"/>
      <c r="Q17" s="1350" t="str">
        <f>B17</f>
        <v>交通便捷度</v>
      </c>
      <c r="R17" s="703" t="s">
        <v>18</v>
      </c>
      <c r="S17" s="704">
        <f>F17</f>
        <v>100</v>
      </c>
      <c r="T17" s="703" t="s">
        <v>18</v>
      </c>
      <c r="U17" s="704">
        <f>H17</f>
        <v>100</v>
      </c>
      <c r="V17" s="703" t="s">
        <v>18</v>
      </c>
      <c r="W17" s="704">
        <f>J17</f>
        <v>100</v>
      </c>
      <c r="X17" s="1353"/>
      <c r="Y17" s="374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53"/>
      <c r="Q18" s="1350"/>
      <c r="R18" s="703"/>
      <c r="S18" s="704"/>
      <c r="T18" s="703"/>
      <c r="U18" s="704"/>
      <c r="V18" s="703"/>
      <c r="W18" s="704"/>
      <c r="X18" s="1353"/>
      <c r="Y18" s="3746"/>
      <c r="Z18" s="1354"/>
      <c r="AA18" s="1351">
        <v>1</v>
      </c>
      <c r="AB18" s="1351">
        <v>1</v>
      </c>
      <c r="AC18" s="1351">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53"/>
      <c r="Q19" s="1350" t="str">
        <f>B19</f>
        <v>公共配套设施</v>
      </c>
      <c r="R19" s="703" t="s">
        <v>18</v>
      </c>
      <c r="S19" s="704">
        <f>F19</f>
        <v>100</v>
      </c>
      <c r="T19" s="703" t="s">
        <v>18</v>
      </c>
      <c r="U19" s="704">
        <f>H19</f>
        <v>100</v>
      </c>
      <c r="V19" s="703" t="s">
        <v>18</v>
      </c>
      <c r="W19" s="704">
        <f>J19</f>
        <v>100</v>
      </c>
      <c r="X19" s="1353"/>
      <c r="Y19" s="374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53"/>
      <c r="Q20" s="1350"/>
      <c r="R20" s="703"/>
      <c r="S20" s="704"/>
      <c r="T20" s="703"/>
      <c r="U20" s="704"/>
      <c r="V20" s="703"/>
      <c r="W20" s="704"/>
      <c r="X20" s="1353"/>
      <c r="Y20" s="3746"/>
      <c r="Z20" s="1354"/>
      <c r="AA20" s="1351">
        <v>1</v>
      </c>
      <c r="AB20" s="1351">
        <v>1</v>
      </c>
      <c r="AC20" s="1351">
        <v>1</v>
      </c>
    </row>
    <row r="21" spans="1:29" ht="27.6">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53"/>
      <c r="Q21" s="1350" t="str">
        <f>B21</f>
        <v>基础设施水平</v>
      </c>
      <c r="R21" s="703" t="s">
        <v>14</v>
      </c>
      <c r="S21" s="704">
        <f>F21</f>
        <v>100</v>
      </c>
      <c r="T21" s="703" t="s">
        <v>14</v>
      </c>
      <c r="U21" s="704">
        <f>H21</f>
        <v>100</v>
      </c>
      <c r="V21" s="703" t="s">
        <v>14</v>
      </c>
      <c r="W21" s="704">
        <f>J21</f>
        <v>100</v>
      </c>
      <c r="X21" s="1353"/>
      <c r="Y21" s="374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53"/>
      <c r="Q22" s="1350"/>
      <c r="R22" s="703"/>
      <c r="S22" s="704"/>
      <c r="T22" s="703"/>
      <c r="U22" s="704"/>
      <c r="V22" s="703"/>
      <c r="W22" s="704"/>
      <c r="X22" s="1353"/>
      <c r="Y22" s="3746"/>
      <c r="Z22" s="1354"/>
      <c r="AA22" s="1351">
        <v>1</v>
      </c>
      <c r="AB22" s="1351">
        <v>1</v>
      </c>
      <c r="AC22" s="1351">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53"/>
      <c r="Q23" s="1350" t="str">
        <f>B23</f>
        <v>自然及人文环境</v>
      </c>
      <c r="R23" s="703" t="s">
        <v>18</v>
      </c>
      <c r="S23" s="704">
        <f>F23</f>
        <v>100</v>
      </c>
      <c r="T23" s="703" t="s">
        <v>18</v>
      </c>
      <c r="U23" s="704">
        <f>H23</f>
        <v>100</v>
      </c>
      <c r="V23" s="703" t="s">
        <v>18</v>
      </c>
      <c r="W23" s="704">
        <f>J23</f>
        <v>100</v>
      </c>
      <c r="X23" s="1353"/>
      <c r="Y23" s="374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53"/>
      <c r="Q24" s="1350"/>
      <c r="R24" s="703"/>
      <c r="S24" s="704"/>
      <c r="T24" s="703"/>
      <c r="U24" s="704"/>
      <c r="V24" s="703"/>
      <c r="W24" s="704"/>
      <c r="X24" s="1353"/>
      <c r="Y24" s="374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5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4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53"/>
      <c r="Q26" s="1350" t="str">
        <f t="shared" si="11"/>
        <v>朝向</v>
      </c>
      <c r="R26" s="703" t="s">
        <v>18</v>
      </c>
      <c r="S26" s="704">
        <f t="shared" si="12"/>
        <v>100</v>
      </c>
      <c r="T26" s="703" t="s">
        <v>18</v>
      </c>
      <c r="U26" s="704">
        <f t="shared" si="13"/>
        <v>100</v>
      </c>
      <c r="V26" s="703" t="s">
        <v>18</v>
      </c>
      <c r="W26" s="704">
        <f t="shared" si="14"/>
        <v>100</v>
      </c>
      <c r="X26" s="1353"/>
      <c r="Y26" s="374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53"/>
      <c r="Q27" s="1341">
        <f t="shared" si="11"/>
        <v>111</v>
      </c>
      <c r="R27" s="699" t="s">
        <v>18</v>
      </c>
      <c r="S27" s="700">
        <f t="shared" si="12"/>
        <v>100</v>
      </c>
      <c r="T27" s="699" t="s">
        <v>18</v>
      </c>
      <c r="U27" s="700">
        <f t="shared" si="13"/>
        <v>100</v>
      </c>
      <c r="V27" s="699" t="s">
        <v>18</v>
      </c>
      <c r="W27" s="700">
        <f t="shared" si="14"/>
        <v>100</v>
      </c>
      <c r="X27" s="701"/>
      <c r="Y27" s="374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53"/>
      <c r="Q28" s="1350">
        <f t="shared" si="11"/>
        <v>111</v>
      </c>
      <c r="R28" s="703" t="s">
        <v>18</v>
      </c>
      <c r="S28" s="704">
        <f t="shared" si="12"/>
        <v>100</v>
      </c>
      <c r="T28" s="703" t="s">
        <v>18</v>
      </c>
      <c r="U28" s="704">
        <f t="shared" si="13"/>
        <v>100</v>
      </c>
      <c r="V28" s="703" t="s">
        <v>18</v>
      </c>
      <c r="W28" s="704">
        <f t="shared" si="14"/>
        <v>100</v>
      </c>
      <c r="X28" s="1353"/>
      <c r="Y28" s="374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53"/>
      <c r="Q29" s="1350">
        <f t="shared" si="11"/>
        <v>111</v>
      </c>
      <c r="R29" s="703" t="s">
        <v>18</v>
      </c>
      <c r="S29" s="704">
        <f t="shared" si="12"/>
        <v>100</v>
      </c>
      <c r="T29" s="703" t="s">
        <v>18</v>
      </c>
      <c r="U29" s="704">
        <f t="shared" si="13"/>
        <v>100</v>
      </c>
      <c r="V29" s="703" t="s">
        <v>18</v>
      </c>
      <c r="W29" s="704">
        <f t="shared" si="14"/>
        <v>100</v>
      </c>
      <c r="X29" s="1353"/>
      <c r="Y29" s="374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53"/>
      <c r="Q30" s="1350">
        <f t="shared" si="11"/>
        <v>111</v>
      </c>
      <c r="R30" s="703" t="s">
        <v>18</v>
      </c>
      <c r="S30" s="704">
        <f t="shared" si="12"/>
        <v>100</v>
      </c>
      <c r="T30" s="703" t="s">
        <v>18</v>
      </c>
      <c r="U30" s="704">
        <f t="shared" si="13"/>
        <v>100</v>
      </c>
      <c r="V30" s="703" t="s">
        <v>18</v>
      </c>
      <c r="W30" s="704">
        <f t="shared" si="14"/>
        <v>100</v>
      </c>
      <c r="X30" s="1353"/>
      <c r="Y30" s="3746"/>
      <c r="Z30" s="1354">
        <f t="shared" si="18"/>
        <v>111</v>
      </c>
      <c r="AA30" s="1351">
        <f t="shared" si="15"/>
        <v>1</v>
      </c>
      <c r="AB30" s="1351">
        <f t="shared" si="16"/>
        <v>1</v>
      </c>
      <c r="AC30" s="1351">
        <f t="shared" si="17"/>
        <v>1</v>
      </c>
    </row>
    <row r="31" spans="1:29" ht="15.6"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53"/>
      <c r="Q31" s="1350">
        <f t="shared" si="11"/>
        <v>111</v>
      </c>
      <c r="R31" s="703" t="s">
        <v>18</v>
      </c>
      <c r="S31" s="704">
        <f t="shared" si="12"/>
        <v>100</v>
      </c>
      <c r="T31" s="703" t="s">
        <v>18</v>
      </c>
      <c r="U31" s="704">
        <f t="shared" si="13"/>
        <v>100</v>
      </c>
      <c r="V31" s="703" t="s">
        <v>18</v>
      </c>
      <c r="W31" s="704">
        <f t="shared" si="14"/>
        <v>100</v>
      </c>
      <c r="X31" s="1353"/>
      <c r="Y31" s="374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47" t="s">
        <v>1696</v>
      </c>
      <c r="Q32" s="1350" t="str">
        <f t="shared" si="11"/>
        <v>建筑类型</v>
      </c>
      <c r="R32" s="703" t="s">
        <v>18</v>
      </c>
      <c r="S32" s="704">
        <f t="shared" si="12"/>
        <v>100</v>
      </c>
      <c r="T32" s="703" t="s">
        <v>18</v>
      </c>
      <c r="U32" s="704">
        <f t="shared" si="13"/>
        <v>100</v>
      </c>
      <c r="V32" s="703" t="s">
        <v>18</v>
      </c>
      <c r="W32" s="704">
        <f t="shared" si="14"/>
        <v>100</v>
      </c>
      <c r="X32" s="1353"/>
      <c r="Y32" s="375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48"/>
      <c r="Q33" s="705" t="str">
        <f t="shared" si="11"/>
        <v>项目建筑规模</v>
      </c>
      <c r="R33" s="706" t="s">
        <v>18</v>
      </c>
      <c r="S33" s="707" t="e">
        <f t="shared" si="12"/>
        <v>#N/A</v>
      </c>
      <c r="T33" s="706" t="s">
        <v>18</v>
      </c>
      <c r="U33" s="707" t="e">
        <f t="shared" si="13"/>
        <v>#N/A</v>
      </c>
      <c r="V33" s="706" t="s">
        <v>18</v>
      </c>
      <c r="W33" s="707" t="e">
        <f t="shared" si="14"/>
        <v>#N/A</v>
      </c>
      <c r="X33" s="708"/>
      <c r="Y33" s="375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48"/>
      <c r="Q34" s="1350" t="str">
        <f t="shared" si="11"/>
        <v>建筑结构</v>
      </c>
      <c r="R34" s="703" t="s">
        <v>18</v>
      </c>
      <c r="S34" s="704">
        <f t="shared" si="12"/>
        <v>100</v>
      </c>
      <c r="T34" s="703" t="s">
        <v>18</v>
      </c>
      <c r="U34" s="704">
        <f t="shared" si="13"/>
        <v>100</v>
      </c>
      <c r="V34" s="703" t="s">
        <v>18</v>
      </c>
      <c r="W34" s="704">
        <f t="shared" si="14"/>
        <v>100</v>
      </c>
      <c r="X34" s="1353"/>
      <c r="Y34" s="375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48"/>
      <c r="Q35" s="1350" t="str">
        <f t="shared" si="11"/>
        <v>建筑品质</v>
      </c>
      <c r="R35" s="703" t="s">
        <v>18</v>
      </c>
      <c r="S35" s="704">
        <f t="shared" si="12"/>
        <v>100</v>
      </c>
      <c r="T35" s="703" t="s">
        <v>18</v>
      </c>
      <c r="U35" s="704">
        <f t="shared" si="13"/>
        <v>100</v>
      </c>
      <c r="V35" s="703" t="s">
        <v>18</v>
      </c>
      <c r="W35" s="704">
        <f t="shared" si="14"/>
        <v>100</v>
      </c>
      <c r="X35" s="1353"/>
      <c r="Y35" s="375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48"/>
      <c r="Q36" s="1350" t="str">
        <f t="shared" si="11"/>
        <v>公共部分装修</v>
      </c>
      <c r="R36" s="703" t="s">
        <v>18</v>
      </c>
      <c r="S36" s="704">
        <f t="shared" si="12"/>
        <v>100</v>
      </c>
      <c r="T36" s="703" t="s">
        <v>18</v>
      </c>
      <c r="U36" s="704">
        <f t="shared" si="13"/>
        <v>100</v>
      </c>
      <c r="V36" s="703" t="s">
        <v>18</v>
      </c>
      <c r="W36" s="704">
        <f t="shared" si="14"/>
        <v>100</v>
      </c>
      <c r="X36" s="1353"/>
      <c r="Y36" s="375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48"/>
      <c r="Q37" s="1341" t="str">
        <f t="shared" si="11"/>
        <v>成新度</v>
      </c>
      <c r="R37" s="699" t="s">
        <v>18</v>
      </c>
      <c r="S37" s="700" t="e">
        <f t="shared" si="12"/>
        <v>#N/A</v>
      </c>
      <c r="T37" s="699" t="s">
        <v>18</v>
      </c>
      <c r="U37" s="700" t="e">
        <f t="shared" si="13"/>
        <v>#N/A</v>
      </c>
      <c r="V37" s="699" t="s">
        <v>18</v>
      </c>
      <c r="W37" s="700" t="e">
        <f t="shared" si="14"/>
        <v>#N/A</v>
      </c>
      <c r="X37" s="701"/>
      <c r="Y37" s="375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48" t="s">
        <v>1696</v>
      </c>
      <c r="Q38" s="1350" t="str">
        <f t="shared" si="11"/>
        <v>物业管理</v>
      </c>
      <c r="R38" s="703" t="s">
        <v>18</v>
      </c>
      <c r="S38" s="704">
        <f t="shared" si="12"/>
        <v>100</v>
      </c>
      <c r="T38" s="703" t="s">
        <v>18</v>
      </c>
      <c r="U38" s="704">
        <f t="shared" si="13"/>
        <v>100</v>
      </c>
      <c r="V38" s="703" t="s">
        <v>18</v>
      </c>
      <c r="W38" s="704">
        <f t="shared" si="14"/>
        <v>100</v>
      </c>
      <c r="X38" s="1353"/>
      <c r="Y38" s="375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48"/>
      <c r="Q39" s="1350" t="str">
        <f t="shared" si="11"/>
        <v>市政基础设施</v>
      </c>
      <c r="R39" s="703" t="s">
        <v>18</v>
      </c>
      <c r="S39" s="704">
        <f t="shared" si="12"/>
        <v>100</v>
      </c>
      <c r="T39" s="703" t="s">
        <v>18</v>
      </c>
      <c r="U39" s="704">
        <f t="shared" si="13"/>
        <v>100</v>
      </c>
      <c r="V39" s="703" t="s">
        <v>18</v>
      </c>
      <c r="W39" s="704">
        <f t="shared" si="14"/>
        <v>100</v>
      </c>
      <c r="X39" s="1353"/>
      <c r="Y39" s="375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48"/>
      <c r="Q40" s="1350" t="str">
        <f t="shared" si="11"/>
        <v>房型</v>
      </c>
      <c r="R40" s="703" t="s">
        <v>18</v>
      </c>
      <c r="S40" s="704">
        <f t="shared" si="12"/>
        <v>100</v>
      </c>
      <c r="T40" s="703" t="s">
        <v>18</v>
      </c>
      <c r="U40" s="704">
        <f t="shared" si="13"/>
        <v>100</v>
      </c>
      <c r="V40" s="703" t="s">
        <v>18</v>
      </c>
      <c r="W40" s="704">
        <f t="shared" si="14"/>
        <v>100</v>
      </c>
      <c r="X40" s="1353"/>
      <c r="Y40" s="3750"/>
      <c r="Z40" s="1354" t="str">
        <f t="shared" si="18"/>
        <v>房型</v>
      </c>
      <c r="AA40" s="1351">
        <f t="shared" si="15"/>
        <v>1</v>
      </c>
      <c r="AB40" s="1351">
        <f t="shared" si="16"/>
        <v>1</v>
      </c>
      <c r="AC40" s="1351">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48"/>
      <c r="Q41" s="705" t="str">
        <f t="shared" si="11"/>
        <v>单套/主力户型建筑面积</v>
      </c>
      <c r="R41" s="706" t="s">
        <v>18</v>
      </c>
      <c r="S41" s="707">
        <f t="shared" si="12"/>
        <v>100</v>
      </c>
      <c r="T41" s="706" t="s">
        <v>18</v>
      </c>
      <c r="U41" s="707">
        <f t="shared" si="13"/>
        <v>100</v>
      </c>
      <c r="V41" s="706" t="s">
        <v>18</v>
      </c>
      <c r="W41" s="707">
        <f t="shared" si="14"/>
        <v>100</v>
      </c>
      <c r="X41" s="708"/>
      <c r="Y41" s="375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48"/>
      <c r="Q42" s="1350" t="str">
        <f t="shared" si="11"/>
        <v>内部装修</v>
      </c>
      <c r="R42" s="703" t="s">
        <v>18</v>
      </c>
      <c r="S42" s="704">
        <f t="shared" si="12"/>
        <v>100</v>
      </c>
      <c r="T42" s="703" t="s">
        <v>18</v>
      </c>
      <c r="U42" s="704">
        <f t="shared" si="13"/>
        <v>100</v>
      </c>
      <c r="V42" s="703" t="s">
        <v>18</v>
      </c>
      <c r="W42" s="704">
        <f t="shared" si="14"/>
        <v>100</v>
      </c>
      <c r="X42" s="1353"/>
      <c r="Y42" s="3750"/>
      <c r="Z42" s="1354" t="str">
        <f t="shared" si="18"/>
        <v>内部装修</v>
      </c>
      <c r="AA42" s="1351">
        <f t="shared" si="15"/>
        <v>1</v>
      </c>
      <c r="AB42" s="1351">
        <f t="shared" si="16"/>
        <v>1</v>
      </c>
      <c r="AC42" s="1351">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48"/>
      <c r="Q43" s="1350" t="str">
        <f t="shared" si="11"/>
        <v>内部装修维护情况</v>
      </c>
      <c r="R43" s="703" t="s">
        <v>18</v>
      </c>
      <c r="S43" s="704">
        <f t="shared" si="12"/>
        <v>100</v>
      </c>
      <c r="T43" s="703" t="s">
        <v>18</v>
      </c>
      <c r="U43" s="704">
        <f t="shared" si="13"/>
        <v>100</v>
      </c>
      <c r="V43" s="703" t="s">
        <v>18</v>
      </c>
      <c r="W43" s="704">
        <f t="shared" si="14"/>
        <v>100</v>
      </c>
      <c r="X43" s="1353"/>
      <c r="Y43" s="375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48"/>
      <c r="Q44" s="1341">
        <f t="shared" si="11"/>
        <v>111</v>
      </c>
      <c r="R44" s="699" t="s">
        <v>18</v>
      </c>
      <c r="S44" s="700">
        <f t="shared" si="12"/>
        <v>100</v>
      </c>
      <c r="T44" s="699" t="s">
        <v>18</v>
      </c>
      <c r="U44" s="700">
        <f t="shared" si="13"/>
        <v>100</v>
      </c>
      <c r="V44" s="699" t="s">
        <v>18</v>
      </c>
      <c r="W44" s="700">
        <f t="shared" si="14"/>
        <v>100</v>
      </c>
      <c r="X44" s="701"/>
      <c r="Y44" s="375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48"/>
      <c r="Q45" s="1350">
        <f t="shared" si="11"/>
        <v>111</v>
      </c>
      <c r="R45" s="703" t="s">
        <v>18</v>
      </c>
      <c r="S45" s="704">
        <f t="shared" si="12"/>
        <v>100</v>
      </c>
      <c r="T45" s="703" t="s">
        <v>18</v>
      </c>
      <c r="U45" s="704">
        <f t="shared" si="13"/>
        <v>100</v>
      </c>
      <c r="V45" s="703" t="s">
        <v>18</v>
      </c>
      <c r="W45" s="704">
        <f t="shared" si="14"/>
        <v>100</v>
      </c>
      <c r="X45" s="1353"/>
      <c r="Y45" s="3750"/>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49"/>
      <c r="Q46" s="1350">
        <f t="shared" si="11"/>
        <v>111</v>
      </c>
      <c r="R46" s="703" t="s">
        <v>17</v>
      </c>
      <c r="S46" s="704">
        <f t="shared" si="12"/>
        <v>100</v>
      </c>
      <c r="T46" s="703" t="s">
        <v>17</v>
      </c>
      <c r="U46" s="704">
        <f t="shared" si="13"/>
        <v>100</v>
      </c>
      <c r="V46" s="703" t="s">
        <v>17</v>
      </c>
      <c r="W46" s="704">
        <f t="shared" si="14"/>
        <v>100</v>
      </c>
      <c r="X46" s="1353"/>
      <c r="Y46" s="3751"/>
      <c r="Z46" s="1354">
        <f t="shared" si="18"/>
        <v>111</v>
      </c>
      <c r="AA46" s="1351">
        <f t="shared" si="15"/>
        <v>1</v>
      </c>
      <c r="AB46" s="1351">
        <f t="shared" si="16"/>
        <v>1</v>
      </c>
      <c r="AC46" s="1351">
        <f t="shared" si="17"/>
        <v>1</v>
      </c>
    </row>
    <row r="47" spans="1:29" ht="14.4">
      <c r="A47" s="430" t="s">
        <v>1708</v>
      </c>
      <c r="B47" s="431"/>
      <c r="C47" s="1152" t="s">
        <v>16</v>
      </c>
      <c r="D47" s="1153"/>
      <c r="E47" s="1154"/>
      <c r="F47" s="1155"/>
      <c r="G47" s="1156"/>
      <c r="H47" s="1157"/>
      <c r="I47" s="1154"/>
      <c r="J47" s="1157"/>
      <c r="K47" s="1912"/>
      <c r="L47" s="2721"/>
      <c r="M47" s="2722"/>
      <c r="N47" s="2713"/>
      <c r="O47" s="2722"/>
      <c r="P47" s="3743" t="str">
        <f>A47</f>
        <v>成交单价（元/平方米）</v>
      </c>
      <c r="Q47" s="3743"/>
      <c r="R47" s="3744">
        <f>E47</f>
        <v>0</v>
      </c>
      <c r="S47" s="3744"/>
      <c r="T47" s="3744">
        <f>G47</f>
        <v>0</v>
      </c>
      <c r="U47" s="3744"/>
      <c r="V47" s="3744">
        <f>I47</f>
        <v>0</v>
      </c>
      <c r="W47" s="3744"/>
      <c r="X47" s="688"/>
      <c r="Y47" s="710"/>
      <c r="Z47" s="688"/>
      <c r="AA47" s="688"/>
      <c r="AB47" s="688"/>
      <c r="AC47" s="688"/>
    </row>
    <row r="48" spans="1:29" ht="15" thickBot="1">
      <c r="A48" s="437" t="s">
        <v>1709</v>
      </c>
      <c r="B48" s="438"/>
      <c r="C48" s="1158" t="e">
        <f>R49</f>
        <v>#DIV/0!</v>
      </c>
      <c r="D48" s="2314" t="s">
        <v>2137</v>
      </c>
      <c r="E48" s="1159" t="e">
        <f>R48</f>
        <v>#DIV/0!</v>
      </c>
      <c r="F48" s="2315"/>
      <c r="G48" s="1158" t="e">
        <f>T48</f>
        <v>#DIV/0!</v>
      </c>
      <c r="H48" s="2315"/>
      <c r="I48" s="1159" t="e">
        <f>V48</f>
        <v>#DIV/0!</v>
      </c>
      <c r="J48" s="2315"/>
      <c r="K48" s="2316">
        <f>F48+H48+J48</f>
        <v>0</v>
      </c>
      <c r="L48" s="2721"/>
      <c r="M48" s="2722"/>
      <c r="N48" s="2722"/>
      <c r="O48" s="2722"/>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8"/>
      <c r="Y48" s="688"/>
      <c r="Z48" s="688"/>
      <c r="AA48" s="688"/>
      <c r="AB48" s="688"/>
      <c r="AC48" s="688"/>
    </row>
    <row r="49" spans="1:29" ht="15" thickBot="1">
      <c r="A49" s="441" t="s">
        <v>1710</v>
      </c>
      <c r="B49" s="442"/>
      <c r="C49" s="1160" t="e">
        <f>R49</f>
        <v>#DIV/0!</v>
      </c>
      <c r="D49" s="1161"/>
      <c r="E49" s="1161"/>
      <c r="F49" s="1161"/>
      <c r="G49" s="1161"/>
      <c r="H49" s="1161"/>
      <c r="I49" s="1161"/>
      <c r="J49" s="1161"/>
      <c r="K49" s="1913"/>
      <c r="L49" s="2721"/>
      <c r="M49" s="2722"/>
      <c r="N49" s="2722"/>
      <c r="O49" s="2722"/>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2.2" thickBot="1">
      <c r="A57" s="692" t="s">
        <v>1714</v>
      </c>
      <c r="B57" s="688"/>
      <c r="C57" s="693"/>
      <c r="D57" s="693"/>
      <c r="E57" s="693"/>
      <c r="F57" s="694"/>
      <c r="G57" s="694"/>
      <c r="H57" s="693"/>
      <c r="I57" s="693"/>
      <c r="J57" s="693"/>
      <c r="K57" s="939"/>
      <c r="L57" s="940"/>
      <c r="M57" s="938"/>
      <c r="N57" s="938"/>
      <c r="O57" s="938"/>
      <c r="P57" s="1916"/>
      <c r="Q57" s="453"/>
    </row>
    <row r="58" spans="1:29" s="457" customFormat="1" ht="14.4">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c r="A59" s="458"/>
      <c r="B59" s="1917"/>
      <c r="C59" s="1181">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0"/>
      <c r="O61" s="930"/>
      <c r="P61" s="1919"/>
      <c r="Q61" s="453"/>
    </row>
    <row r="62" spans="1:29" s="108" customFormat="1" ht="14.4" thickBot="1">
      <c r="A62" s="470"/>
      <c r="B62" s="459"/>
      <c r="C62" s="460">
        <v>100</v>
      </c>
      <c r="D62" s="461"/>
      <c r="E62" s="461"/>
      <c r="F62" s="461"/>
      <c r="G62" s="461"/>
      <c r="H62" s="461"/>
      <c r="I62" s="461"/>
      <c r="J62" s="461"/>
      <c r="K62" s="461"/>
      <c r="L62" s="461"/>
      <c r="M62" s="463"/>
      <c r="N62" s="930"/>
      <c r="O62" s="930"/>
      <c r="P62" s="1918"/>
      <c r="Q62" s="453"/>
    </row>
    <row r="63" spans="1:29" ht="14.4">
      <c r="A63" s="476" t="s">
        <v>1719</v>
      </c>
      <c r="B63" s="477" t="s">
        <v>1685</v>
      </c>
      <c r="C63" s="478">
        <f>C9</f>
        <v>0</v>
      </c>
      <c r="D63" s="479"/>
      <c r="E63" s="479"/>
      <c r="F63" s="479"/>
      <c r="G63" s="479"/>
      <c r="H63" s="479"/>
      <c r="I63" s="479"/>
      <c r="J63" s="479"/>
      <c r="K63" s="480"/>
      <c r="L63" s="481"/>
      <c r="M63" s="482"/>
      <c r="N63" s="931"/>
      <c r="O63" s="931"/>
      <c r="P63" s="1920"/>
      <c r="Q63" s="453"/>
    </row>
    <row r="64" spans="1:29" ht="14.4" thickBot="1">
      <c r="A64" s="483"/>
      <c r="B64" s="484"/>
      <c r="C64" s="485">
        <v>100</v>
      </c>
      <c r="D64" s="485"/>
      <c r="E64" s="485"/>
      <c r="F64" s="485"/>
      <c r="G64" s="485"/>
      <c r="H64" s="485"/>
      <c r="I64" s="485"/>
      <c r="J64" s="485"/>
      <c r="K64" s="485"/>
      <c r="L64" s="485"/>
      <c r="M64" s="486"/>
      <c r="N64" s="932"/>
      <c r="O64" s="932"/>
      <c r="P64" s="1920"/>
      <c r="Q64" s="453"/>
    </row>
    <row r="65" spans="1:17" ht="29.4" thickTop="1">
      <c r="A65" s="483"/>
      <c r="B65" s="487" t="s">
        <v>1688</v>
      </c>
      <c r="C65" s="532"/>
      <c r="D65" s="532"/>
      <c r="E65" s="532"/>
      <c r="F65" s="532"/>
      <c r="G65" s="532"/>
      <c r="H65" s="532"/>
      <c r="I65" s="532"/>
      <c r="J65" s="532"/>
      <c r="K65" s="532"/>
      <c r="L65" s="532"/>
      <c r="M65" s="532"/>
      <c r="N65" s="932"/>
      <c r="O65" s="932"/>
      <c r="P65" s="1920"/>
      <c r="Q65" s="453"/>
    </row>
    <row r="66" spans="1:17" ht="14.4" thickBot="1">
      <c r="A66" s="483"/>
      <c r="B66" s="492"/>
      <c r="C66" s="485"/>
      <c r="D66" s="485"/>
      <c r="E66" s="485"/>
      <c r="F66" s="485"/>
      <c r="G66" s="485"/>
      <c r="H66" s="485"/>
      <c r="I66" s="485"/>
      <c r="J66" s="485"/>
      <c r="K66" s="485"/>
      <c r="L66" s="485"/>
      <c r="M66" s="486"/>
      <c r="N66" s="932"/>
      <c r="O66" s="932"/>
      <c r="P66" s="1920"/>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c r="A68" s="483"/>
      <c r="B68" s="497"/>
      <c r="C68" s="498"/>
      <c r="D68" s="498"/>
      <c r="E68" s="498"/>
      <c r="F68" s="498"/>
      <c r="G68" s="498"/>
      <c r="H68" s="498"/>
      <c r="I68" s="498"/>
      <c r="J68" s="498"/>
      <c r="K68" s="499"/>
      <c r="L68" s="500"/>
      <c r="M68" s="501"/>
      <c r="N68" s="931"/>
      <c r="O68" s="931"/>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4.4" thickTop="1">
      <c r="A70" s="502"/>
      <c r="B70" s="487">
        <f>B12</f>
        <v>111</v>
      </c>
      <c r="C70" s="503"/>
      <c r="D70" s="503"/>
      <c r="E70" s="503"/>
      <c r="F70" s="503"/>
      <c r="G70" s="503"/>
      <c r="H70" s="504"/>
      <c r="I70" s="504"/>
      <c r="J70" s="504"/>
      <c r="K70" s="504"/>
      <c r="L70" s="505"/>
      <c r="M70" s="506"/>
      <c r="N70" s="933"/>
      <c r="O70" s="933"/>
      <c r="P70" s="1921"/>
      <c r="Q70" s="508"/>
    </row>
    <row r="71" spans="1:17" s="422" customFormat="1" ht="14.4" thickBot="1">
      <c r="A71" s="502"/>
      <c r="B71" s="492"/>
      <c r="C71" s="509"/>
      <c r="D71" s="485"/>
      <c r="E71" s="485"/>
      <c r="F71" s="485"/>
      <c r="G71" s="485"/>
      <c r="H71" s="485"/>
      <c r="I71" s="485"/>
      <c r="J71" s="485"/>
      <c r="K71" s="485"/>
      <c r="L71" s="485"/>
      <c r="M71" s="486"/>
      <c r="N71" s="932"/>
      <c r="O71" s="932"/>
      <c r="P71" s="1921"/>
      <c r="Q71" s="508"/>
    </row>
    <row r="72" spans="1:17" s="422" customFormat="1" ht="14.4" thickTop="1">
      <c r="A72" s="502"/>
      <c r="B72" s="487">
        <f>B13</f>
        <v>111</v>
      </c>
      <c r="C72" s="503"/>
      <c r="D72" s="503"/>
      <c r="E72" s="503"/>
      <c r="F72" s="503"/>
      <c r="G72" s="503"/>
      <c r="H72" s="504"/>
      <c r="I72" s="504"/>
      <c r="J72" s="504"/>
      <c r="K72" s="504"/>
      <c r="L72" s="505"/>
      <c r="M72" s="506"/>
      <c r="N72" s="933"/>
      <c r="O72" s="933"/>
      <c r="P72" s="1922"/>
      <c r="Q72" s="510"/>
    </row>
    <row r="73" spans="1:17" s="422" customFormat="1" ht="14.4" thickBot="1">
      <c r="A73" s="502"/>
      <c r="B73" s="492"/>
      <c r="C73" s="509"/>
      <c r="D73" s="509"/>
      <c r="E73" s="509"/>
      <c r="F73" s="509"/>
      <c r="G73" s="509"/>
      <c r="H73" s="511"/>
      <c r="I73" s="511"/>
      <c r="J73" s="511"/>
      <c r="K73" s="511"/>
      <c r="L73" s="511"/>
      <c r="M73" s="512"/>
      <c r="N73" s="933"/>
      <c r="O73" s="933"/>
      <c r="P73" s="1921"/>
      <c r="Q73" s="508"/>
    </row>
    <row r="74" spans="1:17" s="422" customFormat="1" ht="14.4" thickTop="1">
      <c r="A74" s="502"/>
      <c r="B74" s="495">
        <f>B14</f>
        <v>111</v>
      </c>
      <c r="C74" s="503"/>
      <c r="D74" s="503"/>
      <c r="E74" s="503"/>
      <c r="F74" s="503"/>
      <c r="G74" s="472"/>
      <c r="H74" s="513"/>
      <c r="I74" s="513"/>
      <c r="J74" s="513"/>
      <c r="K74" s="513"/>
      <c r="L74" s="514"/>
      <c r="M74" s="515"/>
      <c r="N74" s="933"/>
      <c r="O74" s="933"/>
      <c r="P74" s="1923"/>
      <c r="Q74" s="508"/>
    </row>
    <row r="75" spans="1:17" s="422" customFormat="1" ht="14.4" thickBot="1">
      <c r="A75" s="517"/>
      <c r="B75" s="518"/>
      <c r="C75" s="519"/>
      <c r="D75" s="519"/>
      <c r="E75" s="519"/>
      <c r="F75" s="519"/>
      <c r="G75" s="519"/>
      <c r="H75" s="520"/>
      <c r="I75" s="520"/>
      <c r="J75" s="520"/>
      <c r="K75" s="520"/>
      <c r="L75" s="520"/>
      <c r="M75" s="521"/>
      <c r="N75" s="933"/>
      <c r="O75" s="933"/>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4.4" thickBot="1">
      <c r="A83" s="483"/>
      <c r="B83" s="495"/>
      <c r="C83" s="606">
        <v>100</v>
      </c>
      <c r="D83" s="606">
        <f>C83-$K21</f>
        <v>100</v>
      </c>
      <c r="E83" s="606">
        <f t="shared" ref="E83:G83" si="22">D83-$K21</f>
        <v>100</v>
      </c>
      <c r="F83" s="606">
        <f t="shared" si="22"/>
        <v>100</v>
      </c>
      <c r="G83" s="606">
        <f t="shared" si="22"/>
        <v>100</v>
      </c>
      <c r="H83" s="606"/>
      <c r="I83" s="606"/>
      <c r="J83" s="606"/>
      <c r="K83" s="606"/>
      <c r="L83" s="606"/>
      <c r="M83" s="401"/>
      <c r="N83" s="932"/>
      <c r="O83" s="932"/>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 thickTop="1">
      <c r="A86" s="528"/>
      <c r="B86" s="487" t="s">
        <v>1734</v>
      </c>
      <c r="C86" s="503"/>
      <c r="D86" s="503"/>
      <c r="E86" s="503"/>
      <c r="F86" s="503"/>
      <c r="G86" s="503"/>
      <c r="H86" s="503"/>
      <c r="I86" s="503"/>
      <c r="J86" s="503"/>
      <c r="K86" s="503"/>
      <c r="L86" s="529"/>
      <c r="M86" s="530"/>
      <c r="N86" s="930"/>
      <c r="O86" s="930"/>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 thickTop="1">
      <c r="A88" s="528"/>
      <c r="B88" s="487" t="s">
        <v>1735</v>
      </c>
      <c r="C88" s="503"/>
      <c r="D88" s="503"/>
      <c r="E88" s="503"/>
      <c r="F88" s="1925"/>
      <c r="G88" s="503"/>
      <c r="H88" s="503"/>
      <c r="I88" s="503"/>
      <c r="J88" s="503"/>
      <c r="K88" s="503"/>
      <c r="L88" s="503"/>
      <c r="M88" s="530"/>
      <c r="N88" s="930"/>
      <c r="O88" s="930"/>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4.4" thickTop="1">
      <c r="A90" s="502"/>
      <c r="B90" s="487">
        <f>B27</f>
        <v>111</v>
      </c>
      <c r="C90" s="503"/>
      <c r="D90" s="503"/>
      <c r="E90" s="503"/>
      <c r="F90" s="503"/>
      <c r="G90" s="503"/>
      <c r="H90" s="504"/>
      <c r="I90" s="504"/>
      <c r="J90" s="504"/>
      <c r="K90" s="504"/>
      <c r="L90" s="505"/>
      <c r="M90" s="506"/>
      <c r="N90" s="933"/>
      <c r="O90" s="933"/>
      <c r="P90" s="1921"/>
      <c r="Q90" s="508"/>
    </row>
    <row r="91" spans="1:17" s="422" customFormat="1" ht="14.4" thickBot="1">
      <c r="A91" s="502"/>
      <c r="B91" s="492"/>
      <c r="C91" s="509"/>
      <c r="D91" s="509"/>
      <c r="E91" s="509"/>
      <c r="F91" s="509"/>
      <c r="G91" s="509"/>
      <c r="H91" s="511"/>
      <c r="I91" s="511"/>
      <c r="J91" s="511"/>
      <c r="K91" s="511"/>
      <c r="L91" s="511"/>
      <c r="M91" s="512"/>
      <c r="N91" s="933"/>
      <c r="O91" s="933"/>
      <c r="P91" s="1921"/>
      <c r="Q91" s="508"/>
    </row>
    <row r="92" spans="1:17" ht="14.4" thickTop="1">
      <c r="A92" s="483"/>
      <c r="B92" s="487">
        <f>B28</f>
        <v>111</v>
      </c>
      <c r="C92" s="503"/>
      <c r="D92" s="503"/>
      <c r="E92" s="503"/>
      <c r="F92" s="503"/>
      <c r="G92" s="532"/>
      <c r="H92" s="532"/>
      <c r="I92" s="532"/>
      <c r="J92" s="532"/>
      <c r="K92" s="533"/>
      <c r="L92" s="534"/>
      <c r="M92" s="535"/>
      <c r="N92" s="931"/>
      <c r="O92" s="931"/>
      <c r="P92" s="1920"/>
      <c r="Q92" s="453"/>
    </row>
    <row r="93" spans="1:17" ht="14.4" thickBot="1">
      <c r="A93" s="483"/>
      <c r="B93" s="492"/>
      <c r="C93" s="509"/>
      <c r="D93" s="485"/>
      <c r="E93" s="485"/>
      <c r="F93" s="485"/>
      <c r="G93" s="485"/>
      <c r="H93" s="485"/>
      <c r="I93" s="485"/>
      <c r="J93" s="485"/>
      <c r="K93" s="485"/>
      <c r="L93" s="485"/>
      <c r="M93" s="486"/>
      <c r="N93" s="932"/>
      <c r="O93" s="932"/>
      <c r="P93" s="1920"/>
      <c r="Q93" s="453"/>
    </row>
    <row r="94" spans="1:17" ht="14.4" thickTop="1">
      <c r="A94" s="483"/>
      <c r="B94" s="487">
        <f>B29</f>
        <v>111</v>
      </c>
      <c r="C94" s="503"/>
      <c r="D94" s="503"/>
      <c r="E94" s="503"/>
      <c r="F94" s="503"/>
      <c r="G94" s="532"/>
      <c r="H94" s="532"/>
      <c r="I94" s="532"/>
      <c r="J94" s="532"/>
      <c r="K94" s="533"/>
      <c r="L94" s="534"/>
      <c r="M94" s="535"/>
      <c r="N94" s="931"/>
      <c r="O94" s="931"/>
      <c r="P94" s="1920"/>
      <c r="Q94" s="453"/>
    </row>
    <row r="95" spans="1:17" ht="14.4" thickBot="1">
      <c r="A95" s="483"/>
      <c r="B95" s="492"/>
      <c r="C95" s="509"/>
      <c r="D95" s="509"/>
      <c r="E95" s="509"/>
      <c r="F95" s="509"/>
      <c r="G95" s="485"/>
      <c r="H95" s="485"/>
      <c r="I95" s="485"/>
      <c r="J95" s="485"/>
      <c r="K95" s="485"/>
      <c r="L95" s="485"/>
      <c r="M95" s="486"/>
      <c r="N95" s="932"/>
      <c r="O95" s="932"/>
      <c r="P95" s="1920"/>
      <c r="Q95" s="453"/>
    </row>
    <row r="96" spans="1:17" ht="14.4" thickTop="1">
      <c r="A96" s="483"/>
      <c r="B96" s="487">
        <f>B30</f>
        <v>111</v>
      </c>
      <c r="C96" s="503"/>
      <c r="D96" s="503"/>
      <c r="E96" s="503"/>
      <c r="F96" s="503"/>
      <c r="G96" s="532"/>
      <c r="H96" s="532"/>
      <c r="I96" s="532"/>
      <c r="J96" s="532"/>
      <c r="K96" s="533"/>
      <c r="L96" s="534"/>
      <c r="M96" s="535"/>
      <c r="N96" s="931"/>
      <c r="O96" s="931"/>
      <c r="P96" s="1920"/>
      <c r="Q96" s="453"/>
    </row>
    <row r="97" spans="1:17" ht="14.4" thickBot="1">
      <c r="A97" s="483"/>
      <c r="B97" s="492"/>
      <c r="C97" s="519"/>
      <c r="D97" s="519"/>
      <c r="E97" s="519"/>
      <c r="F97" s="519"/>
      <c r="G97" s="485"/>
      <c r="H97" s="485"/>
      <c r="I97" s="485"/>
      <c r="J97" s="485"/>
      <c r="K97" s="485"/>
      <c r="L97" s="485"/>
      <c r="M97" s="486"/>
      <c r="N97" s="932"/>
      <c r="O97" s="932"/>
      <c r="P97" s="1920"/>
      <c r="Q97" s="453"/>
    </row>
    <row r="98" spans="1:17" ht="14.4" thickTop="1">
      <c r="A98" s="483"/>
      <c r="B98" s="495">
        <f>B31</f>
        <v>111</v>
      </c>
      <c r="C98" s="536"/>
      <c r="D98" s="536"/>
      <c r="E98" s="536"/>
      <c r="F98" s="536"/>
      <c r="G98" s="536"/>
      <c r="H98" s="536"/>
      <c r="I98" s="536"/>
      <c r="J98" s="536"/>
      <c r="K98" s="537"/>
      <c r="L98" s="538"/>
      <c r="M98" s="539"/>
      <c r="N98" s="931"/>
      <c r="O98" s="931"/>
      <c r="P98" s="1920"/>
      <c r="Q98" s="453"/>
    </row>
    <row r="99" spans="1:17" ht="14.4" thickBot="1">
      <c r="A99" s="1926"/>
      <c r="B99" s="518"/>
      <c r="C99" s="540"/>
      <c r="D99" s="540"/>
      <c r="E99" s="540"/>
      <c r="F99" s="540"/>
      <c r="G99" s="540"/>
      <c r="H99" s="540"/>
      <c r="I99" s="540"/>
      <c r="J99" s="540"/>
      <c r="K99" s="540"/>
      <c r="L99" s="540"/>
      <c r="M99" s="541"/>
      <c r="N99" s="932"/>
      <c r="O99" s="932"/>
      <c r="P99" s="1920"/>
      <c r="Q99" s="453"/>
    </row>
    <row r="100" spans="1:17" ht="14.4">
      <c r="A100" s="476" t="s">
        <v>1694</v>
      </c>
      <c r="B100" s="477" t="s">
        <v>1736</v>
      </c>
      <c r="C100" s="479"/>
      <c r="D100" s="479"/>
      <c r="E100" s="479"/>
      <c r="F100" s="479"/>
      <c r="G100" s="479"/>
      <c r="H100" s="479"/>
      <c r="I100" s="479"/>
      <c r="J100" s="479"/>
      <c r="K100" s="480"/>
      <c r="L100" s="481"/>
      <c r="M100" s="482"/>
      <c r="N100" s="931"/>
      <c r="O100" s="931"/>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4.4"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9.4"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4.4"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4.4"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4.4" thickBot="1">
      <c r="A127" s="502"/>
      <c r="B127" s="492"/>
      <c r="C127" s="509"/>
      <c r="D127" s="485"/>
      <c r="E127" s="485"/>
      <c r="F127" s="485"/>
      <c r="G127" s="509"/>
      <c r="H127" s="511"/>
      <c r="I127" s="511"/>
      <c r="J127" s="511"/>
      <c r="K127" s="511"/>
      <c r="L127" s="511"/>
      <c r="M127" s="512"/>
      <c r="N127" s="933"/>
      <c r="O127" s="933"/>
      <c r="P127" s="1921"/>
      <c r="Q127" s="508"/>
    </row>
    <row r="128" spans="1:17" ht="14.4" thickTop="1">
      <c r="A128" s="548"/>
      <c r="B128" s="487">
        <f>B45</f>
        <v>111</v>
      </c>
      <c r="C128" s="503"/>
      <c r="D128" s="503"/>
      <c r="E128" s="503"/>
      <c r="F128" s="503"/>
      <c r="G128" s="532"/>
      <c r="H128" s="532"/>
      <c r="I128" s="532"/>
      <c r="J128" s="532"/>
      <c r="K128" s="533"/>
      <c r="L128" s="534"/>
      <c r="M128" s="535"/>
      <c r="N128" s="931"/>
      <c r="O128" s="931"/>
      <c r="P128" s="1920"/>
      <c r="Q128" s="453"/>
    </row>
    <row r="129" spans="1:17" ht="14.4" thickBot="1">
      <c r="A129" s="483"/>
      <c r="B129" s="492"/>
      <c r="C129" s="509"/>
      <c r="D129" s="509"/>
      <c r="E129" s="509"/>
      <c r="F129" s="509"/>
      <c r="G129" s="485"/>
      <c r="H129" s="485"/>
      <c r="I129" s="485"/>
      <c r="J129" s="485"/>
      <c r="K129" s="485"/>
      <c r="L129" s="485"/>
      <c r="M129" s="486"/>
      <c r="N129" s="932"/>
      <c r="O129" s="932"/>
      <c r="P129" s="1920"/>
      <c r="Q129" s="453"/>
    </row>
    <row r="130" spans="1:17" ht="14.4" thickTop="1">
      <c r="A130" s="548"/>
      <c r="B130" s="495">
        <f>B46</f>
        <v>111</v>
      </c>
      <c r="C130" s="503"/>
      <c r="D130" s="503"/>
      <c r="E130" s="503"/>
      <c r="F130" s="503"/>
      <c r="G130" s="536"/>
      <c r="H130" s="536"/>
      <c r="I130" s="536"/>
      <c r="J130" s="536"/>
      <c r="K130" s="472"/>
      <c r="L130" s="473"/>
      <c r="M130" s="539"/>
      <c r="N130" s="931"/>
      <c r="O130" s="931"/>
      <c r="P130" s="1920"/>
      <c r="Q130" s="453"/>
    </row>
    <row r="131" spans="1:17" ht="14.4"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6.2"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3" zoomScale="90" zoomScaleNormal="70" zoomScaleSheetLayoutView="90" workbookViewId="0">
      <selection activeCell="I24" sqref="I2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6.44140625" style="357" customWidth="1"/>
    <col min="6" max="6" width="12.21875" style="357" customWidth="1"/>
    <col min="7" max="7" width="16.33203125" style="357" customWidth="1"/>
    <col min="8" max="8" width="12.21875" style="357" customWidth="1"/>
    <col min="9" max="9" width="16.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1766</v>
      </c>
      <c r="C1" s="1236" t="s">
        <v>1662</v>
      </c>
      <c r="D1" s="1223"/>
      <c r="E1" s="3423"/>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127.35</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3"/>
      <c r="Y4" s="3713" t="s">
        <v>1775</v>
      </c>
      <c r="Z4" s="3714"/>
      <c r="AA4" s="3708" t="s">
        <v>1771</v>
      </c>
      <c r="AB4" s="3738" t="s">
        <v>1772</v>
      </c>
      <c r="AC4" s="3708" t="s">
        <v>1773</v>
      </c>
    </row>
    <row r="5" spans="1:29">
      <c r="A5" s="358"/>
      <c r="B5" s="359"/>
      <c r="C5" s="3719" t="s">
        <v>1673</v>
      </c>
      <c r="D5" s="3720"/>
      <c r="E5" s="3754" t="s">
        <v>3483</v>
      </c>
      <c r="F5" s="3718"/>
      <c r="G5" s="3755" t="s">
        <v>3484</v>
      </c>
      <c r="H5" s="3720"/>
      <c r="I5" s="3755" t="s">
        <v>3485</v>
      </c>
      <c r="J5" s="3720"/>
      <c r="K5" s="559"/>
      <c r="L5" s="2712"/>
      <c r="M5" s="2713"/>
      <c r="N5" s="2713"/>
      <c r="O5" s="2713"/>
      <c r="P5" s="3732"/>
      <c r="Q5" s="3733"/>
      <c r="R5" s="3715"/>
      <c r="S5" s="3716"/>
      <c r="T5" s="3715"/>
      <c r="U5" s="3716"/>
      <c r="V5" s="3738"/>
      <c r="W5" s="3738"/>
      <c r="X5" s="1353"/>
      <c r="Y5" s="3715"/>
      <c r="Z5" s="3716"/>
      <c r="AA5" s="3709"/>
      <c r="AB5" s="3738"/>
      <c r="AC5" s="3709"/>
    </row>
    <row r="6" spans="1:29" ht="15" thickBot="1">
      <c r="A6" s="360"/>
      <c r="B6" s="361"/>
      <c r="C6" s="3721" t="s">
        <v>1677</v>
      </c>
      <c r="D6" s="3722"/>
      <c r="E6" s="3723" t="s">
        <v>1677</v>
      </c>
      <c r="F6" s="3724"/>
      <c r="G6" s="3721" t="s">
        <v>1677</v>
      </c>
      <c r="H6" s="3722"/>
      <c r="I6" s="3721" t="s">
        <v>1677</v>
      </c>
      <c r="J6" s="3722"/>
      <c r="K6" s="559" t="s">
        <v>1678</v>
      </c>
      <c r="L6" s="2712"/>
      <c r="M6" s="2713"/>
      <c r="N6" s="2713"/>
      <c r="O6" s="2713"/>
      <c r="P6" s="3734"/>
      <c r="Q6" s="3735"/>
      <c r="R6" s="3715"/>
      <c r="S6" s="3716"/>
      <c r="T6" s="3736"/>
      <c r="U6" s="3737"/>
      <c r="V6" s="3738"/>
      <c r="W6" s="3738"/>
      <c r="X6" s="1353"/>
      <c r="Y6" s="3736"/>
      <c r="Z6" s="3737"/>
      <c r="AA6" s="3710"/>
      <c r="AB6" s="3738"/>
      <c r="AC6" s="3710"/>
    </row>
    <row r="7" spans="1:29" s="108" customFormat="1" ht="15" thickBot="1">
      <c r="A7" s="362" t="s">
        <v>1679</v>
      </c>
      <c r="B7" s="363"/>
      <c r="C7" s="364">
        <f>'数据-取费表'!B2</f>
        <v>45491</v>
      </c>
      <c r="D7" s="365">
        <v>100</v>
      </c>
      <c r="E7" s="366">
        <f>C7</f>
        <v>45491</v>
      </c>
      <c r="F7" s="367">
        <f>SUMIF(58:58,YEAR(E7)&amp;"-"&amp;MONTH(E7),59:59)</f>
        <v>100</v>
      </c>
      <c r="G7" s="366">
        <f>C7</f>
        <v>45491</v>
      </c>
      <c r="H7" s="365">
        <f>SUMIF(58:58,YEAR(G7)&amp;"-"&amp;MONTH(G7),59:59)</f>
        <v>100</v>
      </c>
      <c r="I7" s="366">
        <f>C7</f>
        <v>45491</v>
      </c>
      <c r="J7" s="365">
        <f>SUMIF(58:58,YEAR(I7)&amp;"-"&amp;MONTH(I7),59:59)</f>
        <v>100</v>
      </c>
      <c r="K7" s="560"/>
      <c r="L7" s="2714"/>
      <c r="M7" s="2715"/>
      <c r="N7" s="2715"/>
      <c r="O7" s="2715"/>
      <c r="P7" s="3711" t="s">
        <v>1680</v>
      </c>
      <c r="Q7" s="3739"/>
      <c r="R7" s="699" t="s">
        <v>14</v>
      </c>
      <c r="S7" s="700">
        <f t="shared" ref="S7:S15" si="0">F7</f>
        <v>100</v>
      </c>
      <c r="T7" s="699" t="s">
        <v>14</v>
      </c>
      <c r="U7" s="700">
        <f t="shared" ref="U7:U15" si="1">H7</f>
        <v>100</v>
      </c>
      <c r="V7" s="699" t="s">
        <v>14</v>
      </c>
      <c r="W7" s="700">
        <f t="shared" ref="W7:W15" si="2">J7</f>
        <v>100</v>
      </c>
      <c r="X7" s="701"/>
      <c r="Y7" s="3711" t="s">
        <v>1680</v>
      </c>
      <c r="Z7" s="3712"/>
      <c r="AA7" s="702">
        <f>D7/F7</f>
        <v>1</v>
      </c>
      <c r="AB7" s="702">
        <f>D7/H7</f>
        <v>1</v>
      </c>
      <c r="AC7" s="702">
        <f>D7/J7</f>
        <v>1</v>
      </c>
    </row>
    <row r="8" spans="1:29" s="108" customFormat="1" ht="15" thickBot="1">
      <c r="A8" s="362" t="s">
        <v>1681</v>
      </c>
      <c r="B8" s="363"/>
      <c r="C8" s="368" t="s">
        <v>3439</v>
      </c>
      <c r="D8" s="365">
        <v>100</v>
      </c>
      <c r="E8" s="368" t="s">
        <v>3440</v>
      </c>
      <c r="F8" s="367">
        <f>SUMIF(61:61,E8,62:62)-SUMIF(61:61,C8,62:62)+100</f>
        <v>101</v>
      </c>
      <c r="G8" s="368" t="s">
        <v>3440</v>
      </c>
      <c r="H8" s="365">
        <f>SUMIF(61:61,G8,62:62)-SUMIF(61:61,C8,62:62)+100</f>
        <v>101</v>
      </c>
      <c r="I8" s="368" t="s">
        <v>3440</v>
      </c>
      <c r="J8" s="365">
        <f>SUMIF(61:61,I8,62:62)-SUMIF(61:61,C8,62:62)+100</f>
        <v>101</v>
      </c>
      <c r="K8" s="560"/>
      <c r="L8" s="2714"/>
      <c r="M8" s="2715"/>
      <c r="N8" s="2715"/>
      <c r="O8" s="2715"/>
      <c r="P8" s="3711" t="s">
        <v>1683</v>
      </c>
      <c r="Q8" s="3712"/>
      <c r="R8" s="699" t="s">
        <v>14</v>
      </c>
      <c r="S8" s="700">
        <f t="shared" si="0"/>
        <v>101</v>
      </c>
      <c r="T8" s="699" t="s">
        <v>14</v>
      </c>
      <c r="U8" s="700">
        <f t="shared" si="1"/>
        <v>101</v>
      </c>
      <c r="V8" s="699" t="s">
        <v>14</v>
      </c>
      <c r="W8" s="700">
        <f t="shared" si="2"/>
        <v>101</v>
      </c>
      <c r="X8" s="701"/>
      <c r="Y8" s="3711" t="s">
        <v>1683</v>
      </c>
      <c r="Z8" s="3712"/>
      <c r="AA8" s="702">
        <f t="shared" ref="AA8:AA46" si="3">D8/F8</f>
        <v>0.99009900990099009</v>
      </c>
      <c r="AB8" s="702">
        <f t="shared" ref="AB8:AB46" si="4">D8/H8</f>
        <v>0.99009900990099009</v>
      </c>
      <c r="AC8" s="702">
        <f t="shared" ref="AC8:AC46" si="5">D8/J8</f>
        <v>0.99009900990099009</v>
      </c>
    </row>
    <row r="9" spans="1:29" s="108" customFormat="1" ht="15" thickBot="1">
      <c r="A9" s="369" t="s">
        <v>1684</v>
      </c>
      <c r="B9" s="63" t="s">
        <v>1685</v>
      </c>
      <c r="C9" s="3452" t="s">
        <v>3442</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25" t="s">
        <v>1686</v>
      </c>
      <c r="Q9" s="1341"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25"/>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c r="L11" s="2718"/>
      <c r="M11" s="2713"/>
      <c r="N11" s="2713"/>
      <c r="O11" s="2713"/>
      <c r="P11" s="3725"/>
      <c r="Q11" s="1341"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27.6" hidden="1" customHeight="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5"/>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5"/>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5"/>
      <c r="Q14" s="1341">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52" t="s">
        <v>1691</v>
      </c>
      <c r="Q15" s="1350" t="str">
        <f t="shared" si="6"/>
        <v>商业繁华度</v>
      </c>
      <c r="R15" s="703" t="s">
        <v>14</v>
      </c>
      <c r="S15" s="704">
        <f t="shared" si="0"/>
        <v>100</v>
      </c>
      <c r="T15" s="703" t="s">
        <v>14</v>
      </c>
      <c r="U15" s="704">
        <f t="shared" si="1"/>
        <v>100</v>
      </c>
      <c r="V15" s="703" t="s">
        <v>14</v>
      </c>
      <c r="W15" s="704">
        <f t="shared" si="2"/>
        <v>100</v>
      </c>
      <c r="X15" s="1353"/>
      <c r="Y15" s="3745" t="s">
        <v>1691</v>
      </c>
      <c r="Z15" s="1354" t="str">
        <f t="shared" si="7"/>
        <v>商业繁华度</v>
      </c>
      <c r="AA15" s="1351">
        <f t="shared" si="3"/>
        <v>1</v>
      </c>
      <c r="AB15" s="1351">
        <f t="shared" si="4"/>
        <v>1</v>
      </c>
      <c r="AC15" s="1351">
        <f t="shared" si="5"/>
        <v>1</v>
      </c>
    </row>
    <row r="16" spans="1:29" ht="15">
      <c r="A16" s="379"/>
      <c r="B16" s="397"/>
      <c r="C16" s="398" t="s">
        <v>3400</v>
      </c>
      <c r="D16" s="399"/>
      <c r="E16" s="398" t="s">
        <v>3400</v>
      </c>
      <c r="F16" s="400"/>
      <c r="G16" s="398" t="s">
        <v>3400</v>
      </c>
      <c r="H16" s="401"/>
      <c r="I16" s="398" t="s">
        <v>3400</v>
      </c>
      <c r="J16" s="399"/>
      <c r="K16" s="564"/>
      <c r="L16" s="2719"/>
      <c r="M16" s="2713"/>
      <c r="N16" s="2713"/>
      <c r="O16" s="2713"/>
      <c r="P16" s="3753"/>
      <c r="Q16" s="1350"/>
      <c r="R16" s="703"/>
      <c r="S16" s="704"/>
      <c r="T16" s="703"/>
      <c r="U16" s="704"/>
      <c r="V16" s="703"/>
      <c r="W16" s="704"/>
      <c r="X16" s="1353"/>
      <c r="Y16" s="3746"/>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53"/>
      <c r="Q17" s="1350" t="str">
        <f>B17</f>
        <v>交通便捷度</v>
      </c>
      <c r="R17" s="703" t="s">
        <v>14</v>
      </c>
      <c r="S17" s="704">
        <f>F17</f>
        <v>100</v>
      </c>
      <c r="T17" s="703" t="s">
        <v>14</v>
      </c>
      <c r="U17" s="704">
        <f>H17</f>
        <v>100</v>
      </c>
      <c r="V17" s="703" t="s">
        <v>14</v>
      </c>
      <c r="W17" s="704">
        <f>J17</f>
        <v>100</v>
      </c>
      <c r="X17" s="1353"/>
      <c r="Y17" s="3746"/>
      <c r="Z17" s="1354" t="str">
        <f>Q17</f>
        <v>交通便捷度</v>
      </c>
      <c r="AA17" s="1351">
        <f t="shared" si="3"/>
        <v>1</v>
      </c>
      <c r="AB17" s="1351">
        <f t="shared" si="4"/>
        <v>1</v>
      </c>
      <c r="AC17" s="1351">
        <f t="shared" si="5"/>
        <v>1</v>
      </c>
    </row>
    <row r="18" spans="1:29" ht="15">
      <c r="A18" s="379"/>
      <c r="B18" s="407"/>
      <c r="C18" s="1899" t="s">
        <v>3401</v>
      </c>
      <c r="D18" s="401"/>
      <c r="E18" s="1899" t="s">
        <v>3401</v>
      </c>
      <c r="F18" s="404"/>
      <c r="G18" s="1899" t="s">
        <v>3401</v>
      </c>
      <c r="H18" s="399"/>
      <c r="I18" s="1899" t="s">
        <v>3401</v>
      </c>
      <c r="J18" s="399"/>
      <c r="K18" s="564"/>
      <c r="L18" s="2719"/>
      <c r="M18" s="2713"/>
      <c r="N18" s="2713"/>
      <c r="O18" s="2713"/>
      <c r="P18" s="3753"/>
      <c r="Q18" s="1350"/>
      <c r="R18" s="703"/>
      <c r="S18" s="704"/>
      <c r="T18" s="703"/>
      <c r="U18" s="704"/>
      <c r="V18" s="703"/>
      <c r="W18" s="704"/>
      <c r="X18" s="1353"/>
      <c r="Y18" s="3746"/>
      <c r="Z18" s="1354"/>
      <c r="AA18" s="1351">
        <v>1</v>
      </c>
      <c r="AB18" s="1351">
        <v>1</v>
      </c>
      <c r="AC18" s="1351">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53"/>
      <c r="Q19" s="1350" t="str">
        <f>B19</f>
        <v>公共配套设施</v>
      </c>
      <c r="R19" s="703" t="s">
        <v>14</v>
      </c>
      <c r="S19" s="704">
        <f>F19</f>
        <v>100</v>
      </c>
      <c r="T19" s="703" t="s">
        <v>14</v>
      </c>
      <c r="U19" s="704">
        <f>H19</f>
        <v>100</v>
      </c>
      <c r="V19" s="703" t="s">
        <v>14</v>
      </c>
      <c r="W19" s="704">
        <f>J19</f>
        <v>100</v>
      </c>
      <c r="X19" s="1353"/>
      <c r="Y19" s="3746"/>
      <c r="Z19" s="1354" t="str">
        <f>Q19</f>
        <v>公共配套设施</v>
      </c>
      <c r="AA19" s="1351">
        <f t="shared" si="3"/>
        <v>1</v>
      </c>
      <c r="AB19" s="1351">
        <f t="shared" si="4"/>
        <v>1</v>
      </c>
      <c r="AC19" s="1351">
        <f t="shared" si="5"/>
        <v>1</v>
      </c>
    </row>
    <row r="20" spans="1:29" ht="15">
      <c r="A20" s="379"/>
      <c r="B20" s="407"/>
      <c r="C20" s="1899" t="s">
        <v>3401</v>
      </c>
      <c r="D20" s="399"/>
      <c r="E20" s="1899" t="s">
        <v>3401</v>
      </c>
      <c r="F20" s="400"/>
      <c r="G20" s="1899" t="s">
        <v>3401</v>
      </c>
      <c r="H20" s="399"/>
      <c r="I20" s="1899" t="s">
        <v>3401</v>
      </c>
      <c r="J20" s="399"/>
      <c r="K20" s="564"/>
      <c r="L20" s="2719"/>
      <c r="M20" s="2713"/>
      <c r="N20" s="2713"/>
      <c r="O20" s="2713"/>
      <c r="P20" s="3753"/>
      <c r="Q20" s="1350"/>
      <c r="R20" s="703"/>
      <c r="S20" s="704"/>
      <c r="T20" s="703"/>
      <c r="U20" s="704"/>
      <c r="V20" s="703"/>
      <c r="W20" s="704"/>
      <c r="X20" s="1353"/>
      <c r="Y20" s="3746"/>
      <c r="Z20" s="1354"/>
      <c r="AA20" s="1351">
        <v>1</v>
      </c>
      <c r="AB20" s="1351">
        <v>1</v>
      </c>
      <c r="AC20" s="1351">
        <v>1</v>
      </c>
    </row>
    <row r="21" spans="1:29" ht="27.6">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53"/>
      <c r="Q21" s="1350" t="str">
        <f>B21</f>
        <v>基础设施水平</v>
      </c>
      <c r="R21" s="703" t="s">
        <v>14</v>
      </c>
      <c r="S21" s="704">
        <f>F21</f>
        <v>100</v>
      </c>
      <c r="T21" s="703" t="s">
        <v>14</v>
      </c>
      <c r="U21" s="704">
        <f>H21</f>
        <v>100</v>
      </c>
      <c r="V21" s="703" t="s">
        <v>14</v>
      </c>
      <c r="W21" s="704">
        <f>J21</f>
        <v>100</v>
      </c>
      <c r="X21" s="1353"/>
      <c r="Y21" s="3746"/>
      <c r="Z21" s="1354" t="str">
        <f>Q21</f>
        <v>基础设施水平</v>
      </c>
      <c r="AA21" s="1351">
        <f t="shared" ref="AA21" si="8">D21/F21</f>
        <v>1</v>
      </c>
      <c r="AB21" s="1351">
        <f t="shared" ref="AB21" si="9">D21/H21</f>
        <v>1</v>
      </c>
      <c r="AC21" s="1351">
        <f t="shared" ref="AC21" si="10">D21/J21</f>
        <v>1</v>
      </c>
    </row>
    <row r="22" spans="1:29" ht="15">
      <c r="A22" s="379"/>
      <c r="B22" s="1129"/>
      <c r="C22" s="1899" t="s">
        <v>3443</v>
      </c>
      <c r="D22" s="399"/>
      <c r="E22" s="1899" t="s">
        <v>3443</v>
      </c>
      <c r="F22" s="400"/>
      <c r="G22" s="1899" t="s">
        <v>3443</v>
      </c>
      <c r="H22" s="399"/>
      <c r="I22" s="1899" t="s">
        <v>3443</v>
      </c>
      <c r="J22" s="399"/>
      <c r="K22" s="1128"/>
      <c r="L22" s="2719"/>
      <c r="M22" s="2713"/>
      <c r="N22" s="2713"/>
      <c r="O22" s="2713"/>
      <c r="P22" s="3753"/>
      <c r="Q22" s="1350"/>
      <c r="R22" s="703"/>
      <c r="S22" s="704"/>
      <c r="T22" s="703"/>
      <c r="U22" s="704"/>
      <c r="V22" s="703"/>
      <c r="W22" s="704"/>
      <c r="X22" s="1353"/>
      <c r="Y22" s="3746"/>
      <c r="Z22" s="1354"/>
      <c r="AA22" s="1351">
        <v>1</v>
      </c>
      <c r="AB22" s="1351">
        <v>1</v>
      </c>
      <c r="AC22" s="1351">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53"/>
      <c r="Q23" s="1350" t="str">
        <f>B23</f>
        <v>自然及人文环境</v>
      </c>
      <c r="R23" s="703" t="s">
        <v>14</v>
      </c>
      <c r="S23" s="704">
        <f>F23</f>
        <v>100</v>
      </c>
      <c r="T23" s="703" t="s">
        <v>14</v>
      </c>
      <c r="U23" s="704">
        <f>H23</f>
        <v>100</v>
      </c>
      <c r="V23" s="703" t="s">
        <v>14</v>
      </c>
      <c r="W23" s="704">
        <f>J23</f>
        <v>100</v>
      </c>
      <c r="X23" s="1353"/>
      <c r="Y23" s="3746"/>
      <c r="Z23" s="1354" t="str">
        <f>Q23</f>
        <v>自然及人文环境</v>
      </c>
      <c r="AA23" s="1351">
        <f t="shared" si="3"/>
        <v>1</v>
      </c>
      <c r="AB23" s="1351">
        <f t="shared" si="4"/>
        <v>1</v>
      </c>
      <c r="AC23" s="1351">
        <f t="shared" si="5"/>
        <v>1</v>
      </c>
    </row>
    <row r="24" spans="1:29" ht="15">
      <c r="A24" s="379"/>
      <c r="B24" s="407"/>
      <c r="C24" s="1899" t="s">
        <v>3402</v>
      </c>
      <c r="D24" s="399"/>
      <c r="E24" s="1899" t="s">
        <v>3402</v>
      </c>
      <c r="F24" s="400"/>
      <c r="G24" s="1899" t="s">
        <v>3402</v>
      </c>
      <c r="H24" s="399"/>
      <c r="I24" s="1899" t="s">
        <v>3402</v>
      </c>
      <c r="J24" s="399"/>
      <c r="K24" s="564"/>
      <c r="L24" s="2719"/>
      <c r="M24" s="2713"/>
      <c r="N24" s="2713"/>
      <c r="O24" s="2713"/>
      <c r="P24" s="3753"/>
      <c r="Q24" s="1350"/>
      <c r="R24" s="703"/>
      <c r="S24" s="704"/>
      <c r="T24" s="703"/>
      <c r="U24" s="704"/>
      <c r="V24" s="703"/>
      <c r="W24" s="704"/>
      <c r="X24" s="1353"/>
      <c r="Y24" s="3746"/>
      <c r="Z24" s="1354"/>
      <c r="AA24" s="1351">
        <v>1</v>
      </c>
      <c r="AB24" s="1351">
        <v>1</v>
      </c>
      <c r="AC24" s="1351">
        <v>1</v>
      </c>
    </row>
    <row r="25" spans="1:29" ht="15">
      <c r="A25" s="379"/>
      <c r="B25" s="375" t="s">
        <v>1780</v>
      </c>
      <c r="C25" s="565" t="s">
        <v>3477</v>
      </c>
      <c r="D25" s="386">
        <v>100</v>
      </c>
      <c r="E25" s="565" t="s">
        <v>3482</v>
      </c>
      <c r="F25" s="412">
        <f>SUMIF(86:86,E25,87:87)-SUMIF(86:86,C25,87:87)+100</f>
        <v>101</v>
      </c>
      <c r="G25" s="565" t="s">
        <v>3482</v>
      </c>
      <c r="H25" s="386">
        <f>SUMIF(86:86,G25,87:87)-SUMIF(86:86,C25,87:87)+100</f>
        <v>101</v>
      </c>
      <c r="I25" s="565" t="s">
        <v>3482</v>
      </c>
      <c r="J25" s="386">
        <f>SUMIF(86:86,I25,87:87)-SUMIF(86:86,C25,87:87)+100</f>
        <v>101</v>
      </c>
      <c r="K25" s="561">
        <v>1</v>
      </c>
      <c r="L25" s="2719"/>
      <c r="M25" s="2713"/>
      <c r="N25" s="2713"/>
      <c r="O25" s="2713"/>
      <c r="P25" s="3753"/>
      <c r="Q25" s="1350" t="str">
        <f t="shared" ref="Q25:Q46" si="11">B25</f>
        <v>临街状况</v>
      </c>
      <c r="R25" s="703" t="s">
        <v>14</v>
      </c>
      <c r="S25" s="704">
        <f>F25</f>
        <v>101</v>
      </c>
      <c r="T25" s="703" t="s">
        <v>14</v>
      </c>
      <c r="U25" s="704">
        <f>H25</f>
        <v>101</v>
      </c>
      <c r="V25" s="703" t="s">
        <v>14</v>
      </c>
      <c r="W25" s="704">
        <f>J25</f>
        <v>101</v>
      </c>
      <c r="X25" s="1353"/>
      <c r="Y25" s="3746"/>
      <c r="Z25" s="1354" t="str">
        <f>Q25</f>
        <v>临街状况</v>
      </c>
      <c r="AA25" s="1351">
        <f t="shared" si="3"/>
        <v>0.99009900990099009</v>
      </c>
      <c r="AB25" s="1351">
        <f t="shared" si="4"/>
        <v>0.99009900990099009</v>
      </c>
      <c r="AC25" s="1351">
        <f t="shared" si="5"/>
        <v>0.99009900990099009</v>
      </c>
    </row>
    <row r="26" spans="1:29" ht="15">
      <c r="A26" s="379"/>
      <c r="B26" s="1131" t="s">
        <v>1781</v>
      </c>
      <c r="C26" s="3457" t="s">
        <v>3488</v>
      </c>
      <c r="D26" s="386">
        <v>100</v>
      </c>
      <c r="E26" s="3457" t="s">
        <v>3489</v>
      </c>
      <c r="F26" s="412">
        <f>SUMIF(88:88,E26,89:89)-SUMIF(88:88,C26,89:89)+100</f>
        <v>101</v>
      </c>
      <c r="G26" s="3457" t="s">
        <v>3489</v>
      </c>
      <c r="H26" s="386">
        <f>SUMIF(88:88,G26,89:89)-SUMIF(88:88,C26,89:89)+100</f>
        <v>101</v>
      </c>
      <c r="I26" s="3457" t="s">
        <v>3489</v>
      </c>
      <c r="J26" s="386">
        <f>SUMIF(88:88,I26,89:89)-SUMIF(88:88,C26,89:89)+100</f>
        <v>101</v>
      </c>
      <c r="K26" s="562"/>
      <c r="L26" s="2719"/>
      <c r="M26" s="2713"/>
      <c r="N26" s="2713"/>
      <c r="O26" s="2713"/>
      <c r="P26" s="3753"/>
      <c r="Q26" s="1350" t="str">
        <f t="shared" si="11"/>
        <v>平面位置/可视性</v>
      </c>
      <c r="R26" s="703" t="s">
        <v>14</v>
      </c>
      <c r="S26" s="704">
        <f>F26</f>
        <v>101</v>
      </c>
      <c r="T26" s="703" t="s">
        <v>14</v>
      </c>
      <c r="U26" s="704">
        <f>H26</f>
        <v>101</v>
      </c>
      <c r="V26" s="703" t="s">
        <v>14</v>
      </c>
      <c r="W26" s="704">
        <f>J26</f>
        <v>101</v>
      </c>
      <c r="X26" s="1353"/>
      <c r="Y26" s="3746"/>
      <c r="Z26" s="1354" t="str">
        <f>Q26</f>
        <v>平面位置/可视性</v>
      </c>
      <c r="AA26" s="1351">
        <f t="shared" si="3"/>
        <v>0.99009900990099009</v>
      </c>
      <c r="AB26" s="1351">
        <f t="shared" si="4"/>
        <v>0.99009900990099009</v>
      </c>
      <c r="AC26" s="1351">
        <f t="shared" si="5"/>
        <v>0.99009900990099009</v>
      </c>
    </row>
    <row r="27" spans="1:29" s="108" customFormat="1" ht="15">
      <c r="A27" s="382"/>
      <c r="B27" s="402" t="s">
        <v>1782</v>
      </c>
      <c r="C27" s="1954" t="s">
        <v>3478</v>
      </c>
      <c r="D27" s="413">
        <v>100</v>
      </c>
      <c r="E27" s="1954" t="s">
        <v>3400</v>
      </c>
      <c r="F27" s="415">
        <f>SUMIF(90:90,E27,91:91)-SUMIF(90:90,C27,91:91)+100</f>
        <v>101</v>
      </c>
      <c r="G27" s="1954" t="s">
        <v>3400</v>
      </c>
      <c r="H27" s="413">
        <f>SUMIF(90:90,G27,91:91)-SUMIF(90:90,C27,91:91)+100</f>
        <v>101</v>
      </c>
      <c r="I27" s="1954" t="s">
        <v>3400</v>
      </c>
      <c r="J27" s="413">
        <f>SUMIF(90:90,I27,91:91)-SUMIF(90:90,C27,91:91)+100</f>
        <v>101</v>
      </c>
      <c r="K27" s="561">
        <v>1</v>
      </c>
      <c r="L27" s="2714"/>
      <c r="M27" s="2715"/>
      <c r="N27" s="2715"/>
      <c r="O27" s="2715"/>
      <c r="P27" s="3753"/>
      <c r="Q27" s="1341" t="str">
        <f t="shared" si="11"/>
        <v>人流量</v>
      </c>
      <c r="R27" s="699" t="s">
        <v>14</v>
      </c>
      <c r="S27" s="700">
        <f>F27</f>
        <v>101</v>
      </c>
      <c r="T27" s="699" t="s">
        <v>14</v>
      </c>
      <c r="U27" s="700">
        <f>H27</f>
        <v>101</v>
      </c>
      <c r="V27" s="699" t="s">
        <v>14</v>
      </c>
      <c r="W27" s="700">
        <f>J27</f>
        <v>101</v>
      </c>
      <c r="X27" s="701"/>
      <c r="Y27" s="3746"/>
      <c r="Z27" s="52" t="str">
        <f>Q27</f>
        <v>人流量</v>
      </c>
      <c r="AA27" s="1351">
        <f>D27/F27</f>
        <v>0.99009900990099009</v>
      </c>
      <c r="AB27" s="1351">
        <f>D27/H27</f>
        <v>0.99009900990099009</v>
      </c>
      <c r="AC27" s="1351">
        <f>D27/J27</f>
        <v>0.99009900990099009</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5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46"/>
      <c r="Z28" s="1354" t="str">
        <f t="shared" ref="Z28:Z46" si="15">Q28</f>
        <v>楼层</v>
      </c>
      <c r="AA28" s="1351">
        <f t="shared" si="3"/>
        <v>1</v>
      </c>
      <c r="AB28" s="1351">
        <f t="shared" si="4"/>
        <v>1</v>
      </c>
      <c r="AC28" s="1351">
        <f t="shared" si="5"/>
        <v>1</v>
      </c>
    </row>
    <row r="29" spans="1:29" ht="15">
      <c r="A29" s="379"/>
      <c r="B29" s="3458" t="s">
        <v>3479</v>
      </c>
      <c r="C29" s="385" t="s">
        <v>3480</v>
      </c>
      <c r="D29" s="386">
        <v>100</v>
      </c>
      <c r="E29" s="385" t="s">
        <v>3481</v>
      </c>
      <c r="F29" s="412">
        <f>SUMIF(94:94,E29,95:95)-SUMIF(94:94,C29,95:95)+100</f>
        <v>120</v>
      </c>
      <c r="G29" s="385" t="s">
        <v>3481</v>
      </c>
      <c r="H29" s="386">
        <f>SUMIF(94:94,G29,95:95)-SUMIF(94:94,C29,95:95)+100</f>
        <v>120</v>
      </c>
      <c r="I29" s="385" t="s">
        <v>3481</v>
      </c>
      <c r="J29" s="386">
        <f>SUMIF(94:94,I29,95:95)-SUMIF(94:94,C29,95:95)+100</f>
        <v>120</v>
      </c>
      <c r="K29" s="562"/>
      <c r="L29" s="2719"/>
      <c r="M29" s="2713"/>
      <c r="N29" s="2713"/>
      <c r="O29" s="2713"/>
      <c r="P29" s="3753"/>
      <c r="Q29" s="1350" t="str">
        <f t="shared" si="11"/>
        <v>楼层</v>
      </c>
      <c r="R29" s="703" t="s">
        <v>14</v>
      </c>
      <c r="S29" s="704">
        <f t="shared" si="12"/>
        <v>120</v>
      </c>
      <c r="T29" s="703" t="s">
        <v>14</v>
      </c>
      <c r="U29" s="704">
        <f t="shared" si="13"/>
        <v>120</v>
      </c>
      <c r="V29" s="703" t="s">
        <v>14</v>
      </c>
      <c r="W29" s="704">
        <f t="shared" si="14"/>
        <v>120</v>
      </c>
      <c r="X29" s="1353"/>
      <c r="Y29" s="3746"/>
      <c r="Z29" s="1354" t="str">
        <f t="shared" si="15"/>
        <v>楼层</v>
      </c>
      <c r="AA29" s="1351">
        <f t="shared" si="3"/>
        <v>0.83333333333333337</v>
      </c>
      <c r="AB29" s="1351">
        <f t="shared" si="4"/>
        <v>0.83333333333333337</v>
      </c>
      <c r="AC29" s="1351">
        <f t="shared" si="5"/>
        <v>0.83333333333333337</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53"/>
      <c r="Q30" s="1350">
        <f t="shared" si="11"/>
        <v>111</v>
      </c>
      <c r="R30" s="703" t="s">
        <v>14</v>
      </c>
      <c r="S30" s="704">
        <f t="shared" si="12"/>
        <v>100</v>
      </c>
      <c r="T30" s="703" t="s">
        <v>14</v>
      </c>
      <c r="U30" s="704">
        <f t="shared" si="13"/>
        <v>100</v>
      </c>
      <c r="V30" s="703" t="s">
        <v>14</v>
      </c>
      <c r="W30" s="704">
        <f t="shared" si="14"/>
        <v>100</v>
      </c>
      <c r="X30" s="1353"/>
      <c r="Y30" s="3746"/>
      <c r="Z30" s="1354">
        <f t="shared" si="15"/>
        <v>111</v>
      </c>
      <c r="AA30" s="1351">
        <f t="shared" si="3"/>
        <v>1</v>
      </c>
      <c r="AB30" s="1351">
        <f t="shared" si="4"/>
        <v>1</v>
      </c>
      <c r="AC30" s="1351">
        <f t="shared" si="5"/>
        <v>1</v>
      </c>
    </row>
    <row r="31" spans="1:29" ht="15.6"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53"/>
      <c r="Q31" s="1350">
        <f t="shared" si="11"/>
        <v>111</v>
      </c>
      <c r="R31" s="703" t="s">
        <v>14</v>
      </c>
      <c r="S31" s="704">
        <f t="shared" si="12"/>
        <v>100</v>
      </c>
      <c r="T31" s="703" t="s">
        <v>14</v>
      </c>
      <c r="U31" s="704">
        <f t="shared" si="13"/>
        <v>100</v>
      </c>
      <c r="V31" s="703" t="s">
        <v>14</v>
      </c>
      <c r="W31" s="704">
        <f t="shared" si="14"/>
        <v>100</v>
      </c>
      <c r="X31" s="1353"/>
      <c r="Y31" s="374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747" t="s">
        <v>1696</v>
      </c>
      <c r="Q32" s="1350" t="str">
        <f t="shared" si="11"/>
        <v>商业类型</v>
      </c>
      <c r="R32" s="703" t="s">
        <v>14</v>
      </c>
      <c r="S32" s="704">
        <f t="shared" si="12"/>
        <v>100</v>
      </c>
      <c r="T32" s="703" t="s">
        <v>14</v>
      </c>
      <c r="U32" s="704">
        <f t="shared" si="13"/>
        <v>100</v>
      </c>
      <c r="V32" s="703" t="s">
        <v>14</v>
      </c>
      <c r="W32" s="704">
        <f t="shared" si="14"/>
        <v>100</v>
      </c>
      <c r="X32" s="1353"/>
      <c r="Y32" s="3750" t="s">
        <v>1696</v>
      </c>
      <c r="Z32" s="1354" t="str">
        <f t="shared" si="15"/>
        <v>商业类型</v>
      </c>
      <c r="AA32" s="1351">
        <f t="shared" si="3"/>
        <v>1</v>
      </c>
      <c r="AB32" s="1351">
        <f t="shared" si="4"/>
        <v>1</v>
      </c>
      <c r="AC32" s="1351">
        <f t="shared" si="5"/>
        <v>1</v>
      </c>
    </row>
    <row r="33" spans="1:29" s="422" customFormat="1" ht="15.6" thickBot="1">
      <c r="A33" s="419"/>
      <c r="B33" s="375" t="s">
        <v>1697</v>
      </c>
      <c r="C33" s="388"/>
      <c r="D33" s="127">
        <v>100</v>
      </c>
      <c r="E33" s="381"/>
      <c r="F33" s="376">
        <v>100</v>
      </c>
      <c r="G33" s="380"/>
      <c r="H33" s="127">
        <v>100</v>
      </c>
      <c r="I33" s="380"/>
      <c r="J33" s="127">
        <v>100</v>
      </c>
      <c r="K33" s="562"/>
      <c r="L33" s="2718"/>
      <c r="M33" s="2720"/>
      <c r="N33" s="2720"/>
      <c r="O33" s="2720"/>
      <c r="P33" s="3748"/>
      <c r="Q33" s="705" t="str">
        <f t="shared" si="11"/>
        <v>项目建筑规模</v>
      </c>
      <c r="R33" s="706" t="s">
        <v>14</v>
      </c>
      <c r="S33" s="707">
        <f t="shared" si="12"/>
        <v>100</v>
      </c>
      <c r="T33" s="706" t="s">
        <v>14</v>
      </c>
      <c r="U33" s="707">
        <f t="shared" si="13"/>
        <v>100</v>
      </c>
      <c r="V33" s="706" t="s">
        <v>14</v>
      </c>
      <c r="W33" s="707">
        <f t="shared" si="14"/>
        <v>100</v>
      </c>
      <c r="X33" s="708"/>
      <c r="Y33" s="3750"/>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48"/>
      <c r="Q34" s="1350" t="str">
        <f t="shared" si="11"/>
        <v>建筑结构</v>
      </c>
      <c r="R34" s="703" t="s">
        <v>14</v>
      </c>
      <c r="S34" s="704">
        <f t="shared" si="12"/>
        <v>100</v>
      </c>
      <c r="T34" s="703" t="s">
        <v>14</v>
      </c>
      <c r="U34" s="704">
        <f t="shared" si="13"/>
        <v>100</v>
      </c>
      <c r="V34" s="703" t="s">
        <v>14</v>
      </c>
      <c r="W34" s="704">
        <f t="shared" si="14"/>
        <v>100</v>
      </c>
      <c r="X34" s="1353"/>
      <c r="Y34" s="375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48"/>
      <c r="Q35" s="1350" t="str">
        <f t="shared" si="11"/>
        <v>公共部分装修</v>
      </c>
      <c r="R35" s="703" t="s">
        <v>14</v>
      </c>
      <c r="S35" s="704">
        <f t="shared" si="12"/>
        <v>100</v>
      </c>
      <c r="T35" s="703" t="s">
        <v>14</v>
      </c>
      <c r="U35" s="704">
        <f t="shared" si="13"/>
        <v>100</v>
      </c>
      <c r="V35" s="703" t="s">
        <v>14</v>
      </c>
      <c r="W35" s="704">
        <f t="shared" si="14"/>
        <v>100</v>
      </c>
      <c r="X35" s="1353"/>
      <c r="Y35" s="3750"/>
      <c r="Z35" s="1354" t="str">
        <f t="shared" si="15"/>
        <v>公共部分装修</v>
      </c>
      <c r="AA35" s="1351">
        <f t="shared" si="3"/>
        <v>1</v>
      </c>
      <c r="AB35" s="1351">
        <f t="shared" si="4"/>
        <v>1</v>
      </c>
      <c r="AC35" s="1351">
        <f t="shared" si="5"/>
        <v>1</v>
      </c>
    </row>
    <row r="36" spans="1:29" ht="15.6" thickBot="1">
      <c r="A36" s="423"/>
      <c r="B36" s="375" t="s">
        <v>1786</v>
      </c>
      <c r="C36" s="3465">
        <v>0.7</v>
      </c>
      <c r="D36" s="386">
        <v>100</v>
      </c>
      <c r="E36" s="3461">
        <f>C36</f>
        <v>0.7</v>
      </c>
      <c r="F36" s="412">
        <v>100</v>
      </c>
      <c r="G36" s="3461">
        <f>C36</f>
        <v>0.7</v>
      </c>
      <c r="H36" s="412">
        <v>100</v>
      </c>
      <c r="I36" s="3461">
        <f>C36</f>
        <v>0.7</v>
      </c>
      <c r="J36" s="386">
        <v>100</v>
      </c>
      <c r="K36" s="561">
        <v>2</v>
      </c>
      <c r="L36" s="2719"/>
      <c r="M36" s="2713"/>
      <c r="N36" s="2713"/>
      <c r="O36" s="2713"/>
      <c r="P36" s="3748"/>
      <c r="Q36" s="1350" t="str">
        <f t="shared" si="11"/>
        <v>成新度</v>
      </c>
      <c r="R36" s="703" t="s">
        <v>14</v>
      </c>
      <c r="S36" s="704">
        <f t="shared" si="12"/>
        <v>100</v>
      </c>
      <c r="T36" s="703" t="s">
        <v>14</v>
      </c>
      <c r="U36" s="704">
        <f t="shared" si="13"/>
        <v>100</v>
      </c>
      <c r="V36" s="703" t="s">
        <v>14</v>
      </c>
      <c r="W36" s="704">
        <f t="shared" si="14"/>
        <v>100</v>
      </c>
      <c r="X36" s="1353"/>
      <c r="Y36" s="3750"/>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48"/>
      <c r="Q37" s="1341" t="str">
        <f t="shared" si="11"/>
        <v>市政基础设施</v>
      </c>
      <c r="R37" s="699" t="s">
        <v>14</v>
      </c>
      <c r="S37" s="700">
        <f t="shared" si="12"/>
        <v>100</v>
      </c>
      <c r="T37" s="699" t="s">
        <v>14</v>
      </c>
      <c r="U37" s="700">
        <f t="shared" si="13"/>
        <v>100</v>
      </c>
      <c r="V37" s="699" t="s">
        <v>14</v>
      </c>
      <c r="W37" s="700">
        <f t="shared" si="14"/>
        <v>100</v>
      </c>
      <c r="X37" s="701"/>
      <c r="Y37" s="375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48" t="s">
        <v>1696</v>
      </c>
      <c r="Q38" s="1350" t="str">
        <f t="shared" si="11"/>
        <v>业态</v>
      </c>
      <c r="R38" s="703" t="s">
        <v>14</v>
      </c>
      <c r="S38" s="704">
        <f t="shared" si="12"/>
        <v>100</v>
      </c>
      <c r="T38" s="703" t="s">
        <v>14</v>
      </c>
      <c r="U38" s="704">
        <f t="shared" si="13"/>
        <v>100</v>
      </c>
      <c r="V38" s="703" t="s">
        <v>14</v>
      </c>
      <c r="W38" s="704">
        <f t="shared" si="14"/>
        <v>100</v>
      </c>
      <c r="X38" s="1353"/>
      <c r="Y38" s="375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48"/>
      <c r="Q39" s="1350" t="str">
        <f t="shared" si="11"/>
        <v>层高</v>
      </c>
      <c r="R39" s="703" t="s">
        <v>14</v>
      </c>
      <c r="S39" s="704">
        <f t="shared" si="12"/>
        <v>100</v>
      </c>
      <c r="T39" s="703" t="s">
        <v>14</v>
      </c>
      <c r="U39" s="704">
        <f t="shared" si="13"/>
        <v>100</v>
      </c>
      <c r="V39" s="703" t="s">
        <v>14</v>
      </c>
      <c r="W39" s="704">
        <f t="shared" si="14"/>
        <v>100</v>
      </c>
      <c r="X39" s="1353"/>
      <c r="Y39" s="3750"/>
      <c r="Z39" s="1354" t="str">
        <f t="shared" si="15"/>
        <v>层高</v>
      </c>
      <c r="AA39" s="1351">
        <f t="shared" si="3"/>
        <v>1</v>
      </c>
      <c r="AB39" s="1351">
        <f t="shared" si="4"/>
        <v>1</v>
      </c>
      <c r="AC39" s="1351">
        <f t="shared" si="5"/>
        <v>1</v>
      </c>
    </row>
    <row r="40" spans="1:29" ht="15">
      <c r="A40" s="423"/>
      <c r="B40" s="375" t="s">
        <v>1790</v>
      </c>
      <c r="C40" s="3460">
        <v>127.35</v>
      </c>
      <c r="D40" s="386">
        <v>100</v>
      </c>
      <c r="E40" s="566">
        <v>128</v>
      </c>
      <c r="F40" s="412">
        <f>SUMIF(118:118,E40,119:119)-SUMIF(118:118,C40,119:119)+100</f>
        <v>100</v>
      </c>
      <c r="G40" s="566">
        <v>275</v>
      </c>
      <c r="H40" s="3466">
        <f>SUMIF(118:118,G40,119:119)-SUMIF(118:118,C40,119:119)+100</f>
        <v>100</v>
      </c>
      <c r="I40" s="566">
        <v>102</v>
      </c>
      <c r="J40" s="386">
        <f>SUMIF(118:118,I40,119:119)-SUMIF(118:118,C40,119:119)+100</f>
        <v>100</v>
      </c>
      <c r="K40" s="562"/>
      <c r="L40" s="2719"/>
      <c r="M40" s="2713"/>
      <c r="N40" s="2713"/>
      <c r="O40" s="2713"/>
      <c r="P40" s="3748"/>
      <c r="Q40" s="1350" t="str">
        <f t="shared" si="11"/>
        <v>单套建筑面积</v>
      </c>
      <c r="R40" s="703" t="s">
        <v>14</v>
      </c>
      <c r="S40" s="704">
        <f t="shared" si="12"/>
        <v>100</v>
      </c>
      <c r="T40" s="703" t="s">
        <v>14</v>
      </c>
      <c r="U40" s="704">
        <f t="shared" si="13"/>
        <v>100</v>
      </c>
      <c r="V40" s="703" t="s">
        <v>14</v>
      </c>
      <c r="W40" s="704">
        <f t="shared" si="14"/>
        <v>100</v>
      </c>
      <c r="X40" s="1353"/>
      <c r="Y40" s="375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48"/>
      <c r="Q41" s="705" t="str">
        <f t="shared" si="11"/>
        <v>进深比</v>
      </c>
      <c r="R41" s="706" t="s">
        <v>14</v>
      </c>
      <c r="S41" s="707">
        <f t="shared" si="12"/>
        <v>100</v>
      </c>
      <c r="T41" s="706" t="s">
        <v>14</v>
      </c>
      <c r="U41" s="707">
        <f t="shared" si="13"/>
        <v>100</v>
      </c>
      <c r="V41" s="706" t="s">
        <v>14</v>
      </c>
      <c r="W41" s="707">
        <f t="shared" si="14"/>
        <v>100</v>
      </c>
      <c r="X41" s="708"/>
      <c r="Y41" s="375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48"/>
      <c r="Q42" s="1350" t="str">
        <f t="shared" si="11"/>
        <v>内部装修</v>
      </c>
      <c r="R42" s="703" t="s">
        <v>14</v>
      </c>
      <c r="S42" s="704">
        <f t="shared" si="12"/>
        <v>100</v>
      </c>
      <c r="T42" s="703" t="s">
        <v>14</v>
      </c>
      <c r="U42" s="704">
        <f t="shared" si="13"/>
        <v>100</v>
      </c>
      <c r="V42" s="703" t="s">
        <v>14</v>
      </c>
      <c r="W42" s="704">
        <f t="shared" si="14"/>
        <v>100</v>
      </c>
      <c r="X42" s="1353"/>
      <c r="Y42" s="3750"/>
      <c r="Z42" s="1354" t="str">
        <f t="shared" si="15"/>
        <v>内部装修</v>
      </c>
      <c r="AA42" s="1351">
        <f t="shared" si="3"/>
        <v>1</v>
      </c>
      <c r="AB42" s="1351">
        <f t="shared" si="4"/>
        <v>1</v>
      </c>
      <c r="AC42" s="1351">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48"/>
      <c r="Q43" s="1350" t="str">
        <f t="shared" si="11"/>
        <v>内部装修维护情况</v>
      </c>
      <c r="R43" s="703" t="s">
        <v>14</v>
      </c>
      <c r="S43" s="704">
        <f t="shared" si="12"/>
        <v>100</v>
      </c>
      <c r="T43" s="703" t="s">
        <v>14</v>
      </c>
      <c r="U43" s="704">
        <f t="shared" si="13"/>
        <v>100</v>
      </c>
      <c r="V43" s="703" t="s">
        <v>14</v>
      </c>
      <c r="W43" s="704">
        <f t="shared" si="14"/>
        <v>100</v>
      </c>
      <c r="X43" s="1353"/>
      <c r="Y43" s="375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8"/>
      <c r="Q44" s="1341">
        <f t="shared" si="11"/>
        <v>111</v>
      </c>
      <c r="R44" s="699" t="s">
        <v>14</v>
      </c>
      <c r="S44" s="700">
        <f t="shared" si="12"/>
        <v>100</v>
      </c>
      <c r="T44" s="699" t="s">
        <v>14</v>
      </c>
      <c r="U44" s="700">
        <f t="shared" si="13"/>
        <v>100</v>
      </c>
      <c r="V44" s="699" t="s">
        <v>14</v>
      </c>
      <c r="W44" s="700">
        <f t="shared" si="14"/>
        <v>100</v>
      </c>
      <c r="X44" s="701"/>
      <c r="Y44" s="375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8"/>
      <c r="Q45" s="1350">
        <f t="shared" si="11"/>
        <v>111</v>
      </c>
      <c r="R45" s="703" t="s">
        <v>14</v>
      </c>
      <c r="S45" s="704">
        <f t="shared" si="12"/>
        <v>100</v>
      </c>
      <c r="T45" s="703" t="s">
        <v>14</v>
      </c>
      <c r="U45" s="704">
        <f t="shared" si="13"/>
        <v>100</v>
      </c>
      <c r="V45" s="703" t="s">
        <v>14</v>
      </c>
      <c r="W45" s="704">
        <f t="shared" si="14"/>
        <v>100</v>
      </c>
      <c r="X45" s="1353"/>
      <c r="Y45" s="3750"/>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9"/>
      <c r="Q46" s="1350">
        <f t="shared" si="11"/>
        <v>111</v>
      </c>
      <c r="R46" s="703" t="s">
        <v>14</v>
      </c>
      <c r="S46" s="704">
        <f t="shared" si="12"/>
        <v>100</v>
      </c>
      <c r="T46" s="703" t="s">
        <v>14</v>
      </c>
      <c r="U46" s="704">
        <f t="shared" si="13"/>
        <v>100</v>
      </c>
      <c r="V46" s="703" t="s">
        <v>14</v>
      </c>
      <c r="W46" s="704">
        <f t="shared" si="14"/>
        <v>100</v>
      </c>
      <c r="X46" s="1353"/>
      <c r="Y46" s="3751"/>
      <c r="Z46" s="1354">
        <f t="shared" si="15"/>
        <v>111</v>
      </c>
      <c r="AA46" s="1351">
        <f t="shared" si="3"/>
        <v>1</v>
      </c>
      <c r="AB46" s="1351">
        <f t="shared" si="4"/>
        <v>1</v>
      </c>
      <c r="AC46" s="1351">
        <f t="shared" si="5"/>
        <v>1</v>
      </c>
    </row>
    <row r="47" spans="1:29" ht="14.4">
      <c r="A47" s="430" t="s">
        <v>1708</v>
      </c>
      <c r="B47" s="431"/>
      <c r="C47" s="1152" t="s">
        <v>0</v>
      </c>
      <c r="D47" s="1153"/>
      <c r="E47" s="1154">
        <v>7</v>
      </c>
      <c r="F47" s="1155"/>
      <c r="G47" s="1156">
        <v>7.5</v>
      </c>
      <c r="H47" s="1157"/>
      <c r="I47" s="1154">
        <v>7.19</v>
      </c>
      <c r="J47" s="1157"/>
      <c r="K47" s="712"/>
      <c r="L47" s="2721"/>
      <c r="M47" s="2722"/>
      <c r="N47" s="2713"/>
      <c r="O47" s="2722"/>
      <c r="P47" s="3743" t="str">
        <f>A47</f>
        <v>成交单价（元/平方米）</v>
      </c>
      <c r="Q47" s="3743"/>
      <c r="R47" s="3738">
        <f>E47</f>
        <v>7</v>
      </c>
      <c r="S47" s="3738"/>
      <c r="T47" s="3738">
        <f>G47</f>
        <v>7.5</v>
      </c>
      <c r="U47" s="3738"/>
      <c r="V47" s="3738">
        <f>I47</f>
        <v>7.19</v>
      </c>
      <c r="W47" s="3738"/>
      <c r="X47" s="688"/>
      <c r="Y47" s="710"/>
      <c r="Z47" s="688"/>
      <c r="AA47" s="688"/>
      <c r="AB47" s="688"/>
      <c r="AC47" s="688"/>
    </row>
    <row r="48" spans="1:29" ht="15" thickBot="1">
      <c r="A48" s="437" t="s">
        <v>1793</v>
      </c>
      <c r="B48" s="438"/>
      <c r="C48" s="1158">
        <f>R49</f>
        <v>5.8</v>
      </c>
      <c r="D48" s="2314" t="s">
        <v>2137</v>
      </c>
      <c r="E48" s="1159">
        <f>R48</f>
        <v>5.6</v>
      </c>
      <c r="F48" s="2315"/>
      <c r="G48" s="1158">
        <f>T48</f>
        <v>6</v>
      </c>
      <c r="H48" s="2315"/>
      <c r="I48" s="1159">
        <f>V48</f>
        <v>5.8</v>
      </c>
      <c r="J48" s="2315"/>
      <c r="K48" s="2317">
        <f>F48+H48+J48</f>
        <v>0</v>
      </c>
      <c r="L48" s="2721"/>
      <c r="M48" s="2722"/>
      <c r="N48" s="2713"/>
      <c r="O48" s="2722"/>
      <c r="P48" s="3743" t="str">
        <f>A48</f>
        <v>比较价值（元/平方米）</v>
      </c>
      <c r="Q48" s="3743"/>
      <c r="R48" s="3744">
        <f>IF(F1="售价",ROUND(PRODUCT(R47,AA7:AA46),0),ROUND(PRODUCT(R47,AA7:AA46),1))</f>
        <v>5.6</v>
      </c>
      <c r="S48" s="3744"/>
      <c r="T48" s="3744">
        <f>IF(F1="售价",ROUND(PRODUCT(T47,AB7:AB46),0),ROUND(PRODUCT(T47,AB7:AB46),1))</f>
        <v>6</v>
      </c>
      <c r="U48" s="3744"/>
      <c r="V48" s="3744">
        <f>IF(F1="售价",ROUND(PRODUCT(V47,AC7:AC46),0),ROUND(PRODUCT(V47,AC7:AC46),1))</f>
        <v>5.8</v>
      </c>
      <c r="W48" s="3744"/>
      <c r="X48" s="688"/>
      <c r="Y48" s="688"/>
      <c r="Z48" s="688"/>
      <c r="AA48" s="688"/>
      <c r="AB48" s="688"/>
      <c r="AC48" s="688"/>
    </row>
    <row r="49" spans="1:29" ht="15" thickBot="1">
      <c r="A49" s="441" t="s">
        <v>1794</v>
      </c>
      <c r="B49" s="442"/>
      <c r="C49" s="1161">
        <f>R49</f>
        <v>5.8</v>
      </c>
      <c r="D49" s="1161"/>
      <c r="E49" s="1161"/>
      <c r="F49" s="1161"/>
      <c r="G49" s="1161"/>
      <c r="H49" s="1161"/>
      <c r="I49" s="1161"/>
      <c r="J49" s="1161"/>
      <c r="K49" s="713"/>
      <c r="L49" s="2721"/>
      <c r="M49" s="2722"/>
      <c r="N49" s="2713"/>
      <c r="O49" s="2722"/>
      <c r="P49" s="3740" t="str">
        <f>A49</f>
        <v>估价对象XX用房的比较价值（楼面单价，元/平方米）</v>
      </c>
      <c r="Q49" s="3741"/>
      <c r="R49" s="3742">
        <f>IF(F1="售价",ROUND(IF(D48="简单平均",AVERAGE(R48:V48),R48*F48+T48*H48+V48*J48),0),ROUND(IF(D48="简单平均",AVERAGE(R48:V48),R48*F48+T48*H48+V48*J48),1))</f>
        <v>5.8</v>
      </c>
      <c r="S49" s="3742"/>
      <c r="T49" s="3742"/>
      <c r="U49" s="3742"/>
      <c r="V49" s="3742"/>
      <c r="W49" s="3742"/>
      <c r="X49" s="688"/>
      <c r="Y49" s="688"/>
      <c r="Z49" s="688"/>
      <c r="AA49" s="688"/>
      <c r="AB49" s="688"/>
      <c r="AC49" s="688"/>
    </row>
    <row r="50" spans="1:29">
      <c r="A50" s="2722"/>
      <c r="B50" s="2722"/>
      <c r="C50" s="2722">
        <f>C48/基准地价修正!S2*基准地价修正!S4</f>
        <v>3.8637059724349152</v>
      </c>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0.25</v>
      </c>
      <c r="F52" s="449" t="str">
        <f>IF(OR(E52&gt;=0.3,E52&lt;=-0.3),"超过30%","")</f>
        <v/>
      </c>
      <c r="G52" s="448">
        <f>IF(G47&lt;G48,G48/G47-1,G47/G48-1)</f>
        <v>0.25</v>
      </c>
      <c r="H52" s="449" t="str">
        <f>IF(OR(G52&gt;=0.3,G52&lt;=-0.3),"超过30%","")</f>
        <v/>
      </c>
      <c r="I52" s="448">
        <f>IF(I47&lt;I48,I48/I47-1,I47/I48-1)</f>
        <v>0.23965517241379319</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7.1428571428571397E-2</v>
      </c>
      <c r="F53" s="449" t="str">
        <f>IF(OR(E53&gt;=0.2,E53&lt;=-0.2),"超过20%","")</f>
        <v/>
      </c>
      <c r="G53" s="448">
        <f>IF(G48&lt;I48,I48/G48-1,G48/I48-1)</f>
        <v>3.4482758620689724E-2</v>
      </c>
      <c r="H53" s="449" t="str">
        <f>IF(OR(G53&gt;=0.2,G53&lt;=-0.2),"超过20%","")</f>
        <v/>
      </c>
      <c r="I53" s="448">
        <f>IF(I48&lt;E48,E48/I48-1,I48/E48-1)</f>
        <v>3.5714285714285809E-2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7.1428571428571397E-2</v>
      </c>
      <c r="F54" s="449" t="str">
        <f>IF(OR(E54&gt;=0.3,E54&lt;=-0.3),"超过30%","")</f>
        <v/>
      </c>
      <c r="G54" s="448">
        <f>IF(G47&lt;I47,I47/G47-1,G47/I47-1)</f>
        <v>4.311543810848395E-2</v>
      </c>
      <c r="H54" s="449" t="str">
        <f>IF(OR(G54&gt;=0.3,G54&lt;=-0.3),"超过30%","")</f>
        <v/>
      </c>
      <c r="I54" s="448">
        <f>IF(I47&lt;E47,E47/I47-1,I47/E47-1)</f>
        <v>2.7142857142857135E-2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4.4">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7"/>
      <c r="Q58" s="2738"/>
      <c r="R58" s="2738"/>
      <c r="S58" s="2738"/>
      <c r="T58" s="2738"/>
      <c r="U58" s="2738"/>
      <c r="V58" s="2738"/>
      <c r="W58" s="2738"/>
      <c r="X58" s="2738"/>
      <c r="Y58" s="2738"/>
      <c r="Z58" s="2738"/>
      <c r="AA58" s="2738"/>
      <c r="AB58" s="2738"/>
      <c r="AC58" s="2738"/>
    </row>
    <row r="59" spans="1:29" s="108" customFormat="1">
      <c r="A59" s="458"/>
      <c r="B59" s="459"/>
      <c r="C59" s="1181">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3451" t="s">
        <v>3441</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v>101</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v>0</v>
      </c>
      <c r="D68" s="498">
        <v>1</v>
      </c>
      <c r="E68" s="498">
        <v>2</v>
      </c>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6" t="s">
        <v>1799</v>
      </c>
      <c r="D82" s="606" t="s">
        <v>1800</v>
      </c>
      <c r="E82" s="606" t="s">
        <v>1801</v>
      </c>
      <c r="F82" s="606" t="s">
        <v>1802</v>
      </c>
      <c r="G82" s="606"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6"/>
      <c r="I83" s="606"/>
      <c r="J83" s="606"/>
      <c r="K83" s="606"/>
      <c r="L83" s="606"/>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3453" t="s">
        <v>3444</v>
      </c>
      <c r="D86" s="3453" t="s">
        <v>3445</v>
      </c>
      <c r="E86" s="3454" t="s">
        <v>3446</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 thickTop="1">
      <c r="A88" s="528"/>
      <c r="B88" s="487" t="str">
        <f>B26</f>
        <v>平面位置/可视性</v>
      </c>
      <c r="C88" s="3453" t="s">
        <v>3447</v>
      </c>
      <c r="D88" s="3453" t="s">
        <v>3448</v>
      </c>
      <c r="E88" s="3453" t="s">
        <v>3449</v>
      </c>
      <c r="F88" s="3455" t="s">
        <v>3450</v>
      </c>
      <c r="G88" s="3453" t="s">
        <v>3451</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v>100</v>
      </c>
      <c r="D89" s="485">
        <v>99</v>
      </c>
      <c r="E89" s="485">
        <v>98</v>
      </c>
      <c r="F89" s="485">
        <v>97</v>
      </c>
      <c r="G89" s="485">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 thickTop="1">
      <c r="A90" s="502"/>
      <c r="B90" s="487" t="str">
        <f>B27</f>
        <v>人流量</v>
      </c>
      <c r="C90" s="3453" t="s">
        <v>3452</v>
      </c>
      <c r="D90" s="3453" t="s">
        <v>3453</v>
      </c>
      <c r="E90" s="3453" t="s">
        <v>3454</v>
      </c>
      <c r="F90" s="3455" t="s">
        <v>3455</v>
      </c>
      <c r="G90" s="3453" t="s">
        <v>3456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99</v>
      </c>
      <c r="E91" s="493">
        <f t="shared" ref="E91:M91" si="21">D91-$K27</f>
        <v>98</v>
      </c>
      <c r="F91" s="493">
        <f t="shared" si="21"/>
        <v>97</v>
      </c>
      <c r="G91" s="493">
        <f t="shared" si="21"/>
        <v>96</v>
      </c>
      <c r="H91" s="493">
        <f t="shared" si="21"/>
        <v>95</v>
      </c>
      <c r="I91" s="493">
        <f t="shared" si="21"/>
        <v>94</v>
      </c>
      <c r="J91" s="493">
        <f t="shared" si="21"/>
        <v>93</v>
      </c>
      <c r="K91" s="493">
        <f t="shared" si="21"/>
        <v>92</v>
      </c>
      <c r="L91" s="493">
        <f t="shared" si="21"/>
        <v>91</v>
      </c>
      <c r="M91" s="493">
        <f t="shared" si="21"/>
        <v>90</v>
      </c>
      <c r="N91" s="2752"/>
      <c r="O91" s="2752"/>
      <c r="P91" s="2742"/>
      <c r="Q91" s="2743"/>
      <c r="R91" s="2744"/>
      <c r="S91" s="2744"/>
      <c r="T91" s="2744"/>
      <c r="U91" s="2744"/>
      <c r="V91" s="2744"/>
      <c r="W91" s="2744"/>
      <c r="X91" s="2744"/>
      <c r="Y91" s="2744"/>
      <c r="Z91" s="2744"/>
      <c r="AA91" s="2744"/>
      <c r="AB91" s="2744"/>
      <c r="AC91" s="2744"/>
    </row>
    <row r="92" spans="1:29" ht="15" thickTop="1">
      <c r="A92" s="483"/>
      <c r="B92" s="487" t="str">
        <f>B28</f>
        <v>楼层</v>
      </c>
      <c r="C92" s="503" t="s">
        <v>3457</v>
      </c>
      <c r="D92" s="3454" t="s">
        <v>3458</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v>100</v>
      </c>
      <c r="D93" s="485">
        <v>95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 thickTop="1">
      <c r="A94" s="483"/>
      <c r="B94" s="487" t="str">
        <f>B29</f>
        <v>楼层</v>
      </c>
      <c r="C94" s="503" t="s">
        <v>3486</v>
      </c>
      <c r="D94" s="503" t="s">
        <v>3487</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v>100</v>
      </c>
      <c r="D95" s="485">
        <v>80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28.8">
      <c r="A100" s="476" t="s">
        <v>1694</v>
      </c>
      <c r="B100" s="477" t="s">
        <v>1805</v>
      </c>
      <c r="C100" s="3456" t="s">
        <v>3459</v>
      </c>
      <c r="D100" s="3456" t="s">
        <v>3460</v>
      </c>
      <c r="E100" s="3456" t="s">
        <v>3461</v>
      </c>
      <c r="F100" s="3456" t="s">
        <v>3462</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0(含)-150</v>
      </c>
      <c r="D102" s="527" t="str">
        <f t="shared" ref="D102:L102" si="23">D103&amp;"(含)"&amp;"-"&amp;E103</f>
        <v>150(含)-300</v>
      </c>
      <c r="E102" s="527" t="str">
        <f t="shared" si="23"/>
        <v>300(含)-450</v>
      </c>
      <c r="F102" s="527" t="str">
        <f t="shared" si="23"/>
        <v>450(含)-600</v>
      </c>
      <c r="G102" s="527" t="str">
        <f t="shared" si="23"/>
        <v>600(含)-</v>
      </c>
      <c r="H102" s="527" t="str">
        <f t="shared" si="23"/>
        <v>(含)-</v>
      </c>
      <c r="I102" s="527" t="str">
        <f t="shared" si="23"/>
        <v>(含)-</v>
      </c>
      <c r="J102" s="527" t="str">
        <f t="shared" si="23"/>
        <v>(含)-</v>
      </c>
      <c r="K102" s="527" t="str">
        <f t="shared" si="23"/>
        <v>(含)-</v>
      </c>
      <c r="L102" s="527"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150</v>
      </c>
      <c r="E103" s="544">
        <v>300</v>
      </c>
      <c r="F103" s="544">
        <v>450</v>
      </c>
      <c r="G103" s="544">
        <v>600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v>96</v>
      </c>
      <c r="D104" s="485">
        <v>98</v>
      </c>
      <c r="E104" s="485">
        <v>100</v>
      </c>
      <c r="F104" s="485">
        <v>98</v>
      </c>
      <c r="G104" s="485">
        <v>96</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53" t="s">
        <v>3463</v>
      </c>
      <c r="D105" s="3453" t="s">
        <v>3464</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53" t="s">
        <v>3465</v>
      </c>
      <c r="D107" s="3453" t="s">
        <v>3466</v>
      </c>
      <c r="E107" s="3453" t="s">
        <v>3467</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453" t="s">
        <v>3468</v>
      </c>
      <c r="D112" s="3453" t="s">
        <v>3469</v>
      </c>
      <c r="E112" s="3453" t="s">
        <v>3470</v>
      </c>
      <c r="F112" s="3453" t="s">
        <v>3471</v>
      </c>
      <c r="G112" s="3453" t="s">
        <v>3472</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53" t="s">
        <v>3476</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44">
        <v>0</v>
      </c>
      <c r="D118" s="544">
        <v>150</v>
      </c>
      <c r="E118" s="544">
        <v>300</v>
      </c>
      <c r="F118" s="544">
        <v>450</v>
      </c>
      <c r="G118" s="544">
        <v>600</v>
      </c>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v>96</v>
      </c>
      <c r="D119" s="485">
        <v>98</v>
      </c>
      <c r="E119" s="485">
        <v>100</v>
      </c>
      <c r="F119" s="485">
        <v>98</v>
      </c>
      <c r="G119" s="485">
        <v>96</v>
      </c>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53" t="s">
        <v>3473</v>
      </c>
      <c r="D122" s="3453" t="s">
        <v>3474</v>
      </c>
      <c r="E122" s="3453" t="s">
        <v>3475</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127.35</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62" t="s">
        <v>1775</v>
      </c>
      <c r="Q4" s="3763"/>
      <c r="R4" s="3757" t="s">
        <v>1771</v>
      </c>
      <c r="S4" s="3758"/>
      <c r="T4" s="3757" t="s">
        <v>1772</v>
      </c>
      <c r="U4" s="3758"/>
      <c r="V4" s="3766" t="s">
        <v>1773</v>
      </c>
      <c r="W4" s="3766"/>
      <c r="X4" s="1956"/>
      <c r="Y4" s="3757" t="s">
        <v>1775</v>
      </c>
      <c r="Z4" s="3758"/>
      <c r="AA4" s="3756" t="s">
        <v>1771</v>
      </c>
      <c r="AB4" s="3756" t="s">
        <v>1772</v>
      </c>
      <c r="AC4" s="3759" t="s">
        <v>1773</v>
      </c>
    </row>
    <row r="5" spans="1:29">
      <c r="A5" s="358"/>
      <c r="B5" s="359"/>
      <c r="C5" s="3719" t="s">
        <v>1673</v>
      </c>
      <c r="D5" s="3720"/>
      <c r="E5" s="3717" t="s">
        <v>1674</v>
      </c>
      <c r="F5" s="3718"/>
      <c r="G5" s="3719" t="s">
        <v>1675</v>
      </c>
      <c r="H5" s="3720"/>
      <c r="I5" s="3719" t="s">
        <v>1676</v>
      </c>
      <c r="J5" s="3720"/>
      <c r="K5" s="559"/>
      <c r="L5" s="2712"/>
      <c r="M5" s="2713"/>
      <c r="N5" s="2713"/>
      <c r="O5" s="2713"/>
      <c r="P5" s="3764"/>
      <c r="Q5" s="3733"/>
      <c r="R5" s="3715"/>
      <c r="S5" s="3716"/>
      <c r="T5" s="3715"/>
      <c r="U5" s="3716"/>
      <c r="V5" s="3738"/>
      <c r="W5" s="3738"/>
      <c r="X5" s="1353"/>
      <c r="Y5" s="3715"/>
      <c r="Z5" s="3716"/>
      <c r="AA5" s="3709"/>
      <c r="AB5" s="3709"/>
      <c r="AC5" s="3760"/>
    </row>
    <row r="6" spans="1:29" ht="15" thickBot="1">
      <c r="A6" s="360"/>
      <c r="B6" s="361"/>
      <c r="C6" s="3721" t="s">
        <v>1677</v>
      </c>
      <c r="D6" s="3722"/>
      <c r="E6" s="3723" t="s">
        <v>1677</v>
      </c>
      <c r="F6" s="3724"/>
      <c r="G6" s="3721" t="s">
        <v>1677</v>
      </c>
      <c r="H6" s="3722"/>
      <c r="I6" s="3721" t="s">
        <v>1677</v>
      </c>
      <c r="J6" s="3722"/>
      <c r="K6" s="559" t="s">
        <v>1678</v>
      </c>
      <c r="L6" s="2712"/>
      <c r="M6" s="2713"/>
      <c r="N6" s="2713"/>
      <c r="O6" s="2713"/>
      <c r="P6" s="3765"/>
      <c r="Q6" s="3735"/>
      <c r="R6" s="3715"/>
      <c r="S6" s="3716"/>
      <c r="T6" s="3736"/>
      <c r="U6" s="3737"/>
      <c r="V6" s="3738"/>
      <c r="W6" s="3738"/>
      <c r="X6" s="1353"/>
      <c r="Y6" s="3736"/>
      <c r="Z6" s="3737"/>
      <c r="AA6" s="3710"/>
      <c r="AB6" s="3710"/>
      <c r="AC6" s="3761"/>
    </row>
    <row r="7" spans="1:29" s="108" customFormat="1" ht="15" thickBot="1">
      <c r="A7" s="362" t="s">
        <v>1679</v>
      </c>
      <c r="B7" s="363"/>
      <c r="C7" s="364">
        <f>'数据-取费表'!B2</f>
        <v>45491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67" t="s">
        <v>1680</v>
      </c>
      <c r="Q7" s="3739"/>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67" t="s">
        <v>1683</v>
      </c>
      <c r="Q8" s="3712"/>
      <c r="R8" s="699" t="s">
        <v>14</v>
      </c>
      <c r="S8" s="700">
        <f t="shared" si="0"/>
        <v>100</v>
      </c>
      <c r="T8" s="699" t="s">
        <v>14</v>
      </c>
      <c r="U8" s="700">
        <f t="shared" si="1"/>
        <v>100</v>
      </c>
      <c r="V8" s="699" t="s">
        <v>14</v>
      </c>
      <c r="W8" s="700">
        <f t="shared" si="2"/>
        <v>100</v>
      </c>
      <c r="X8" s="701"/>
      <c r="Y8" s="3711" t="s">
        <v>1683</v>
      </c>
      <c r="Z8" s="3712"/>
      <c r="AA8" s="702">
        <f t="shared" ref="AA8:AA47" si="3">D8/F8</f>
        <v>1</v>
      </c>
      <c r="AB8" s="702">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25" t="s">
        <v>1686</v>
      </c>
      <c r="Q9" s="1341"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1957">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25"/>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5"/>
      <c r="Q11" s="1341"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25"/>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25"/>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1957">
        <f t="shared" si="5"/>
        <v>1</v>
      </c>
    </row>
    <row r="14" spans="1:29" ht="15.6" thickBot="1">
      <c r="A14" s="387"/>
      <c r="B14" s="1893">
        <v>111</v>
      </c>
      <c r="C14" s="388"/>
      <c r="D14" s="389">
        <v>100</v>
      </c>
      <c r="E14" s="574"/>
      <c r="F14" s="389">
        <f>SUMIF(75:75,E14,76:76)-SUMIF(75:75,C14,76:76)+100</f>
        <v>100</v>
      </c>
      <c r="G14" s="1958"/>
      <c r="H14" s="389">
        <f>SUMIF(75:75,G14,76:76)-SUMIF(75:75,C14,76:76)+100</f>
        <v>100</v>
      </c>
      <c r="I14" s="383"/>
      <c r="J14" s="389">
        <f>SUMIF(75:75,I14,76:76)-SUMIF(75:75,C14,76:76)+100</f>
        <v>100</v>
      </c>
      <c r="K14" s="562"/>
      <c r="L14" s="2719"/>
      <c r="M14" s="2713"/>
      <c r="N14" s="2713"/>
      <c r="O14" s="2713"/>
      <c r="P14" s="3725"/>
      <c r="Q14" s="1341">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1957">
        <f t="shared" si="5"/>
        <v>1</v>
      </c>
    </row>
    <row r="15" spans="1:29" ht="69">
      <c r="A15" s="391" t="s">
        <v>1690</v>
      </c>
      <c r="B15" s="575"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52" t="s">
        <v>1691</v>
      </c>
      <c r="Q15" s="1350" t="str">
        <f t="shared" si="6"/>
        <v>办公集聚程度</v>
      </c>
      <c r="R15" s="703" t="s">
        <v>14</v>
      </c>
      <c r="S15" s="704">
        <f t="shared" si="0"/>
        <v>100</v>
      </c>
      <c r="T15" s="703" t="s">
        <v>14</v>
      </c>
      <c r="U15" s="704">
        <f t="shared" si="1"/>
        <v>100</v>
      </c>
      <c r="V15" s="703" t="s">
        <v>14</v>
      </c>
      <c r="W15" s="704">
        <f t="shared" si="2"/>
        <v>100</v>
      </c>
      <c r="X15" s="1353"/>
      <c r="Y15" s="3745" t="s">
        <v>1691</v>
      </c>
      <c r="Z15" s="1354" t="str">
        <f t="shared" si="7"/>
        <v>办公集聚程度</v>
      </c>
      <c r="AA15" s="1351">
        <f t="shared" si="3"/>
        <v>1</v>
      </c>
      <c r="AB15" s="1351">
        <f t="shared" si="4"/>
        <v>1</v>
      </c>
      <c r="AC15" s="1960">
        <f t="shared" si="5"/>
        <v>1</v>
      </c>
    </row>
    <row r="16" spans="1:29" ht="15">
      <c r="A16" s="379"/>
      <c r="B16" s="576"/>
      <c r="C16" s="1902"/>
      <c r="D16" s="399"/>
      <c r="E16" s="398"/>
      <c r="F16" s="399"/>
      <c r="G16" s="1902"/>
      <c r="H16" s="401"/>
      <c r="I16" s="398"/>
      <c r="J16" s="399"/>
      <c r="K16" s="564"/>
      <c r="L16" s="2719"/>
      <c r="M16" s="2713"/>
      <c r="N16" s="2713"/>
      <c r="O16" s="2713"/>
      <c r="P16" s="3753"/>
      <c r="Q16" s="1350"/>
      <c r="R16" s="703"/>
      <c r="S16" s="704"/>
      <c r="T16" s="703"/>
      <c r="U16" s="704"/>
      <c r="V16" s="703"/>
      <c r="W16" s="704"/>
      <c r="X16" s="1353"/>
      <c r="Y16" s="3746"/>
      <c r="Z16" s="1354"/>
      <c r="AA16" s="1351">
        <v>1</v>
      </c>
      <c r="AB16" s="1351">
        <v>1</v>
      </c>
      <c r="AC16" s="1960">
        <v>1</v>
      </c>
    </row>
    <row r="17" spans="1:29" ht="82.8">
      <c r="A17" s="379"/>
      <c r="B17" s="577"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53"/>
      <c r="Q17" s="1350" t="str">
        <f>B17</f>
        <v>交通便捷度</v>
      </c>
      <c r="R17" s="703" t="s">
        <v>14</v>
      </c>
      <c r="S17" s="704">
        <f>F17</f>
        <v>100</v>
      </c>
      <c r="T17" s="703" t="s">
        <v>14</v>
      </c>
      <c r="U17" s="704">
        <f>H17</f>
        <v>100</v>
      </c>
      <c r="V17" s="703" t="s">
        <v>14</v>
      </c>
      <c r="W17" s="704">
        <f>J17</f>
        <v>100</v>
      </c>
      <c r="X17" s="1353"/>
      <c r="Y17" s="3746"/>
      <c r="Z17" s="1354" t="str">
        <f>Q17</f>
        <v>交通便捷度</v>
      </c>
      <c r="AA17" s="1351">
        <f t="shared" si="3"/>
        <v>1</v>
      </c>
      <c r="AB17" s="1351">
        <f t="shared" si="4"/>
        <v>1</v>
      </c>
      <c r="AC17" s="1960">
        <f t="shared" si="5"/>
        <v>1</v>
      </c>
    </row>
    <row r="18" spans="1:29" ht="15">
      <c r="A18" s="379"/>
      <c r="B18" s="578"/>
      <c r="C18" s="1962"/>
      <c r="D18" s="401"/>
      <c r="E18" s="1900"/>
      <c r="F18" s="401"/>
      <c r="G18" s="1901"/>
      <c r="H18" s="399"/>
      <c r="I18" s="1901"/>
      <c r="J18" s="399"/>
      <c r="K18" s="564"/>
      <c r="L18" s="2719"/>
      <c r="M18" s="2713"/>
      <c r="N18" s="2713"/>
      <c r="O18" s="2713"/>
      <c r="P18" s="3753"/>
      <c r="Q18" s="1350"/>
      <c r="R18" s="703"/>
      <c r="S18" s="704"/>
      <c r="T18" s="703"/>
      <c r="U18" s="704"/>
      <c r="V18" s="703"/>
      <c r="W18" s="704"/>
      <c r="X18" s="1353"/>
      <c r="Y18" s="3746"/>
      <c r="Z18" s="1354"/>
      <c r="AA18" s="1351">
        <v>1</v>
      </c>
      <c r="AB18" s="1351">
        <v>1</v>
      </c>
      <c r="AC18" s="1960">
        <v>1</v>
      </c>
    </row>
    <row r="19" spans="1:29" ht="41.4">
      <c r="A19" s="379"/>
      <c r="B19" s="577"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53"/>
      <c r="Q19" s="1350" t="str">
        <f>B19</f>
        <v>公共配套设施</v>
      </c>
      <c r="R19" s="703" t="s">
        <v>14</v>
      </c>
      <c r="S19" s="704">
        <f>F19</f>
        <v>100</v>
      </c>
      <c r="T19" s="703" t="s">
        <v>14</v>
      </c>
      <c r="U19" s="704">
        <f>H19</f>
        <v>100</v>
      </c>
      <c r="V19" s="703" t="s">
        <v>14</v>
      </c>
      <c r="W19" s="704">
        <f>J19</f>
        <v>100</v>
      </c>
      <c r="X19" s="1353"/>
      <c r="Y19" s="3746"/>
      <c r="Z19" s="1354" t="str">
        <f>Q19</f>
        <v>公共配套设施</v>
      </c>
      <c r="AA19" s="1351">
        <f t="shared" si="3"/>
        <v>1</v>
      </c>
      <c r="AB19" s="1351">
        <f t="shared" si="4"/>
        <v>1</v>
      </c>
      <c r="AC19" s="1960">
        <f t="shared" si="5"/>
        <v>1</v>
      </c>
    </row>
    <row r="20" spans="1:29" ht="15">
      <c r="A20" s="379"/>
      <c r="B20" s="578"/>
      <c r="C20" s="1902"/>
      <c r="D20" s="399"/>
      <c r="E20" s="1895"/>
      <c r="F20" s="399"/>
      <c r="G20" s="1896"/>
      <c r="H20" s="399"/>
      <c r="I20" s="1896"/>
      <c r="J20" s="399"/>
      <c r="K20" s="564"/>
      <c r="L20" s="2719"/>
      <c r="M20" s="2713"/>
      <c r="N20" s="2713"/>
      <c r="O20" s="2713"/>
      <c r="P20" s="3753"/>
      <c r="Q20" s="1350"/>
      <c r="R20" s="703"/>
      <c r="S20" s="704"/>
      <c r="T20" s="703"/>
      <c r="U20" s="704"/>
      <c r="V20" s="703"/>
      <c r="W20" s="704"/>
      <c r="X20" s="1353"/>
      <c r="Y20" s="3746"/>
      <c r="Z20" s="1354"/>
      <c r="AA20" s="1351">
        <v>1</v>
      </c>
      <c r="AB20" s="1351">
        <v>1</v>
      </c>
      <c r="AC20" s="1960">
        <v>1</v>
      </c>
    </row>
    <row r="21" spans="1:29" ht="27.6">
      <c r="A21" s="379"/>
      <c r="B21" s="579"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53"/>
      <c r="Q21" s="1350" t="str">
        <f>B21</f>
        <v>基础设施水平</v>
      </c>
      <c r="R21" s="703" t="s">
        <v>14</v>
      </c>
      <c r="S21" s="704">
        <f>F21</f>
        <v>100</v>
      </c>
      <c r="T21" s="703" t="s">
        <v>14</v>
      </c>
      <c r="U21" s="704">
        <f>H21</f>
        <v>100</v>
      </c>
      <c r="V21" s="703" t="s">
        <v>14</v>
      </c>
      <c r="W21" s="704">
        <f>J21</f>
        <v>100</v>
      </c>
      <c r="X21" s="1353"/>
      <c r="Y21" s="3746"/>
      <c r="Z21" s="1354" t="str">
        <f>Q21</f>
        <v>基础设施水平</v>
      </c>
      <c r="AA21" s="1351">
        <f t="shared" ref="AA21" si="8">D21/F21</f>
        <v>1</v>
      </c>
      <c r="AB21" s="1351">
        <f t="shared" ref="AB21" si="9">D21/H21</f>
        <v>1</v>
      </c>
      <c r="AC21" s="1960">
        <f t="shared" ref="AC21" si="10">D21/J21</f>
        <v>1</v>
      </c>
    </row>
    <row r="22" spans="1:29" ht="15">
      <c r="A22" s="379"/>
      <c r="B22" s="579"/>
      <c r="C22" s="1962"/>
      <c r="D22" s="399"/>
      <c r="E22" s="398"/>
      <c r="F22" s="399"/>
      <c r="G22" s="1902"/>
      <c r="H22" s="399"/>
      <c r="I22" s="1902"/>
      <c r="J22" s="399"/>
      <c r="K22" s="1128"/>
      <c r="L22" s="2719"/>
      <c r="M22" s="2713"/>
      <c r="N22" s="2713"/>
      <c r="O22" s="2713"/>
      <c r="P22" s="3753"/>
      <c r="Q22" s="1350"/>
      <c r="R22" s="703"/>
      <c r="S22" s="704"/>
      <c r="T22" s="703"/>
      <c r="U22" s="704"/>
      <c r="V22" s="703"/>
      <c r="W22" s="704"/>
      <c r="X22" s="1353"/>
      <c r="Y22" s="3746"/>
      <c r="Z22" s="1354"/>
      <c r="AA22" s="1351">
        <v>1</v>
      </c>
      <c r="AB22" s="1351">
        <v>1</v>
      </c>
      <c r="AC22" s="1960">
        <v>1</v>
      </c>
    </row>
    <row r="23" spans="1:29" ht="55.2">
      <c r="A23" s="379"/>
      <c r="B23" s="577"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53"/>
      <c r="Q23" s="1350" t="str">
        <f>B23</f>
        <v>环境质量</v>
      </c>
      <c r="R23" s="703" t="s">
        <v>14</v>
      </c>
      <c r="S23" s="704">
        <f>F23</f>
        <v>100</v>
      </c>
      <c r="T23" s="703" t="s">
        <v>14</v>
      </c>
      <c r="U23" s="704">
        <f>H23</f>
        <v>100</v>
      </c>
      <c r="V23" s="703" t="s">
        <v>14</v>
      </c>
      <c r="W23" s="704">
        <f>J23</f>
        <v>100</v>
      </c>
      <c r="X23" s="1353"/>
      <c r="Y23" s="3746"/>
      <c r="Z23" s="1354" t="str">
        <f>Q23</f>
        <v>环境质量</v>
      </c>
      <c r="AA23" s="1351">
        <f t="shared" si="3"/>
        <v>1</v>
      </c>
      <c r="AB23" s="1351">
        <f t="shared" si="4"/>
        <v>1</v>
      </c>
      <c r="AC23" s="1960">
        <f t="shared" si="5"/>
        <v>1</v>
      </c>
    </row>
    <row r="24" spans="1:29" ht="15">
      <c r="A24" s="379"/>
      <c r="B24" s="579"/>
      <c r="C24" s="1902"/>
      <c r="D24" s="399"/>
      <c r="E24" s="1895"/>
      <c r="F24" s="399"/>
      <c r="G24" s="1896"/>
      <c r="H24" s="399"/>
      <c r="I24" s="1896"/>
      <c r="J24" s="399"/>
      <c r="K24" s="564"/>
      <c r="L24" s="2719"/>
      <c r="M24" s="2713"/>
      <c r="N24" s="2713"/>
      <c r="O24" s="2713"/>
      <c r="P24" s="3753"/>
      <c r="Q24" s="1350"/>
      <c r="R24" s="703"/>
      <c r="S24" s="704"/>
      <c r="T24" s="703"/>
      <c r="U24" s="704"/>
      <c r="V24" s="703"/>
      <c r="W24" s="704"/>
      <c r="X24" s="1353"/>
      <c r="Y24" s="3746"/>
      <c r="Z24" s="1354"/>
      <c r="AA24" s="1351">
        <v>1</v>
      </c>
      <c r="AB24" s="1351">
        <v>1</v>
      </c>
      <c r="AC24" s="1960">
        <v>1</v>
      </c>
    </row>
    <row r="25" spans="1:29" ht="28.8">
      <c r="A25" s="358"/>
      <c r="B25" s="577"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53"/>
      <c r="Q25" s="1350" t="str">
        <f>B25</f>
        <v>毗邻道路的类型与等级</v>
      </c>
      <c r="R25" s="703" t="s">
        <v>14</v>
      </c>
      <c r="S25" s="704">
        <f>F25</f>
        <v>100</v>
      </c>
      <c r="T25" s="703" t="s">
        <v>14</v>
      </c>
      <c r="U25" s="704">
        <f>H25</f>
        <v>100</v>
      </c>
      <c r="V25" s="703" t="s">
        <v>14</v>
      </c>
      <c r="W25" s="704">
        <f>J25</f>
        <v>100</v>
      </c>
      <c r="X25" s="1353"/>
      <c r="Y25" s="3746"/>
      <c r="Z25" s="1354" t="str">
        <f>Q25</f>
        <v>毗邻道路的类型与等级</v>
      </c>
      <c r="AA25" s="1351">
        <f t="shared" si="3"/>
        <v>1</v>
      </c>
      <c r="AB25" s="1351">
        <f t="shared" si="4"/>
        <v>1</v>
      </c>
      <c r="AC25" s="1960">
        <f t="shared" si="5"/>
        <v>1</v>
      </c>
    </row>
    <row r="26" spans="1:29" ht="15">
      <c r="A26" s="358"/>
      <c r="B26" s="578"/>
      <c r="C26" s="580"/>
      <c r="D26" s="386"/>
      <c r="E26" s="565"/>
      <c r="F26" s="386"/>
      <c r="G26" s="580"/>
      <c r="H26" s="386"/>
      <c r="I26" s="565"/>
      <c r="J26" s="386"/>
      <c r="K26" s="564"/>
      <c r="L26" s="2719"/>
      <c r="M26" s="2713"/>
      <c r="N26" s="2713"/>
      <c r="O26" s="2713"/>
      <c r="P26" s="3753"/>
      <c r="Q26" s="1350"/>
      <c r="R26" s="703"/>
      <c r="S26" s="704"/>
      <c r="T26" s="703"/>
      <c r="U26" s="704"/>
      <c r="V26" s="703"/>
      <c r="W26" s="704"/>
      <c r="X26" s="1353"/>
      <c r="Y26" s="3746"/>
      <c r="Z26" s="1354"/>
      <c r="AA26" s="1351">
        <v>1</v>
      </c>
      <c r="AB26" s="1351">
        <v>1</v>
      </c>
      <c r="AC26" s="1960">
        <v>1</v>
      </c>
    </row>
    <row r="27" spans="1:29" ht="15">
      <c r="A27" s="379"/>
      <c r="B27" s="578" t="s">
        <v>1783</v>
      </c>
      <c r="C27" s="580"/>
      <c r="D27" s="386">
        <v>100</v>
      </c>
      <c r="E27" s="565"/>
      <c r="F27" s="386">
        <f>SUMIF(89:89,E27,90:90)-SUMIF(89:89,C27,90:90)+100</f>
        <v>100</v>
      </c>
      <c r="G27" s="580"/>
      <c r="H27" s="386">
        <f>SUMIF(89:89,G27,90:90)-SUMIF(89:89,C27,90:90)+100</f>
        <v>100</v>
      </c>
      <c r="I27" s="565"/>
      <c r="J27" s="386">
        <f>SUMIF(89:89,I27,90:90)-SUMIF(89:89,C27,90:90)+100</f>
        <v>100</v>
      </c>
      <c r="K27" s="561"/>
      <c r="L27" s="2719"/>
      <c r="M27" s="2713"/>
      <c r="N27" s="2713"/>
      <c r="O27" s="2713"/>
      <c r="P27" s="3753"/>
      <c r="Q27" s="1350" t="str">
        <f t="shared" ref="Q27:Q47" si="11">B27</f>
        <v>楼层</v>
      </c>
      <c r="R27" s="703" t="s">
        <v>14</v>
      </c>
      <c r="S27" s="704">
        <f>F27</f>
        <v>100</v>
      </c>
      <c r="T27" s="703" t="s">
        <v>14</v>
      </c>
      <c r="U27" s="704">
        <f>H27</f>
        <v>100</v>
      </c>
      <c r="V27" s="703" t="s">
        <v>14</v>
      </c>
      <c r="W27" s="704">
        <f>J27</f>
        <v>100</v>
      </c>
      <c r="X27" s="1353"/>
      <c r="Y27" s="3746"/>
      <c r="Z27" s="1354" t="str">
        <f>Q27</f>
        <v>楼层</v>
      </c>
      <c r="AA27" s="1351">
        <f t="shared" si="3"/>
        <v>1</v>
      </c>
      <c r="AB27" s="1351">
        <f t="shared" si="4"/>
        <v>1</v>
      </c>
      <c r="AC27" s="1960">
        <f t="shared" si="5"/>
        <v>1</v>
      </c>
    </row>
    <row r="28" spans="1:29" s="108" customFormat="1" ht="15">
      <c r="A28" s="382"/>
      <c r="B28" s="577"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53"/>
      <c r="Q28" s="1341" t="str">
        <f t="shared" si="11"/>
        <v>朝向</v>
      </c>
      <c r="R28" s="699" t="s">
        <v>14</v>
      </c>
      <c r="S28" s="700">
        <f>F28</f>
        <v>100</v>
      </c>
      <c r="T28" s="699" t="s">
        <v>14</v>
      </c>
      <c r="U28" s="700">
        <f>H28</f>
        <v>100</v>
      </c>
      <c r="V28" s="699" t="s">
        <v>14</v>
      </c>
      <c r="W28" s="700">
        <f>J28</f>
        <v>100</v>
      </c>
      <c r="X28" s="701"/>
      <c r="Y28" s="374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53"/>
      <c r="Q29" s="1350">
        <f t="shared" si="11"/>
        <v>111</v>
      </c>
      <c r="R29" s="703" t="s">
        <v>14</v>
      </c>
      <c r="S29" s="704">
        <f t="shared" ref="S29:S47" si="12">F29</f>
        <v>100</v>
      </c>
      <c r="T29" s="703" t="s">
        <v>14</v>
      </c>
      <c r="U29" s="704">
        <f t="shared" ref="U29:U47" si="13">H29</f>
        <v>100</v>
      </c>
      <c r="V29" s="703" t="s">
        <v>14</v>
      </c>
      <c r="W29" s="704">
        <f t="shared" ref="W29:W47" si="14">J29</f>
        <v>100</v>
      </c>
      <c r="X29" s="1353"/>
      <c r="Y29" s="374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53"/>
      <c r="Q30" s="1350">
        <f t="shared" si="11"/>
        <v>111</v>
      </c>
      <c r="R30" s="703" t="s">
        <v>14</v>
      </c>
      <c r="S30" s="704">
        <f t="shared" si="12"/>
        <v>100</v>
      </c>
      <c r="T30" s="703" t="s">
        <v>14</v>
      </c>
      <c r="U30" s="704">
        <f t="shared" si="13"/>
        <v>100</v>
      </c>
      <c r="V30" s="703" t="s">
        <v>14</v>
      </c>
      <c r="W30" s="704">
        <f t="shared" si="14"/>
        <v>100</v>
      </c>
      <c r="X30" s="1353"/>
      <c r="Y30" s="374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53"/>
      <c r="Q31" s="1350">
        <f t="shared" si="11"/>
        <v>111</v>
      </c>
      <c r="R31" s="703" t="s">
        <v>14</v>
      </c>
      <c r="S31" s="704">
        <f t="shared" si="12"/>
        <v>100</v>
      </c>
      <c r="T31" s="703" t="s">
        <v>14</v>
      </c>
      <c r="U31" s="704">
        <f t="shared" si="13"/>
        <v>100</v>
      </c>
      <c r="V31" s="703" t="s">
        <v>14</v>
      </c>
      <c r="W31" s="704">
        <f t="shared" si="14"/>
        <v>100</v>
      </c>
      <c r="X31" s="1353"/>
      <c r="Y31" s="3746"/>
      <c r="Z31" s="1354">
        <f t="shared" si="15"/>
        <v>111</v>
      </c>
      <c r="AA31" s="1351">
        <f t="shared" si="3"/>
        <v>1</v>
      </c>
      <c r="AB31" s="1351">
        <f t="shared" si="4"/>
        <v>1</v>
      </c>
      <c r="AC31" s="1960">
        <f t="shared" si="5"/>
        <v>1</v>
      </c>
    </row>
    <row r="32" spans="1:29" ht="15.6" thickBot="1">
      <c r="A32" s="387"/>
      <c r="B32" s="581">
        <v>111</v>
      </c>
      <c r="C32" s="1907"/>
      <c r="D32" s="389">
        <v>100</v>
      </c>
      <c r="E32" s="574"/>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53"/>
      <c r="Q32" s="1350">
        <f t="shared" si="11"/>
        <v>111</v>
      </c>
      <c r="R32" s="703" t="s">
        <v>14</v>
      </c>
      <c r="S32" s="704">
        <f t="shared" si="12"/>
        <v>100</v>
      </c>
      <c r="T32" s="703" t="s">
        <v>14</v>
      </c>
      <c r="U32" s="704">
        <f t="shared" si="13"/>
        <v>100</v>
      </c>
      <c r="V32" s="703" t="s">
        <v>14</v>
      </c>
      <c r="W32" s="704">
        <f t="shared" si="14"/>
        <v>100</v>
      </c>
      <c r="X32" s="1353"/>
      <c r="Y32" s="3746"/>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747" t="s">
        <v>1696</v>
      </c>
      <c r="Q33" s="1350" t="str">
        <f t="shared" si="11"/>
        <v>建筑类型</v>
      </c>
      <c r="R33" s="703" t="s">
        <v>14</v>
      </c>
      <c r="S33" s="704">
        <f t="shared" si="12"/>
        <v>100</v>
      </c>
      <c r="T33" s="703" t="s">
        <v>14</v>
      </c>
      <c r="U33" s="704">
        <f t="shared" si="13"/>
        <v>100</v>
      </c>
      <c r="V33" s="703" t="s">
        <v>14</v>
      </c>
      <c r="W33" s="704">
        <f t="shared" si="14"/>
        <v>100</v>
      </c>
      <c r="X33" s="1353"/>
      <c r="Y33" s="3750"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48"/>
      <c r="Q34" s="705" t="str">
        <f t="shared" si="11"/>
        <v>项目建筑规模</v>
      </c>
      <c r="R34" s="706" t="s">
        <v>14</v>
      </c>
      <c r="S34" s="707" t="e">
        <f t="shared" si="12"/>
        <v>#N/A</v>
      </c>
      <c r="T34" s="706" t="s">
        <v>14</v>
      </c>
      <c r="U34" s="707" t="e">
        <f t="shared" si="13"/>
        <v>#N/A</v>
      </c>
      <c r="V34" s="706" t="s">
        <v>14</v>
      </c>
      <c r="W34" s="707" t="e">
        <f t="shared" si="14"/>
        <v>#N/A</v>
      </c>
      <c r="X34" s="708"/>
      <c r="Y34" s="3750"/>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8"/>
      <c r="Q35" s="1350" t="str">
        <f t="shared" si="11"/>
        <v>建筑结构</v>
      </c>
      <c r="R35" s="703" t="s">
        <v>14</v>
      </c>
      <c r="S35" s="704">
        <f t="shared" si="12"/>
        <v>100</v>
      </c>
      <c r="T35" s="703" t="s">
        <v>14</v>
      </c>
      <c r="U35" s="704">
        <f t="shared" si="13"/>
        <v>100</v>
      </c>
      <c r="V35" s="703" t="s">
        <v>14</v>
      </c>
      <c r="W35" s="704">
        <f t="shared" si="14"/>
        <v>100</v>
      </c>
      <c r="X35" s="1353"/>
      <c r="Y35" s="3750"/>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8"/>
      <c r="Q36" s="1350" t="str">
        <f t="shared" si="11"/>
        <v>公共部分装修</v>
      </c>
      <c r="R36" s="703" t="s">
        <v>14</v>
      </c>
      <c r="S36" s="704">
        <f t="shared" si="12"/>
        <v>100</v>
      </c>
      <c r="T36" s="703" t="s">
        <v>14</v>
      </c>
      <c r="U36" s="704">
        <f t="shared" si="13"/>
        <v>100</v>
      </c>
      <c r="V36" s="703" t="s">
        <v>14</v>
      </c>
      <c r="W36" s="704">
        <f t="shared" si="14"/>
        <v>100</v>
      </c>
      <c r="X36" s="1353"/>
      <c r="Y36" s="3750"/>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48"/>
      <c r="Q37" s="1350" t="str">
        <f t="shared" si="11"/>
        <v>成新度</v>
      </c>
      <c r="R37" s="703" t="s">
        <v>14</v>
      </c>
      <c r="S37" s="704" t="e">
        <f t="shared" si="12"/>
        <v>#N/A</v>
      </c>
      <c r="T37" s="703" t="s">
        <v>14</v>
      </c>
      <c r="U37" s="704" t="e">
        <f t="shared" si="13"/>
        <v>#N/A</v>
      </c>
      <c r="V37" s="703" t="s">
        <v>14</v>
      </c>
      <c r="W37" s="704" t="e">
        <f t="shared" si="14"/>
        <v>#N/A</v>
      </c>
      <c r="X37" s="1353"/>
      <c r="Y37" s="3750"/>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8"/>
      <c r="Q38" s="1341" t="str">
        <f t="shared" si="11"/>
        <v>写字楼等级</v>
      </c>
      <c r="R38" s="699" t="s">
        <v>14</v>
      </c>
      <c r="S38" s="700">
        <f t="shared" si="12"/>
        <v>100</v>
      </c>
      <c r="T38" s="699" t="s">
        <v>14</v>
      </c>
      <c r="U38" s="700">
        <f t="shared" si="13"/>
        <v>100</v>
      </c>
      <c r="V38" s="699" t="s">
        <v>14</v>
      </c>
      <c r="W38" s="700">
        <f t="shared" si="14"/>
        <v>100</v>
      </c>
      <c r="X38" s="701"/>
      <c r="Y38" s="3750"/>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8" t="s">
        <v>1696</v>
      </c>
      <c r="Q39" s="1350" t="str">
        <f t="shared" si="11"/>
        <v>物业管理</v>
      </c>
      <c r="R39" s="703" t="s">
        <v>14</v>
      </c>
      <c r="S39" s="704">
        <f t="shared" si="12"/>
        <v>100</v>
      </c>
      <c r="T39" s="703" t="s">
        <v>14</v>
      </c>
      <c r="U39" s="704">
        <f t="shared" si="13"/>
        <v>100</v>
      </c>
      <c r="V39" s="703" t="s">
        <v>14</v>
      </c>
      <c r="W39" s="704">
        <f t="shared" si="14"/>
        <v>100</v>
      </c>
      <c r="X39" s="1353"/>
      <c r="Y39" s="3750"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48"/>
      <c r="Q40" s="1350" t="str">
        <f t="shared" si="11"/>
        <v>市政基础设施</v>
      </c>
      <c r="R40" s="703" t="s">
        <v>14</v>
      </c>
      <c r="S40" s="704">
        <f t="shared" si="12"/>
        <v>100</v>
      </c>
      <c r="T40" s="703" t="s">
        <v>14</v>
      </c>
      <c r="U40" s="704">
        <f t="shared" si="13"/>
        <v>100</v>
      </c>
      <c r="V40" s="703" t="s">
        <v>14</v>
      </c>
      <c r="W40" s="704">
        <f t="shared" si="14"/>
        <v>100</v>
      </c>
      <c r="X40" s="1353"/>
      <c r="Y40" s="375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48"/>
      <c r="Q41" s="1350" t="str">
        <f t="shared" si="11"/>
        <v>层高</v>
      </c>
      <c r="R41" s="703" t="s">
        <v>14</v>
      </c>
      <c r="S41" s="704">
        <f t="shared" si="12"/>
        <v>100</v>
      </c>
      <c r="T41" s="703" t="s">
        <v>14</v>
      </c>
      <c r="U41" s="704">
        <f t="shared" si="13"/>
        <v>100</v>
      </c>
      <c r="V41" s="703" t="s">
        <v>14</v>
      </c>
      <c r="W41" s="704">
        <f t="shared" si="14"/>
        <v>100</v>
      </c>
      <c r="X41" s="1353"/>
      <c r="Y41" s="375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8"/>
      <c r="Q42" s="705" t="str">
        <f t="shared" si="11"/>
        <v>单套建筑面积</v>
      </c>
      <c r="R42" s="706" t="s">
        <v>14</v>
      </c>
      <c r="S42" s="707">
        <f t="shared" si="12"/>
        <v>100</v>
      </c>
      <c r="T42" s="706" t="s">
        <v>14</v>
      </c>
      <c r="U42" s="707">
        <f t="shared" si="13"/>
        <v>100</v>
      </c>
      <c r="V42" s="706" t="s">
        <v>14</v>
      </c>
      <c r="W42" s="707">
        <f t="shared" si="14"/>
        <v>100</v>
      </c>
      <c r="X42" s="708"/>
      <c r="Y42" s="3750"/>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48"/>
      <c r="Q43" s="1350" t="str">
        <f t="shared" si="11"/>
        <v>内部装修</v>
      </c>
      <c r="R43" s="703" t="s">
        <v>14</v>
      </c>
      <c r="S43" s="704">
        <f t="shared" si="12"/>
        <v>100</v>
      </c>
      <c r="T43" s="703" t="s">
        <v>14</v>
      </c>
      <c r="U43" s="704">
        <f t="shared" si="13"/>
        <v>100</v>
      </c>
      <c r="V43" s="703" t="s">
        <v>14</v>
      </c>
      <c r="W43" s="704">
        <f t="shared" si="14"/>
        <v>100</v>
      </c>
      <c r="X43" s="1353"/>
      <c r="Y43" s="3750"/>
      <c r="Z43" s="1354" t="str">
        <f t="shared" si="15"/>
        <v>内部装修</v>
      </c>
      <c r="AA43" s="1351">
        <f t="shared" si="3"/>
        <v>1</v>
      </c>
      <c r="AB43" s="1351">
        <f t="shared" si="4"/>
        <v>1</v>
      </c>
      <c r="AC43" s="1960">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48"/>
      <c r="Q44" s="1350" t="str">
        <f t="shared" si="11"/>
        <v>内部装修维护情况</v>
      </c>
      <c r="R44" s="703" t="s">
        <v>14</v>
      </c>
      <c r="S44" s="704">
        <f t="shared" si="12"/>
        <v>100</v>
      </c>
      <c r="T44" s="703" t="s">
        <v>14</v>
      </c>
      <c r="U44" s="704">
        <f t="shared" si="13"/>
        <v>100</v>
      </c>
      <c r="V44" s="703" t="s">
        <v>14</v>
      </c>
      <c r="W44" s="704">
        <f t="shared" si="14"/>
        <v>100</v>
      </c>
      <c r="X44" s="1353"/>
      <c r="Y44" s="375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48"/>
      <c r="Q45" s="1341">
        <f t="shared" si="11"/>
        <v>111</v>
      </c>
      <c r="R45" s="699" t="s">
        <v>14</v>
      </c>
      <c r="S45" s="700">
        <f t="shared" si="12"/>
        <v>100</v>
      </c>
      <c r="T45" s="699" t="s">
        <v>14</v>
      </c>
      <c r="U45" s="700">
        <f t="shared" si="13"/>
        <v>100</v>
      </c>
      <c r="V45" s="699" t="s">
        <v>14</v>
      </c>
      <c r="W45" s="700">
        <f t="shared" si="14"/>
        <v>100</v>
      </c>
      <c r="X45" s="701"/>
      <c r="Y45" s="375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8"/>
      <c r="Q46" s="1350">
        <f t="shared" si="11"/>
        <v>111</v>
      </c>
      <c r="R46" s="703" t="s">
        <v>14</v>
      </c>
      <c r="S46" s="704">
        <f t="shared" si="12"/>
        <v>100</v>
      </c>
      <c r="T46" s="703" t="s">
        <v>14</v>
      </c>
      <c r="U46" s="704">
        <f t="shared" si="13"/>
        <v>100</v>
      </c>
      <c r="V46" s="703" t="s">
        <v>14</v>
      </c>
      <c r="W46" s="704">
        <f t="shared" si="14"/>
        <v>100</v>
      </c>
      <c r="X46" s="1353"/>
      <c r="Y46" s="3750"/>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9"/>
      <c r="Q47" s="1350">
        <f t="shared" si="11"/>
        <v>111</v>
      </c>
      <c r="R47" s="703" t="s">
        <v>14</v>
      </c>
      <c r="S47" s="704">
        <f t="shared" si="12"/>
        <v>100</v>
      </c>
      <c r="T47" s="703" t="s">
        <v>14</v>
      </c>
      <c r="U47" s="704">
        <f t="shared" si="13"/>
        <v>100</v>
      </c>
      <c r="V47" s="703" t="s">
        <v>14</v>
      </c>
      <c r="W47" s="704">
        <f t="shared" si="14"/>
        <v>100</v>
      </c>
      <c r="X47" s="1353"/>
      <c r="Y47" s="3751"/>
      <c r="Z47" s="1354">
        <f t="shared" si="15"/>
        <v>111</v>
      </c>
      <c r="AA47" s="1351">
        <f t="shared" si="3"/>
        <v>1</v>
      </c>
      <c r="AB47" s="1351">
        <f t="shared" si="4"/>
        <v>1</v>
      </c>
      <c r="AC47" s="1960">
        <f t="shared" si="5"/>
        <v>1</v>
      </c>
    </row>
    <row r="48" spans="1:29" ht="14.4">
      <c r="A48" s="430" t="s">
        <v>1708</v>
      </c>
      <c r="B48" s="431"/>
      <c r="C48" s="1152" t="s">
        <v>0</v>
      </c>
      <c r="D48" s="1153"/>
      <c r="E48" s="1154"/>
      <c r="F48" s="1155"/>
      <c r="G48" s="1156"/>
      <c r="H48" s="1157"/>
      <c r="I48" s="1154"/>
      <c r="J48" s="436"/>
      <c r="K48" s="712"/>
      <c r="L48" s="2721"/>
      <c r="M48" s="2713"/>
      <c r="N48" s="2713"/>
      <c r="O48" s="2713"/>
      <c r="P48" s="3725" t="str">
        <f>A48</f>
        <v>成交单价（元/平方米）</v>
      </c>
      <c r="Q48" s="3743"/>
      <c r="R48" s="3744">
        <f>E48</f>
        <v>0</v>
      </c>
      <c r="S48" s="3744"/>
      <c r="T48" s="3744">
        <f>G48</f>
        <v>0</v>
      </c>
      <c r="U48" s="3744"/>
      <c r="V48" s="3744">
        <f>I48</f>
        <v>0</v>
      </c>
      <c r="W48" s="3744"/>
      <c r="X48" s="397"/>
      <c r="Y48" s="710"/>
      <c r="Z48" s="397"/>
      <c r="AA48" s="397"/>
      <c r="AB48" s="397"/>
      <c r="AC48" s="576"/>
    </row>
    <row r="49" spans="1:29" ht="15" thickBot="1">
      <c r="A49" s="437" t="s">
        <v>1793</v>
      </c>
      <c r="B49" s="438"/>
      <c r="C49" s="1158" t="e">
        <f>R50</f>
        <v>#DIV/0!</v>
      </c>
      <c r="D49" s="2314" t="s">
        <v>2137</v>
      </c>
      <c r="E49" s="1159" t="e">
        <f>R49</f>
        <v>#DIV/0!</v>
      </c>
      <c r="F49" s="2315"/>
      <c r="G49" s="1158" t="e">
        <f>T49</f>
        <v>#DIV/0!</v>
      </c>
      <c r="H49" s="2315"/>
      <c r="I49" s="1159" t="e">
        <f>V49</f>
        <v>#DIV/0!</v>
      </c>
      <c r="J49" s="2315"/>
      <c r="K49" s="2317">
        <f>F49+H49+J49</f>
        <v>0</v>
      </c>
      <c r="L49" s="2721"/>
      <c r="M49" s="2713"/>
      <c r="N49" s="2713"/>
      <c r="O49" s="2713"/>
      <c r="P49" s="3725" t="str">
        <f>A49</f>
        <v>比较价值（元/平方米）</v>
      </c>
      <c r="Q49" s="3743"/>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6"/>
    </row>
    <row r="50" spans="1:29" ht="15" thickBot="1">
      <c r="A50" s="441" t="s">
        <v>1794</v>
      </c>
      <c r="B50" s="442"/>
      <c r="C50" s="1161" t="e">
        <f>R50</f>
        <v>#DIV/0!</v>
      </c>
      <c r="D50" s="1161"/>
      <c r="E50" s="1161"/>
      <c r="F50" s="1161"/>
      <c r="G50" s="1161"/>
      <c r="H50" s="1161"/>
      <c r="I50" s="1161"/>
      <c r="J50" s="443"/>
      <c r="K50" s="713"/>
      <c r="L50" s="2721"/>
      <c r="M50" s="2713"/>
      <c r="N50" s="2713"/>
      <c r="O50" s="2713"/>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6"/>
      <c r="Q59" s="2738"/>
      <c r="R59" s="2738"/>
      <c r="S59" s="2738"/>
      <c r="T59" s="2738"/>
      <c r="U59" s="2738"/>
      <c r="V59" s="2738"/>
      <c r="W59" s="2738"/>
      <c r="X59" s="2738"/>
      <c r="Y59" s="2738"/>
      <c r="Z59" s="2738"/>
      <c r="AA59" s="2738"/>
      <c r="AB59" s="2738"/>
      <c r="AC59" s="2738"/>
    </row>
    <row r="60" spans="1:29" s="108" customFormat="1">
      <c r="A60" s="458"/>
      <c r="B60" s="459"/>
      <c r="C60" s="1181">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6" t="s">
        <v>1799</v>
      </c>
      <c r="D83" s="606" t="s">
        <v>1800</v>
      </c>
      <c r="E83" s="606" t="s">
        <v>1801</v>
      </c>
      <c r="F83" s="606" t="s">
        <v>1802</v>
      </c>
      <c r="G83" s="606"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6"/>
      <c r="I84" s="606"/>
      <c r="J84" s="606"/>
      <c r="K84" s="606"/>
      <c r="L84" s="606"/>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2" t="s">
        <v>1825</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127.35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5" t="s">
        <v>1769</v>
      </c>
      <c r="B4" s="356"/>
      <c r="C4" s="3726" t="s">
        <v>1770</v>
      </c>
      <c r="D4" s="3727"/>
      <c r="E4" s="3728" t="s">
        <v>1771</v>
      </c>
      <c r="F4" s="3729"/>
      <c r="G4" s="3726" t="s">
        <v>1772</v>
      </c>
      <c r="H4" s="3727"/>
      <c r="I4" s="3726" t="s">
        <v>1773</v>
      </c>
      <c r="J4" s="3727"/>
      <c r="K4" s="559" t="s">
        <v>1774</v>
      </c>
      <c r="L4" s="911"/>
      <c r="M4" s="912"/>
      <c r="N4" s="912"/>
      <c r="O4" s="912"/>
      <c r="P4" s="3730" t="s">
        <v>1775</v>
      </c>
      <c r="Q4" s="3731"/>
      <c r="R4" s="3713" t="s">
        <v>1771</v>
      </c>
      <c r="S4" s="3714"/>
      <c r="T4" s="3713" t="s">
        <v>1772</v>
      </c>
      <c r="U4" s="3714"/>
      <c r="V4" s="3738" t="s">
        <v>1773</v>
      </c>
      <c r="W4" s="3738"/>
      <c r="X4" s="1353"/>
      <c r="Y4" s="3713" t="s">
        <v>1775</v>
      </c>
      <c r="Z4" s="3714"/>
      <c r="AA4" s="3708" t="s">
        <v>1771</v>
      </c>
      <c r="AB4" s="3709" t="s">
        <v>1772</v>
      </c>
      <c r="AC4" s="3708" t="s">
        <v>1773</v>
      </c>
    </row>
    <row r="5" spans="1:29">
      <c r="A5" s="358"/>
      <c r="B5" s="359"/>
      <c r="C5" s="3719" t="s">
        <v>1673</v>
      </c>
      <c r="D5" s="3720"/>
      <c r="E5" s="3717" t="s">
        <v>1674</v>
      </c>
      <c r="F5" s="3718"/>
      <c r="G5" s="3719" t="s">
        <v>1675</v>
      </c>
      <c r="H5" s="3720"/>
      <c r="I5" s="3719" t="s">
        <v>1676</v>
      </c>
      <c r="J5" s="3720"/>
      <c r="K5" s="559"/>
      <c r="L5" s="911"/>
      <c r="M5" s="912"/>
      <c r="N5" s="912"/>
      <c r="O5" s="912"/>
      <c r="P5" s="3732"/>
      <c r="Q5" s="3733"/>
      <c r="R5" s="3715"/>
      <c r="S5" s="3716"/>
      <c r="T5" s="3715"/>
      <c r="U5" s="3716"/>
      <c r="V5" s="3738"/>
      <c r="W5" s="3738"/>
      <c r="X5" s="1353"/>
      <c r="Y5" s="3715"/>
      <c r="Z5" s="3716"/>
      <c r="AA5" s="3709"/>
      <c r="AB5" s="3709"/>
      <c r="AC5" s="3709"/>
    </row>
    <row r="6" spans="1:29" ht="15" thickBot="1">
      <c r="A6" s="360"/>
      <c r="B6" s="361"/>
      <c r="C6" s="3721" t="s">
        <v>1677</v>
      </c>
      <c r="D6" s="3722"/>
      <c r="E6" s="3723" t="s">
        <v>1677</v>
      </c>
      <c r="F6" s="3724"/>
      <c r="G6" s="3721" t="s">
        <v>1677</v>
      </c>
      <c r="H6" s="3722"/>
      <c r="I6" s="3721" t="s">
        <v>1677</v>
      </c>
      <c r="J6" s="3722"/>
      <c r="K6" s="559" t="s">
        <v>1678</v>
      </c>
      <c r="L6" s="911"/>
      <c r="M6" s="912"/>
      <c r="N6" s="912"/>
      <c r="O6" s="912"/>
      <c r="P6" s="3734"/>
      <c r="Q6" s="3735"/>
      <c r="R6" s="3715"/>
      <c r="S6" s="3716"/>
      <c r="T6" s="3736"/>
      <c r="U6" s="3737"/>
      <c r="V6" s="3738"/>
      <c r="W6" s="3738"/>
      <c r="X6" s="1353"/>
      <c r="Y6" s="3736"/>
      <c r="Z6" s="3737"/>
      <c r="AA6" s="3710"/>
      <c r="AB6" s="3710"/>
      <c r="AC6" s="3710"/>
    </row>
    <row r="7" spans="1:29" s="108" customFormat="1" ht="15" thickBot="1">
      <c r="A7" s="362" t="s">
        <v>1679</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3"/>
      <c r="M7" s="914"/>
      <c r="N7" s="914"/>
      <c r="O7" s="914"/>
      <c r="P7" s="3711" t="s">
        <v>1680</v>
      </c>
      <c r="Q7" s="3739"/>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1" t="s">
        <v>1683</v>
      </c>
      <c r="Q8" s="3712"/>
      <c r="R8" s="699" t="s">
        <v>14</v>
      </c>
      <c r="S8" s="700">
        <f t="shared" si="0"/>
        <v>100</v>
      </c>
      <c r="T8" s="699" t="s">
        <v>14</v>
      </c>
      <c r="U8" s="700">
        <f t="shared" si="1"/>
        <v>100</v>
      </c>
      <c r="V8" s="699" t="s">
        <v>14</v>
      </c>
      <c r="W8" s="700">
        <f t="shared" si="2"/>
        <v>100</v>
      </c>
      <c r="X8" s="701"/>
      <c r="Y8" s="3711" t="s">
        <v>1683</v>
      </c>
      <c r="Z8" s="3712"/>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43" t="s">
        <v>1686</v>
      </c>
      <c r="Q9" s="1341"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743"/>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43"/>
      <c r="Q11" s="1341"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43"/>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43"/>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43"/>
      <c r="Q14" s="1341">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45" t="s">
        <v>1691</v>
      </c>
      <c r="Q15" s="1350" t="str">
        <f t="shared" si="6"/>
        <v>产业集聚程度</v>
      </c>
      <c r="R15" s="703" t="s">
        <v>14</v>
      </c>
      <c r="S15" s="704">
        <f t="shared" si="0"/>
        <v>100</v>
      </c>
      <c r="T15" s="703" t="s">
        <v>14</v>
      </c>
      <c r="U15" s="704">
        <f t="shared" si="1"/>
        <v>100</v>
      </c>
      <c r="V15" s="703" t="s">
        <v>14</v>
      </c>
      <c r="W15" s="704">
        <f t="shared" si="2"/>
        <v>100</v>
      </c>
      <c r="X15" s="1353"/>
      <c r="Y15" s="374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46"/>
      <c r="Q16" s="1350"/>
      <c r="R16" s="703"/>
      <c r="S16" s="704"/>
      <c r="T16" s="703"/>
      <c r="U16" s="704"/>
      <c r="V16" s="703"/>
      <c r="W16" s="704"/>
      <c r="X16" s="1353"/>
      <c r="Y16" s="3746"/>
      <c r="Z16" s="1354"/>
      <c r="AA16" s="1351">
        <v>1</v>
      </c>
      <c r="AB16" s="1351">
        <v>1</v>
      </c>
      <c r="AC16" s="1351">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46"/>
      <c r="Q17" s="1350" t="str">
        <f>B17</f>
        <v>交通便捷度</v>
      </c>
      <c r="R17" s="703" t="s">
        <v>14</v>
      </c>
      <c r="S17" s="704">
        <f>F17</f>
        <v>100</v>
      </c>
      <c r="T17" s="703" t="s">
        <v>14</v>
      </c>
      <c r="U17" s="704">
        <f>H17</f>
        <v>100</v>
      </c>
      <c r="V17" s="703" t="s">
        <v>14</v>
      </c>
      <c r="W17" s="704">
        <f>J17</f>
        <v>100</v>
      </c>
      <c r="X17" s="1353"/>
      <c r="Y17" s="374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46"/>
      <c r="Q18" s="1350"/>
      <c r="R18" s="703"/>
      <c r="S18" s="704"/>
      <c r="T18" s="703"/>
      <c r="U18" s="704"/>
      <c r="V18" s="703"/>
      <c r="W18" s="704"/>
      <c r="X18" s="1353"/>
      <c r="Y18" s="3746"/>
      <c r="Z18" s="1354"/>
      <c r="AA18" s="1351">
        <v>1</v>
      </c>
      <c r="AB18" s="1351">
        <v>1</v>
      </c>
      <c r="AC18" s="1351">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46"/>
      <c r="Q19" s="1350" t="str">
        <f>B19</f>
        <v>公共配套设施</v>
      </c>
      <c r="R19" s="703" t="s">
        <v>14</v>
      </c>
      <c r="S19" s="704">
        <f>F19</f>
        <v>100</v>
      </c>
      <c r="T19" s="703" t="s">
        <v>14</v>
      </c>
      <c r="U19" s="704">
        <f>H19</f>
        <v>100</v>
      </c>
      <c r="V19" s="703" t="s">
        <v>14</v>
      </c>
      <c r="W19" s="704">
        <f>J19</f>
        <v>100</v>
      </c>
      <c r="X19" s="1353"/>
      <c r="Y19" s="374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46"/>
      <c r="Q20" s="1350"/>
      <c r="R20" s="703"/>
      <c r="S20" s="704"/>
      <c r="T20" s="703"/>
      <c r="U20" s="704"/>
      <c r="V20" s="703"/>
      <c r="W20" s="704"/>
      <c r="X20" s="1353"/>
      <c r="Y20" s="3746"/>
      <c r="Z20" s="1354"/>
      <c r="AA20" s="1351">
        <v>1</v>
      </c>
      <c r="AB20" s="1351">
        <v>1</v>
      </c>
      <c r="AC20" s="1351">
        <v>1</v>
      </c>
    </row>
    <row r="21" spans="1:29" ht="41.4">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46"/>
      <c r="Q21" s="1350" t="str">
        <f>B21</f>
        <v>基础设施水平</v>
      </c>
      <c r="R21" s="703" t="s">
        <v>14</v>
      </c>
      <c r="S21" s="704">
        <f>F21</f>
        <v>100</v>
      </c>
      <c r="T21" s="703" t="s">
        <v>14</v>
      </c>
      <c r="U21" s="704">
        <f>H21</f>
        <v>100</v>
      </c>
      <c r="V21" s="703" t="s">
        <v>14</v>
      </c>
      <c r="W21" s="704">
        <f>J21</f>
        <v>100</v>
      </c>
      <c r="X21" s="1353"/>
      <c r="Y21" s="374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46"/>
      <c r="Q22" s="1350"/>
      <c r="R22" s="703"/>
      <c r="S22" s="704"/>
      <c r="T22" s="703"/>
      <c r="U22" s="704"/>
      <c r="V22" s="703"/>
      <c r="W22" s="704"/>
      <c r="X22" s="1353"/>
      <c r="Y22" s="3746"/>
      <c r="Z22" s="1354"/>
      <c r="AA22" s="1351">
        <v>1</v>
      </c>
      <c r="AB22" s="1351">
        <v>1</v>
      </c>
      <c r="AC22" s="1351">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46"/>
      <c r="Q23" s="1350" t="str">
        <f>B23</f>
        <v>环境质量</v>
      </c>
      <c r="R23" s="703" t="s">
        <v>14</v>
      </c>
      <c r="S23" s="704">
        <f>F23</f>
        <v>100</v>
      </c>
      <c r="T23" s="703" t="s">
        <v>14</v>
      </c>
      <c r="U23" s="704">
        <f>H23</f>
        <v>100</v>
      </c>
      <c r="V23" s="703" t="s">
        <v>14</v>
      </c>
      <c r="W23" s="704">
        <f>J23</f>
        <v>100</v>
      </c>
      <c r="X23" s="1353"/>
      <c r="Y23" s="374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46"/>
      <c r="Q24" s="1350"/>
      <c r="R24" s="703"/>
      <c r="S24" s="704"/>
      <c r="T24" s="703"/>
      <c r="U24" s="704"/>
      <c r="V24" s="703"/>
      <c r="W24" s="704"/>
      <c r="X24" s="1353"/>
      <c r="Y24" s="374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46"/>
      <c r="Q25" s="1350">
        <f>B25</f>
        <v>111</v>
      </c>
      <c r="R25" s="703" t="s">
        <v>14</v>
      </c>
      <c r="S25" s="704">
        <f>F25</f>
        <v>100</v>
      </c>
      <c r="T25" s="703" t="s">
        <v>14</v>
      </c>
      <c r="U25" s="704">
        <f>H25</f>
        <v>100</v>
      </c>
      <c r="V25" s="703" t="s">
        <v>14</v>
      </c>
      <c r="W25" s="704">
        <f>J25</f>
        <v>100</v>
      </c>
      <c r="X25" s="1353"/>
      <c r="Y25" s="374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46"/>
      <c r="Q26" s="1350">
        <f t="shared" ref="Q26:Q40" si="11">B26</f>
        <v>111</v>
      </c>
      <c r="R26" s="703" t="s">
        <v>14</v>
      </c>
      <c r="S26" s="704">
        <f>F26</f>
        <v>100</v>
      </c>
      <c r="T26" s="703" t="s">
        <v>14</v>
      </c>
      <c r="U26" s="704">
        <f>H26</f>
        <v>100</v>
      </c>
      <c r="V26" s="703" t="s">
        <v>14</v>
      </c>
      <c r="W26" s="704">
        <f>J26</f>
        <v>100</v>
      </c>
      <c r="X26" s="1353"/>
      <c r="Y26" s="374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46"/>
      <c r="Q27" s="1341">
        <f t="shared" si="11"/>
        <v>111</v>
      </c>
      <c r="R27" s="699" t="s">
        <v>14</v>
      </c>
      <c r="S27" s="700">
        <f>F27</f>
        <v>100</v>
      </c>
      <c r="T27" s="699" t="s">
        <v>14</v>
      </c>
      <c r="U27" s="700">
        <f>H27</f>
        <v>100</v>
      </c>
      <c r="V27" s="699" t="s">
        <v>14</v>
      </c>
      <c r="W27" s="700">
        <f>J27</f>
        <v>100</v>
      </c>
      <c r="X27" s="701"/>
      <c r="Y27" s="3746"/>
      <c r="Z27" s="52">
        <f>Q27</f>
        <v>111</v>
      </c>
      <c r="AA27" s="1351">
        <f>D27/F27</f>
        <v>1</v>
      </c>
      <c r="AB27" s="1351">
        <f>D27/H27</f>
        <v>1</v>
      </c>
      <c r="AC27" s="1351">
        <f>D27/J27</f>
        <v>1</v>
      </c>
    </row>
    <row r="28" spans="1:29" ht="15.6"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46"/>
      <c r="Q28" s="1350">
        <f t="shared" si="11"/>
        <v>111</v>
      </c>
      <c r="R28" s="703" t="s">
        <v>14</v>
      </c>
      <c r="S28" s="704">
        <f t="shared" ref="S28:S40" si="12">F28</f>
        <v>100</v>
      </c>
      <c r="T28" s="703" t="s">
        <v>14</v>
      </c>
      <c r="U28" s="704">
        <f t="shared" ref="U28:U40" si="13">H28</f>
        <v>100</v>
      </c>
      <c r="V28" s="703" t="s">
        <v>14</v>
      </c>
      <c r="W28" s="704">
        <f t="shared" ref="W28:W40" si="14">J28</f>
        <v>100</v>
      </c>
      <c r="X28" s="1353"/>
      <c r="Y28" s="3746"/>
      <c r="Z28" s="1354">
        <f t="shared" ref="Z28:Z40" si="15">Q28</f>
        <v>111</v>
      </c>
      <c r="AA28" s="1351">
        <f t="shared" si="3"/>
        <v>1</v>
      </c>
      <c r="AB28" s="1351">
        <f t="shared" si="4"/>
        <v>1</v>
      </c>
      <c r="AC28" s="1351">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71" t="s">
        <v>1696</v>
      </c>
      <c r="Q29" s="1350" t="str">
        <f t="shared" si="11"/>
        <v>建筑类型</v>
      </c>
      <c r="R29" s="703" t="s">
        <v>14</v>
      </c>
      <c r="S29" s="704">
        <f t="shared" si="12"/>
        <v>100</v>
      </c>
      <c r="T29" s="703" t="s">
        <v>14</v>
      </c>
      <c r="U29" s="704">
        <f t="shared" si="13"/>
        <v>100</v>
      </c>
      <c r="V29" s="703" t="s">
        <v>14</v>
      </c>
      <c r="W29" s="704">
        <f t="shared" si="14"/>
        <v>100</v>
      </c>
      <c r="X29" s="1353"/>
      <c r="Y29" s="375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50"/>
      <c r="Q30" s="705" t="str">
        <f t="shared" si="11"/>
        <v>项目建筑规模</v>
      </c>
      <c r="R30" s="706" t="s">
        <v>14</v>
      </c>
      <c r="S30" s="707" t="e">
        <f t="shared" si="12"/>
        <v>#N/A</v>
      </c>
      <c r="T30" s="706" t="s">
        <v>14</v>
      </c>
      <c r="U30" s="707" t="e">
        <f t="shared" si="13"/>
        <v>#N/A</v>
      </c>
      <c r="V30" s="706" t="s">
        <v>14</v>
      </c>
      <c r="W30" s="707" t="e">
        <f t="shared" si="14"/>
        <v>#N/A</v>
      </c>
      <c r="X30" s="708"/>
      <c r="Y30" s="375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50"/>
      <c r="Q31" s="1350" t="str">
        <f t="shared" si="11"/>
        <v>建筑结构</v>
      </c>
      <c r="R31" s="703" t="s">
        <v>14</v>
      </c>
      <c r="S31" s="704">
        <f t="shared" si="12"/>
        <v>100</v>
      </c>
      <c r="T31" s="703" t="s">
        <v>14</v>
      </c>
      <c r="U31" s="704">
        <f t="shared" si="13"/>
        <v>100</v>
      </c>
      <c r="V31" s="703" t="s">
        <v>14</v>
      </c>
      <c r="W31" s="704">
        <f t="shared" si="14"/>
        <v>100</v>
      </c>
      <c r="X31" s="1353"/>
      <c r="Y31" s="375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50"/>
      <c r="Q32" s="1350" t="str">
        <f t="shared" si="11"/>
        <v>公共部分装修</v>
      </c>
      <c r="R32" s="703" t="s">
        <v>14</v>
      </c>
      <c r="S32" s="704">
        <f t="shared" si="12"/>
        <v>100</v>
      </c>
      <c r="T32" s="703" t="s">
        <v>14</v>
      </c>
      <c r="U32" s="704">
        <f t="shared" si="13"/>
        <v>100</v>
      </c>
      <c r="V32" s="703" t="s">
        <v>14</v>
      </c>
      <c r="W32" s="704">
        <f t="shared" si="14"/>
        <v>100</v>
      </c>
      <c r="X32" s="1353"/>
      <c r="Y32" s="375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50"/>
      <c r="Q33" s="1350" t="str">
        <f t="shared" si="11"/>
        <v>成新度</v>
      </c>
      <c r="R33" s="703" t="s">
        <v>14</v>
      </c>
      <c r="S33" s="704" t="e">
        <f t="shared" si="12"/>
        <v>#N/A</v>
      </c>
      <c r="T33" s="703" t="s">
        <v>14</v>
      </c>
      <c r="U33" s="704" t="e">
        <f t="shared" si="13"/>
        <v>#N/A</v>
      </c>
      <c r="V33" s="703" t="s">
        <v>14</v>
      </c>
      <c r="W33" s="704" t="e">
        <f t="shared" si="14"/>
        <v>#N/A</v>
      </c>
      <c r="X33" s="1353"/>
      <c r="Y33" s="375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50"/>
      <c r="Q34" s="1341" t="str">
        <f t="shared" si="11"/>
        <v>物业管理</v>
      </c>
      <c r="R34" s="699" t="s">
        <v>14</v>
      </c>
      <c r="S34" s="700">
        <f t="shared" si="12"/>
        <v>100</v>
      </c>
      <c r="T34" s="699" t="s">
        <v>14</v>
      </c>
      <c r="U34" s="700">
        <f t="shared" si="13"/>
        <v>100</v>
      </c>
      <c r="V34" s="699" t="s">
        <v>14</v>
      </c>
      <c r="W34" s="700">
        <f t="shared" si="14"/>
        <v>100</v>
      </c>
      <c r="X34" s="701"/>
      <c r="Y34" s="375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50" t="s">
        <v>1696</v>
      </c>
      <c r="Q35" s="1350" t="str">
        <f t="shared" si="11"/>
        <v>市政基础设施</v>
      </c>
      <c r="R35" s="703" t="s">
        <v>14</v>
      </c>
      <c r="S35" s="704">
        <f t="shared" si="12"/>
        <v>100</v>
      </c>
      <c r="T35" s="703" t="s">
        <v>14</v>
      </c>
      <c r="U35" s="704">
        <f t="shared" si="13"/>
        <v>100</v>
      </c>
      <c r="V35" s="703" t="s">
        <v>14</v>
      </c>
      <c r="W35" s="704">
        <f t="shared" si="14"/>
        <v>100</v>
      </c>
      <c r="X35" s="1353"/>
      <c r="Y35" s="375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50"/>
      <c r="Q36" s="1350" t="str">
        <f t="shared" si="11"/>
        <v>内部装修</v>
      </c>
      <c r="R36" s="703" t="s">
        <v>14</v>
      </c>
      <c r="S36" s="704">
        <f t="shared" si="12"/>
        <v>100</v>
      </c>
      <c r="T36" s="703" t="s">
        <v>14</v>
      </c>
      <c r="U36" s="704">
        <f t="shared" si="13"/>
        <v>100</v>
      </c>
      <c r="V36" s="703" t="s">
        <v>14</v>
      </c>
      <c r="W36" s="704">
        <f t="shared" si="14"/>
        <v>100</v>
      </c>
      <c r="X36" s="1353"/>
      <c r="Y36" s="375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50"/>
      <c r="Q37" s="1350" t="str">
        <f t="shared" si="11"/>
        <v>内部装修状况</v>
      </c>
      <c r="R37" s="703" t="s">
        <v>14</v>
      </c>
      <c r="S37" s="704">
        <f t="shared" si="12"/>
        <v>100</v>
      </c>
      <c r="T37" s="703" t="s">
        <v>14</v>
      </c>
      <c r="U37" s="704">
        <f t="shared" si="13"/>
        <v>100</v>
      </c>
      <c r="V37" s="703" t="s">
        <v>14</v>
      </c>
      <c r="W37" s="704">
        <f t="shared" si="14"/>
        <v>100</v>
      </c>
      <c r="X37" s="1353"/>
      <c r="Y37" s="375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50"/>
      <c r="Q38" s="705">
        <f t="shared" si="11"/>
        <v>111</v>
      </c>
      <c r="R38" s="706" t="s">
        <v>14</v>
      </c>
      <c r="S38" s="707">
        <f t="shared" si="12"/>
        <v>100</v>
      </c>
      <c r="T38" s="706" t="s">
        <v>14</v>
      </c>
      <c r="U38" s="707">
        <f t="shared" si="13"/>
        <v>100</v>
      </c>
      <c r="V38" s="706" t="s">
        <v>14</v>
      </c>
      <c r="W38" s="707">
        <f t="shared" si="14"/>
        <v>100</v>
      </c>
      <c r="X38" s="708"/>
      <c r="Y38" s="375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50"/>
      <c r="Q39" s="1350">
        <f t="shared" si="11"/>
        <v>111</v>
      </c>
      <c r="R39" s="703" t="s">
        <v>14</v>
      </c>
      <c r="S39" s="704">
        <f t="shared" si="12"/>
        <v>100</v>
      </c>
      <c r="T39" s="703" t="s">
        <v>14</v>
      </c>
      <c r="U39" s="704">
        <f t="shared" si="13"/>
        <v>100</v>
      </c>
      <c r="V39" s="703" t="s">
        <v>14</v>
      </c>
      <c r="W39" s="704">
        <f t="shared" si="14"/>
        <v>100</v>
      </c>
      <c r="X39" s="1353"/>
      <c r="Y39" s="3750"/>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51"/>
      <c r="Q40" s="1350">
        <f t="shared" si="11"/>
        <v>111</v>
      </c>
      <c r="R40" s="703" t="s">
        <v>14</v>
      </c>
      <c r="S40" s="704">
        <f t="shared" si="12"/>
        <v>100</v>
      </c>
      <c r="T40" s="703" t="s">
        <v>14</v>
      </c>
      <c r="U40" s="704">
        <f t="shared" si="13"/>
        <v>100</v>
      </c>
      <c r="V40" s="703" t="s">
        <v>14</v>
      </c>
      <c r="W40" s="704">
        <f t="shared" si="14"/>
        <v>100</v>
      </c>
      <c r="X40" s="1353"/>
      <c r="Y40" s="3751"/>
      <c r="Z40" s="1354">
        <f t="shared" si="15"/>
        <v>111</v>
      </c>
      <c r="AA40" s="1351">
        <f t="shared" si="3"/>
        <v>1</v>
      </c>
      <c r="AB40" s="1351">
        <f t="shared" si="4"/>
        <v>1</v>
      </c>
      <c r="AC40" s="1351">
        <f t="shared" si="5"/>
        <v>1</v>
      </c>
    </row>
    <row r="41" spans="1:29" ht="14.4">
      <c r="A41" s="430" t="s">
        <v>1708</v>
      </c>
      <c r="B41" s="431"/>
      <c r="C41" s="1152" t="s">
        <v>0</v>
      </c>
      <c r="D41" s="1153"/>
      <c r="E41" s="1154"/>
      <c r="F41" s="1155"/>
      <c r="G41" s="1156"/>
      <c r="H41" s="1157"/>
      <c r="I41" s="1154"/>
      <c r="J41" s="1157"/>
      <c r="K41" s="712"/>
      <c r="L41" s="924"/>
      <c r="M41" s="925"/>
      <c r="N41" s="912"/>
      <c r="O41" s="925"/>
      <c r="P41" s="3743" t="str">
        <f>A41</f>
        <v>成交单价（元/平方米）</v>
      </c>
      <c r="Q41" s="3743"/>
      <c r="R41" s="3744">
        <f>E41</f>
        <v>0</v>
      </c>
      <c r="S41" s="3744"/>
      <c r="T41" s="3744">
        <f>G41</f>
        <v>0</v>
      </c>
      <c r="U41" s="3744"/>
      <c r="V41" s="3744">
        <f>I41</f>
        <v>0</v>
      </c>
      <c r="W41" s="3744"/>
      <c r="X41" s="688"/>
      <c r="Y41" s="710"/>
      <c r="Z41" s="688"/>
      <c r="AA41" s="688"/>
      <c r="AB41" s="688"/>
      <c r="AC41" s="688"/>
    </row>
    <row r="42" spans="1:29" ht="15" thickBot="1">
      <c r="A42" s="437" t="s">
        <v>1793</v>
      </c>
      <c r="B42" s="438"/>
      <c r="C42" s="1158" t="e">
        <f>R43</f>
        <v>#DIV/0!</v>
      </c>
      <c r="D42" s="2314" t="s">
        <v>2137</v>
      </c>
      <c r="E42" s="1159" t="e">
        <f>R42</f>
        <v>#DIV/0!</v>
      </c>
      <c r="F42" s="2315"/>
      <c r="G42" s="1158" t="e">
        <f>T42</f>
        <v>#DIV/0!</v>
      </c>
      <c r="H42" s="2315"/>
      <c r="I42" s="1159" t="e">
        <f>V42</f>
        <v>#DIV/0!</v>
      </c>
      <c r="J42" s="2315"/>
      <c r="K42" s="2317">
        <f>F42+H42+J42</f>
        <v>0</v>
      </c>
      <c r="L42" s="924"/>
      <c r="M42" s="925"/>
      <c r="N42" s="912"/>
      <c r="O42" s="925"/>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88"/>
      <c r="Y42" s="688"/>
      <c r="Z42" s="688"/>
      <c r="AA42" s="688"/>
      <c r="AB42" s="688"/>
      <c r="AC42" s="688"/>
    </row>
    <row r="43" spans="1:29" ht="15" thickBot="1">
      <c r="A43" s="441" t="s">
        <v>1794</v>
      </c>
      <c r="B43" s="442"/>
      <c r="C43" s="1161" t="e">
        <f>R43</f>
        <v>#DIV/0!</v>
      </c>
      <c r="D43" s="1161"/>
      <c r="E43" s="1161"/>
      <c r="F43" s="1161"/>
      <c r="G43" s="1161"/>
      <c r="H43" s="1161"/>
      <c r="I43" s="1161"/>
      <c r="J43" s="1161"/>
      <c r="K43" s="713"/>
      <c r="L43" s="924"/>
      <c r="M43" s="925"/>
      <c r="N43" s="925"/>
      <c r="O43" s="925"/>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2.2" thickBot="1">
      <c r="A51" s="692" t="s">
        <v>1798</v>
      </c>
      <c r="B51" s="688"/>
      <c r="C51" s="693"/>
      <c r="D51" s="693"/>
      <c r="E51" s="693"/>
      <c r="F51" s="694"/>
      <c r="G51" s="694"/>
      <c r="H51" s="693"/>
      <c r="I51" s="693"/>
      <c r="J51" s="693"/>
      <c r="K51" s="939"/>
      <c r="L51" s="940"/>
      <c r="M51" s="938"/>
      <c r="N51" s="938"/>
      <c r="O51" s="938"/>
      <c r="P51" s="452"/>
      <c r="Q51" s="453"/>
    </row>
    <row r="52" spans="1:17" s="457" customFormat="1" ht="14.4">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c r="A53" s="458"/>
      <c r="B53" s="459"/>
      <c r="C53" s="1181">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0"/>
      <c r="O55" s="930"/>
      <c r="P55" s="475"/>
      <c r="Q55" s="453"/>
    </row>
    <row r="56" spans="1:17" s="108" customFormat="1" ht="14.4" thickBot="1">
      <c r="A56" s="470"/>
      <c r="B56" s="459"/>
      <c r="C56" s="585">
        <v>100</v>
      </c>
      <c r="D56" s="461"/>
      <c r="E56" s="461"/>
      <c r="F56" s="461"/>
      <c r="G56" s="461"/>
      <c r="H56" s="461"/>
      <c r="I56" s="461"/>
      <c r="J56" s="461"/>
      <c r="K56" s="461"/>
      <c r="L56" s="461"/>
      <c r="M56" s="463"/>
      <c r="N56" s="930"/>
      <c r="O56" s="930"/>
      <c r="P56" s="453"/>
      <c r="Q56" s="453"/>
    </row>
    <row r="57" spans="1:17" ht="14.4">
      <c r="A57" s="476" t="s">
        <v>1719</v>
      </c>
      <c r="B57" s="477" t="s">
        <v>1685</v>
      </c>
      <c r="C57" s="478">
        <f>C9</f>
        <v>0</v>
      </c>
      <c r="D57" s="479"/>
      <c r="E57" s="479"/>
      <c r="F57" s="479"/>
      <c r="G57" s="479"/>
      <c r="H57" s="479"/>
      <c r="I57" s="479"/>
      <c r="J57" s="479"/>
      <c r="K57" s="480"/>
      <c r="L57" s="481"/>
      <c r="M57" s="482"/>
      <c r="N57" s="931"/>
      <c r="O57" s="931"/>
      <c r="P57" s="42"/>
      <c r="Q57" s="453"/>
    </row>
    <row r="58" spans="1:17" ht="14.4" thickBot="1">
      <c r="A58" s="483"/>
      <c r="B58" s="484"/>
      <c r="C58" s="485">
        <v>100</v>
      </c>
      <c r="D58" s="485"/>
      <c r="E58" s="485"/>
      <c r="F58" s="485"/>
      <c r="G58" s="485"/>
      <c r="H58" s="485"/>
      <c r="I58" s="485"/>
      <c r="J58" s="485"/>
      <c r="K58" s="485"/>
      <c r="L58" s="485"/>
      <c r="M58" s="486"/>
      <c r="N58" s="932"/>
      <c r="O58" s="932"/>
      <c r="P58" s="42"/>
      <c r="Q58" s="453"/>
    </row>
    <row r="59" spans="1:17" ht="29.4" thickTop="1">
      <c r="A59" s="483"/>
      <c r="B59" s="487" t="s">
        <v>1688</v>
      </c>
      <c r="C59" s="532"/>
      <c r="D59" s="532"/>
      <c r="E59" s="532"/>
      <c r="F59" s="532"/>
      <c r="G59" s="532"/>
      <c r="H59" s="532"/>
      <c r="I59" s="532"/>
      <c r="J59" s="532"/>
      <c r="K59" s="533"/>
      <c r="L59" s="534"/>
      <c r="M59" s="535"/>
      <c r="N59" s="931"/>
      <c r="O59" s="931"/>
      <c r="P59" s="42"/>
      <c r="Q59" s="453"/>
    </row>
    <row r="60" spans="1:17" ht="14.4" thickBot="1">
      <c r="A60" s="483"/>
      <c r="B60" s="492"/>
      <c r="C60" s="485"/>
      <c r="D60" s="485"/>
      <c r="E60" s="485"/>
      <c r="F60" s="485"/>
      <c r="G60" s="485"/>
      <c r="H60" s="485"/>
      <c r="I60" s="485"/>
      <c r="J60" s="485"/>
      <c r="K60" s="485"/>
      <c r="L60" s="485"/>
      <c r="M60" s="486"/>
      <c r="N60" s="932"/>
      <c r="O60" s="932"/>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c r="A62" s="483"/>
      <c r="B62" s="497"/>
      <c r="C62" s="498">
        <v>0</v>
      </c>
      <c r="D62" s="498">
        <v>2</v>
      </c>
      <c r="E62" s="498"/>
      <c r="F62" s="498"/>
      <c r="G62" s="498"/>
      <c r="H62" s="498"/>
      <c r="I62" s="498"/>
      <c r="J62" s="498"/>
      <c r="K62" s="499"/>
      <c r="L62" s="500"/>
      <c r="M62" s="501"/>
      <c r="N62" s="931"/>
      <c r="O62" s="931"/>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4.4" thickTop="1">
      <c r="A64" s="502"/>
      <c r="B64" s="487">
        <f>B12</f>
        <v>111</v>
      </c>
      <c r="C64" s="503"/>
      <c r="D64" s="503"/>
      <c r="E64" s="503"/>
      <c r="F64" s="503"/>
      <c r="G64" s="503"/>
      <c r="H64" s="504"/>
      <c r="I64" s="504"/>
      <c r="J64" s="504"/>
      <c r="K64" s="504"/>
      <c r="L64" s="505"/>
      <c r="M64" s="506"/>
      <c r="N64" s="933"/>
      <c r="O64" s="933"/>
      <c r="P64" s="507"/>
      <c r="Q64" s="508"/>
    </row>
    <row r="65" spans="1:17" s="422" customFormat="1" ht="14.4" thickBot="1">
      <c r="A65" s="502"/>
      <c r="B65" s="492"/>
      <c r="C65" s="509"/>
      <c r="D65" s="485"/>
      <c r="E65" s="485"/>
      <c r="F65" s="485"/>
      <c r="G65" s="485"/>
      <c r="H65" s="485"/>
      <c r="I65" s="485"/>
      <c r="J65" s="485"/>
      <c r="K65" s="485"/>
      <c r="L65" s="485"/>
      <c r="M65" s="486"/>
      <c r="N65" s="932"/>
      <c r="O65" s="932"/>
      <c r="P65" s="507"/>
      <c r="Q65" s="508"/>
    </row>
    <row r="66" spans="1:17" s="422" customFormat="1" ht="14.4" thickTop="1">
      <c r="A66" s="502"/>
      <c r="B66" s="487">
        <f>B13</f>
        <v>111</v>
      </c>
      <c r="C66" s="503"/>
      <c r="D66" s="503"/>
      <c r="E66" s="503"/>
      <c r="F66" s="503"/>
      <c r="G66" s="503"/>
      <c r="H66" s="504"/>
      <c r="I66" s="504"/>
      <c r="J66" s="504"/>
      <c r="K66" s="504"/>
      <c r="L66" s="505"/>
      <c r="M66" s="506"/>
      <c r="N66" s="933"/>
      <c r="O66" s="933"/>
      <c r="P66" s="421"/>
      <c r="Q66" s="510"/>
    </row>
    <row r="67" spans="1:17" s="422" customFormat="1" ht="14.4" thickBot="1">
      <c r="A67" s="502"/>
      <c r="B67" s="492"/>
      <c r="C67" s="509"/>
      <c r="D67" s="485"/>
      <c r="E67" s="485"/>
      <c r="F67" s="485"/>
      <c r="G67" s="509"/>
      <c r="H67" s="511"/>
      <c r="I67" s="511"/>
      <c r="J67" s="511"/>
      <c r="K67" s="511"/>
      <c r="L67" s="511"/>
      <c r="M67" s="512"/>
      <c r="N67" s="933"/>
      <c r="O67" s="933"/>
      <c r="P67" s="507"/>
      <c r="Q67" s="508"/>
    </row>
    <row r="68" spans="1:17" s="422" customFormat="1" ht="14.4" thickTop="1">
      <c r="A68" s="502"/>
      <c r="B68" s="495">
        <f>B14</f>
        <v>111</v>
      </c>
      <c r="C68" s="472"/>
      <c r="D68" s="472"/>
      <c r="E68" s="472"/>
      <c r="F68" s="472"/>
      <c r="G68" s="472"/>
      <c r="H68" s="513"/>
      <c r="I68" s="513"/>
      <c r="J68" s="513"/>
      <c r="K68" s="513"/>
      <c r="L68" s="514"/>
      <c r="M68" s="515"/>
      <c r="N68" s="933"/>
      <c r="O68" s="933"/>
      <c r="P68" s="516"/>
      <c r="Q68" s="508"/>
    </row>
    <row r="69" spans="1:17" s="422" customFormat="1" ht="14.4" thickBot="1">
      <c r="A69" s="517"/>
      <c r="B69" s="518"/>
      <c r="C69" s="519"/>
      <c r="D69" s="519"/>
      <c r="E69" s="519"/>
      <c r="F69" s="519"/>
      <c r="G69" s="519"/>
      <c r="H69" s="520"/>
      <c r="I69" s="520"/>
      <c r="J69" s="520"/>
      <c r="K69" s="520"/>
      <c r="L69" s="520"/>
      <c r="M69" s="521"/>
      <c r="N69" s="933"/>
      <c r="O69" s="933"/>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 thickTop="1">
      <c r="A76" s="483"/>
      <c r="B76" s="495" t="s">
        <v>1813</v>
      </c>
      <c r="C76" s="606" t="s">
        <v>1799</v>
      </c>
      <c r="D76" s="606" t="s">
        <v>1800</v>
      </c>
      <c r="E76" s="606" t="s">
        <v>1801</v>
      </c>
      <c r="F76" s="606" t="s">
        <v>1802</v>
      </c>
      <c r="G76" s="606" t="s">
        <v>1803</v>
      </c>
      <c r="H76" s="488"/>
      <c r="I76" s="488"/>
      <c r="J76" s="488"/>
      <c r="K76" s="488"/>
      <c r="L76" s="488"/>
      <c r="M76" s="1127"/>
      <c r="N76" s="932"/>
      <c r="O76" s="932"/>
      <c r="P76" s="42"/>
      <c r="Q76" s="453"/>
    </row>
    <row r="77" spans="1:17" ht="14.4" thickBot="1">
      <c r="A77" s="483"/>
      <c r="B77" s="495"/>
      <c r="C77" s="493">
        <v>100</v>
      </c>
      <c r="D77" s="493">
        <f>C77-$K21</f>
        <v>100</v>
      </c>
      <c r="E77" s="493">
        <f>D77-$K21</f>
        <v>100</v>
      </c>
      <c r="F77" s="493">
        <f>E77-$K21</f>
        <v>100</v>
      </c>
      <c r="G77" s="493">
        <f>F77-$K21</f>
        <v>100</v>
      </c>
      <c r="H77" s="606"/>
      <c r="I77" s="606"/>
      <c r="J77" s="606"/>
      <c r="K77" s="606"/>
      <c r="L77" s="606"/>
      <c r="M77" s="401"/>
      <c r="N77" s="932"/>
      <c r="O77" s="932"/>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4.4" thickTop="1">
      <c r="A80" s="528"/>
      <c r="B80" s="487">
        <f>B25</f>
        <v>111</v>
      </c>
      <c r="C80" s="503"/>
      <c r="D80" s="503"/>
      <c r="E80" s="503"/>
      <c r="F80" s="503"/>
      <c r="G80" s="503"/>
      <c r="H80" s="503"/>
      <c r="I80" s="503"/>
      <c r="J80" s="503"/>
      <c r="K80" s="503"/>
      <c r="L80" s="529"/>
      <c r="M80" s="530"/>
      <c r="N80" s="930"/>
      <c r="O80" s="930"/>
      <c r="P80" s="42"/>
      <c r="Q80" s="453"/>
    </row>
    <row r="81" spans="1:17" s="108" customFormat="1" ht="14.4" thickBot="1">
      <c r="A81" s="528"/>
      <c r="B81" s="492"/>
      <c r="C81" s="509"/>
      <c r="D81" s="485"/>
      <c r="E81" s="485"/>
      <c r="F81" s="485"/>
      <c r="G81" s="485"/>
      <c r="H81" s="485"/>
      <c r="I81" s="485"/>
      <c r="J81" s="485"/>
      <c r="K81" s="485"/>
      <c r="L81" s="485"/>
      <c r="M81" s="486"/>
      <c r="N81" s="932"/>
      <c r="O81" s="932"/>
      <c r="P81" s="42"/>
      <c r="Q81" s="453"/>
    </row>
    <row r="82" spans="1:17" s="108" customFormat="1" ht="14.4" thickTop="1">
      <c r="A82" s="528"/>
      <c r="B82" s="487">
        <f>B26</f>
        <v>111</v>
      </c>
      <c r="C82" s="503"/>
      <c r="D82" s="503"/>
      <c r="E82" s="503"/>
      <c r="F82" s="503"/>
      <c r="G82" s="503"/>
      <c r="H82" s="503"/>
      <c r="I82" s="503"/>
      <c r="J82" s="503"/>
      <c r="K82" s="503"/>
      <c r="L82" s="529"/>
      <c r="M82" s="530"/>
      <c r="N82" s="930"/>
      <c r="O82" s="930"/>
      <c r="P82" s="42"/>
      <c r="Q82" s="453"/>
    </row>
    <row r="83" spans="1:17" s="108" customFormat="1" ht="14.4" thickBot="1">
      <c r="A83" s="528"/>
      <c r="B83" s="492"/>
      <c r="C83" s="509"/>
      <c r="D83" s="485"/>
      <c r="E83" s="485"/>
      <c r="F83" s="485"/>
      <c r="G83" s="485"/>
      <c r="H83" s="485"/>
      <c r="I83" s="485"/>
      <c r="J83" s="485"/>
      <c r="K83" s="485"/>
      <c r="L83" s="485"/>
      <c r="M83" s="486"/>
      <c r="N83" s="932"/>
      <c r="O83" s="932"/>
      <c r="P83" s="42"/>
      <c r="Q83" s="453"/>
    </row>
    <row r="84" spans="1:17" s="422" customFormat="1" ht="14.4" thickTop="1">
      <c r="A84" s="502"/>
      <c r="B84" s="487">
        <f>B27</f>
        <v>111</v>
      </c>
      <c r="C84" s="503"/>
      <c r="D84" s="503"/>
      <c r="E84" s="503"/>
      <c r="F84" s="503"/>
      <c r="G84" s="503"/>
      <c r="H84" s="503"/>
      <c r="I84" s="503"/>
      <c r="J84" s="503"/>
      <c r="K84" s="503"/>
      <c r="L84" s="529"/>
      <c r="M84" s="530"/>
      <c r="N84" s="933"/>
      <c r="O84" s="933"/>
      <c r="P84" s="507"/>
      <c r="Q84" s="508"/>
    </row>
    <row r="85" spans="1:17" s="422" customFormat="1" ht="14.4" thickBot="1">
      <c r="A85" s="502"/>
      <c r="B85" s="492"/>
      <c r="C85" s="509"/>
      <c r="D85" s="485"/>
      <c r="E85" s="485"/>
      <c r="F85" s="485"/>
      <c r="G85" s="485"/>
      <c r="H85" s="485"/>
      <c r="I85" s="485"/>
      <c r="J85" s="485"/>
      <c r="K85" s="485"/>
      <c r="L85" s="485"/>
      <c r="M85" s="486"/>
      <c r="N85" s="933"/>
      <c r="O85" s="933"/>
      <c r="P85" s="507"/>
      <c r="Q85" s="508"/>
    </row>
    <row r="86" spans="1:17" ht="14.4" thickTop="1">
      <c r="A86" s="483"/>
      <c r="B86" s="495">
        <f>B28</f>
        <v>111</v>
      </c>
      <c r="C86" s="472"/>
      <c r="D86" s="472"/>
      <c r="E86" s="472"/>
      <c r="F86" s="472"/>
      <c r="G86" s="536"/>
      <c r="H86" s="536"/>
      <c r="I86" s="536"/>
      <c r="J86" s="536"/>
      <c r="K86" s="537"/>
      <c r="L86" s="538"/>
      <c r="M86" s="539"/>
      <c r="N86" s="931"/>
      <c r="O86" s="931"/>
      <c r="P86" s="42"/>
      <c r="Q86" s="453"/>
    </row>
    <row r="87" spans="1:17" ht="14.4" thickBot="1">
      <c r="A87" s="1926"/>
      <c r="B87" s="518"/>
      <c r="C87" s="519"/>
      <c r="D87" s="519"/>
      <c r="E87" s="519"/>
      <c r="F87" s="519"/>
      <c r="G87" s="540"/>
      <c r="H87" s="540"/>
      <c r="I87" s="540"/>
      <c r="J87" s="540"/>
      <c r="K87" s="540"/>
      <c r="L87" s="540"/>
      <c r="M87" s="541"/>
      <c r="N87" s="932"/>
      <c r="O87" s="932"/>
      <c r="P87" s="42"/>
      <c r="Q87" s="453"/>
    </row>
    <row r="88" spans="1:17" ht="14.4">
      <c r="A88" s="476" t="s">
        <v>1694</v>
      </c>
      <c r="B88" s="477" t="s">
        <v>1736</v>
      </c>
      <c r="C88" s="479"/>
      <c r="D88" s="479"/>
      <c r="E88" s="479"/>
      <c r="F88" s="479"/>
      <c r="G88" s="479"/>
      <c r="H88" s="479"/>
      <c r="I88" s="479"/>
      <c r="J88" s="479"/>
      <c r="K88" s="480"/>
      <c r="L88" s="481"/>
      <c r="M88" s="482"/>
      <c r="N88" s="931"/>
      <c r="O88" s="931"/>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4.4"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29.4" thickTop="1">
      <c r="A106" s="548"/>
      <c r="B106" s="582" t="s">
        <v>1830</v>
      </c>
      <c r="C106" s="527" t="s">
        <v>1721</v>
      </c>
      <c r="D106" s="527" t="s">
        <v>1722</v>
      </c>
      <c r="E106" s="527" t="s">
        <v>1723</v>
      </c>
      <c r="F106" s="527" t="s">
        <v>1724</v>
      </c>
      <c r="G106" s="527" t="s">
        <v>1725</v>
      </c>
      <c r="H106" s="488"/>
      <c r="I106" s="488"/>
      <c r="J106" s="488"/>
      <c r="K106" s="489"/>
      <c r="L106" s="490"/>
      <c r="M106" s="491"/>
      <c r="N106" s="932"/>
      <c r="O106" s="932"/>
      <c r="P106" s="583"/>
      <c r="Q106" s="584"/>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4.4"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4.4" thickBot="1">
      <c r="A109" s="502"/>
      <c r="B109" s="484"/>
      <c r="C109" s="509"/>
      <c r="D109" s="485"/>
      <c r="E109" s="485"/>
      <c r="F109" s="485"/>
      <c r="G109" s="509"/>
      <c r="H109" s="511"/>
      <c r="I109" s="511"/>
      <c r="J109" s="511"/>
      <c r="K109" s="511"/>
      <c r="L109" s="511"/>
      <c r="M109" s="512"/>
      <c r="N109" s="933"/>
      <c r="O109" s="933"/>
      <c r="P109" s="507"/>
      <c r="Q109" s="508"/>
    </row>
    <row r="110" spans="1:17" ht="14.4" thickTop="1">
      <c r="A110" s="548"/>
      <c r="B110" s="487">
        <f>B39</f>
        <v>111</v>
      </c>
      <c r="C110" s="503"/>
      <c r="D110" s="503"/>
      <c r="E110" s="503"/>
      <c r="F110" s="503"/>
      <c r="G110" s="503"/>
      <c r="H110" s="504"/>
      <c r="I110" s="504"/>
      <c r="J110" s="504"/>
      <c r="K110" s="504"/>
      <c r="L110" s="505"/>
      <c r="M110" s="506"/>
      <c r="N110" s="931"/>
      <c r="O110" s="931"/>
      <c r="P110" s="42"/>
      <c r="Q110" s="453"/>
    </row>
    <row r="111" spans="1:17" ht="14.4" thickBot="1">
      <c r="A111" s="483"/>
      <c r="B111" s="492"/>
      <c r="C111" s="509"/>
      <c r="D111" s="485"/>
      <c r="E111" s="485"/>
      <c r="F111" s="485"/>
      <c r="G111" s="509"/>
      <c r="H111" s="511"/>
      <c r="I111" s="511"/>
      <c r="J111" s="511"/>
      <c r="K111" s="511"/>
      <c r="L111" s="511"/>
      <c r="M111" s="512"/>
      <c r="N111" s="932"/>
      <c r="O111" s="932"/>
      <c r="P111" s="42"/>
      <c r="Q111" s="453"/>
    </row>
    <row r="112" spans="1:17" ht="14.4" thickTop="1">
      <c r="A112" s="548"/>
      <c r="B112" s="495">
        <f>B40</f>
        <v>111</v>
      </c>
      <c r="C112" s="472"/>
      <c r="D112" s="472"/>
      <c r="E112" s="472"/>
      <c r="F112" s="472"/>
      <c r="G112" s="536"/>
      <c r="H112" s="536"/>
      <c r="I112" s="536"/>
      <c r="J112" s="536"/>
      <c r="K112" s="472"/>
      <c r="L112" s="473"/>
      <c r="M112" s="539"/>
      <c r="N112" s="931"/>
      <c r="O112" s="931"/>
      <c r="P112" s="42"/>
      <c r="Q112" s="453"/>
    </row>
    <row r="113" spans="1:17" ht="14.4"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3333</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3"/>
      <c r="Y4" s="3713" t="s">
        <v>1775</v>
      </c>
      <c r="Z4" s="3714"/>
      <c r="AA4" s="3708" t="s">
        <v>1771</v>
      </c>
      <c r="AB4" s="3709" t="s">
        <v>1772</v>
      </c>
      <c r="AC4" s="3708" t="s">
        <v>1773</v>
      </c>
    </row>
    <row r="5" spans="1:29">
      <c r="A5" s="358"/>
      <c r="B5" s="359"/>
      <c r="C5" s="3719" t="s">
        <v>1673</v>
      </c>
      <c r="D5" s="3720"/>
      <c r="E5" s="3717" t="s">
        <v>1674</v>
      </c>
      <c r="F5" s="3718"/>
      <c r="G5" s="3719" t="s">
        <v>1675</v>
      </c>
      <c r="H5" s="3720"/>
      <c r="I5" s="3719" t="s">
        <v>1676</v>
      </c>
      <c r="J5" s="3720"/>
      <c r="K5" s="559"/>
      <c r="L5" s="2712"/>
      <c r="M5" s="2713"/>
      <c r="N5" s="2713"/>
      <c r="O5" s="2713"/>
      <c r="P5" s="3732"/>
      <c r="Q5" s="3733"/>
      <c r="R5" s="3715"/>
      <c r="S5" s="3716"/>
      <c r="T5" s="3715"/>
      <c r="U5" s="3716"/>
      <c r="V5" s="3738"/>
      <c r="W5" s="3738"/>
      <c r="X5" s="1353"/>
      <c r="Y5" s="3715"/>
      <c r="Z5" s="3716"/>
      <c r="AA5" s="3709"/>
      <c r="AB5" s="3709"/>
      <c r="AC5" s="3709"/>
    </row>
    <row r="6" spans="1:29" ht="15" thickBot="1">
      <c r="A6" s="360"/>
      <c r="B6" s="361"/>
      <c r="C6" s="3721" t="s">
        <v>1677</v>
      </c>
      <c r="D6" s="3722"/>
      <c r="E6" s="3723" t="s">
        <v>1677</v>
      </c>
      <c r="F6" s="3724"/>
      <c r="G6" s="3721" t="s">
        <v>1677</v>
      </c>
      <c r="H6" s="3722"/>
      <c r="I6" s="3721" t="s">
        <v>1677</v>
      </c>
      <c r="J6" s="3722"/>
      <c r="K6" s="559" t="s">
        <v>1678</v>
      </c>
      <c r="L6" s="2712"/>
      <c r="M6" s="2713"/>
      <c r="N6" s="2713"/>
      <c r="O6" s="2713"/>
      <c r="P6" s="3734"/>
      <c r="Q6" s="3735"/>
      <c r="R6" s="3715"/>
      <c r="S6" s="3716"/>
      <c r="T6" s="3736"/>
      <c r="U6" s="3737"/>
      <c r="V6" s="3738"/>
      <c r="W6" s="3738"/>
      <c r="X6" s="1353"/>
      <c r="Y6" s="3736"/>
      <c r="Z6" s="3737"/>
      <c r="AA6" s="3710"/>
      <c r="AB6" s="3710"/>
      <c r="AC6" s="3710"/>
    </row>
    <row r="7" spans="1:29" s="108" customFormat="1" ht="15" thickBot="1">
      <c r="A7" s="362" t="s">
        <v>1679</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1" t="s">
        <v>1680</v>
      </c>
      <c r="Q7" s="3739"/>
      <c r="R7" s="699" t="s">
        <v>14</v>
      </c>
      <c r="S7" s="700">
        <f t="shared" ref="S7:S14" si="0">F7</f>
        <v>0</v>
      </c>
      <c r="T7" s="699" t="s">
        <v>14</v>
      </c>
      <c r="U7" s="700">
        <f t="shared" ref="U7:U14" si="1">H7</f>
        <v>0</v>
      </c>
      <c r="V7" s="699" t="s">
        <v>14</v>
      </c>
      <c r="W7" s="700">
        <f t="shared" ref="W7:W14" si="2">J7</f>
        <v>0</v>
      </c>
      <c r="X7" s="701"/>
      <c r="Y7" s="3711" t="s">
        <v>1680</v>
      </c>
      <c r="Z7" s="3712"/>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1" t="s">
        <v>1683</v>
      </c>
      <c r="Q8" s="3712"/>
      <c r="R8" s="699" t="s">
        <v>14</v>
      </c>
      <c r="S8" s="700">
        <f t="shared" si="0"/>
        <v>100</v>
      </c>
      <c r="T8" s="699" t="s">
        <v>14</v>
      </c>
      <c r="U8" s="700">
        <f t="shared" si="1"/>
        <v>100</v>
      </c>
      <c r="V8" s="699" t="s">
        <v>14</v>
      </c>
      <c r="W8" s="700">
        <f t="shared" si="2"/>
        <v>100</v>
      </c>
      <c r="X8" s="701"/>
      <c r="Y8" s="3711" t="s">
        <v>1683</v>
      </c>
      <c r="Z8" s="3712"/>
      <c r="AA8" s="702">
        <f t="shared" ref="AA8:AA36" si="3">D8/F8</f>
        <v>1</v>
      </c>
      <c r="AB8" s="702">
        <f t="shared" ref="AB8:AB36" si="4">D8/H8</f>
        <v>1</v>
      </c>
      <c r="AC8" s="702">
        <f t="shared" ref="AC8:AC36" si="5">D8/J8</f>
        <v>1</v>
      </c>
    </row>
    <row r="9" spans="1:29" s="108" customFormat="1" ht="14.4">
      <c r="A9" s="60" t="s">
        <v>1684</v>
      </c>
      <c r="B9" s="586"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3" t="s">
        <v>1686</v>
      </c>
      <c r="Q9" s="1341"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8.8">
      <c r="A10" s="587"/>
      <c r="B10" s="588"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3"/>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3"/>
      <c r="Q11" s="1341">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3"/>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6"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3"/>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6.6">
      <c r="A14" s="355" t="s">
        <v>1690</v>
      </c>
      <c r="B14" s="575"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45" t="s">
        <v>1691</v>
      </c>
      <c r="Q14" s="1350" t="str">
        <f t="shared" si="6"/>
        <v>交通便捷度</v>
      </c>
      <c r="R14" s="703" t="s">
        <v>14</v>
      </c>
      <c r="S14" s="704">
        <f t="shared" si="0"/>
        <v>100</v>
      </c>
      <c r="T14" s="703" t="s">
        <v>14</v>
      </c>
      <c r="U14" s="704">
        <f t="shared" si="1"/>
        <v>100</v>
      </c>
      <c r="V14" s="703" t="s">
        <v>14</v>
      </c>
      <c r="W14" s="704">
        <f t="shared" si="2"/>
        <v>100</v>
      </c>
      <c r="X14" s="1353"/>
      <c r="Y14" s="3745" t="s">
        <v>1691</v>
      </c>
      <c r="Z14" s="1354" t="str">
        <f t="shared" si="7"/>
        <v>交通便捷度</v>
      </c>
      <c r="AA14" s="1351">
        <f t="shared" si="3"/>
        <v>1</v>
      </c>
      <c r="AB14" s="1351">
        <f t="shared" si="4"/>
        <v>1</v>
      </c>
      <c r="AC14" s="1351">
        <f t="shared" si="5"/>
        <v>1</v>
      </c>
    </row>
    <row r="15" spans="1:29" ht="15">
      <c r="A15" s="358"/>
      <c r="B15" s="593"/>
      <c r="C15" s="398"/>
      <c r="D15" s="399"/>
      <c r="E15" s="398"/>
      <c r="F15" s="400"/>
      <c r="G15" s="398"/>
      <c r="H15" s="401"/>
      <c r="I15" s="398"/>
      <c r="J15" s="399"/>
      <c r="K15" s="564"/>
      <c r="L15" s="2719"/>
      <c r="M15" s="2713"/>
      <c r="N15" s="2713"/>
      <c r="O15" s="2713"/>
      <c r="P15" s="3746"/>
      <c r="Q15" s="1350"/>
      <c r="R15" s="703"/>
      <c r="S15" s="704"/>
      <c r="T15" s="703"/>
      <c r="U15" s="704"/>
      <c r="V15" s="703"/>
      <c r="W15" s="704"/>
      <c r="X15" s="1353"/>
      <c r="Y15" s="3746"/>
      <c r="Z15" s="1354"/>
      <c r="AA15" s="1351">
        <v>1</v>
      </c>
      <c r="AB15" s="1351">
        <v>1</v>
      </c>
      <c r="AC15" s="1351">
        <v>1</v>
      </c>
    </row>
    <row r="16" spans="1:29" ht="41.4">
      <c r="A16" s="358"/>
      <c r="B16" s="577"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46"/>
      <c r="Q16" s="1350" t="str">
        <f>B16</f>
        <v>公共配套设施</v>
      </c>
      <c r="R16" s="703" t="s">
        <v>14</v>
      </c>
      <c r="S16" s="704">
        <f>F16</f>
        <v>100</v>
      </c>
      <c r="T16" s="703" t="s">
        <v>14</v>
      </c>
      <c r="U16" s="704">
        <f>H16</f>
        <v>100</v>
      </c>
      <c r="V16" s="703" t="s">
        <v>14</v>
      </c>
      <c r="W16" s="704">
        <f>J16</f>
        <v>100</v>
      </c>
      <c r="X16" s="1353"/>
      <c r="Y16" s="3746"/>
      <c r="Z16" s="1354" t="str">
        <f>Q16</f>
        <v>公共配套设施</v>
      </c>
      <c r="AA16" s="1351">
        <f t="shared" si="3"/>
        <v>1</v>
      </c>
      <c r="AB16" s="1351">
        <f t="shared" si="4"/>
        <v>1</v>
      </c>
      <c r="AC16" s="1351">
        <f t="shared" si="5"/>
        <v>1</v>
      </c>
    </row>
    <row r="17" spans="1:29" ht="15">
      <c r="A17" s="358"/>
      <c r="B17" s="578"/>
      <c r="C17" s="1899"/>
      <c r="D17" s="399"/>
      <c r="E17" s="398"/>
      <c r="F17" s="400"/>
      <c r="G17" s="398"/>
      <c r="H17" s="399"/>
      <c r="I17" s="398"/>
      <c r="J17" s="399"/>
      <c r="K17" s="564"/>
      <c r="L17" s="2719"/>
      <c r="M17" s="2713"/>
      <c r="N17" s="2713"/>
      <c r="O17" s="2713"/>
      <c r="P17" s="3746"/>
      <c r="Q17" s="1350"/>
      <c r="R17" s="703"/>
      <c r="S17" s="704"/>
      <c r="T17" s="703"/>
      <c r="U17" s="704"/>
      <c r="V17" s="703"/>
      <c r="W17" s="704"/>
      <c r="X17" s="1353"/>
      <c r="Y17" s="3746"/>
      <c r="Z17" s="1354"/>
      <c r="AA17" s="1351">
        <v>1</v>
      </c>
      <c r="AB17" s="1351">
        <v>1</v>
      </c>
      <c r="AC17" s="1351">
        <v>1</v>
      </c>
    </row>
    <row r="18" spans="1:29" ht="41.4">
      <c r="A18" s="358"/>
      <c r="B18" s="579"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46"/>
      <c r="Q18" s="1350" t="str">
        <f>B18</f>
        <v>基础设施水平</v>
      </c>
      <c r="R18" s="703" t="s">
        <v>14</v>
      </c>
      <c r="S18" s="704">
        <f>F18</f>
        <v>100</v>
      </c>
      <c r="T18" s="703" t="s">
        <v>14</v>
      </c>
      <c r="U18" s="704">
        <f>H18</f>
        <v>100</v>
      </c>
      <c r="V18" s="703" t="s">
        <v>14</v>
      </c>
      <c r="W18" s="704">
        <f>J18</f>
        <v>100</v>
      </c>
      <c r="X18" s="1353"/>
      <c r="Y18" s="3746"/>
      <c r="Z18" s="1354" t="str">
        <f>Q18</f>
        <v>基础设施水平</v>
      </c>
      <c r="AA18" s="1351">
        <f t="shared" ref="AA18" si="8">D18/F18</f>
        <v>1</v>
      </c>
      <c r="AB18" s="1351">
        <f t="shared" ref="AB18" si="9">D18/H18</f>
        <v>1</v>
      </c>
      <c r="AC18" s="1351">
        <f t="shared" ref="AC18" si="10">D18/J18</f>
        <v>1</v>
      </c>
    </row>
    <row r="19" spans="1:29" ht="15">
      <c r="A19" s="358"/>
      <c r="B19" s="579"/>
      <c r="C19" s="1899"/>
      <c r="D19" s="401"/>
      <c r="E19" s="1899"/>
      <c r="F19" s="404"/>
      <c r="G19" s="1899"/>
      <c r="H19" s="399"/>
      <c r="I19" s="398"/>
      <c r="J19" s="399"/>
      <c r="K19" s="1128"/>
      <c r="L19" s="2719"/>
      <c r="M19" s="2713"/>
      <c r="N19" s="2713"/>
      <c r="O19" s="2713"/>
      <c r="P19" s="3746"/>
      <c r="Q19" s="1350"/>
      <c r="R19" s="703"/>
      <c r="S19" s="704"/>
      <c r="T19" s="703"/>
      <c r="U19" s="704"/>
      <c r="V19" s="703"/>
      <c r="W19" s="704"/>
      <c r="X19" s="1353"/>
      <c r="Y19" s="3746"/>
      <c r="Z19" s="1354"/>
      <c r="AA19" s="1351">
        <v>1</v>
      </c>
      <c r="AB19" s="1351">
        <v>1</v>
      </c>
      <c r="AC19" s="1351">
        <v>1</v>
      </c>
    </row>
    <row r="20" spans="1:29" ht="55.2">
      <c r="A20" s="358"/>
      <c r="B20" s="577"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46"/>
      <c r="Q20" s="1350" t="str">
        <f>B20</f>
        <v>自然及人文环境</v>
      </c>
      <c r="R20" s="703" t="s">
        <v>14</v>
      </c>
      <c r="S20" s="704">
        <f>F20</f>
        <v>100</v>
      </c>
      <c r="T20" s="703" t="s">
        <v>14</v>
      </c>
      <c r="U20" s="704">
        <f>H20</f>
        <v>100</v>
      </c>
      <c r="V20" s="703" t="s">
        <v>14</v>
      </c>
      <c r="W20" s="704">
        <f>J20</f>
        <v>100</v>
      </c>
      <c r="X20" s="1353"/>
      <c r="Y20" s="3746"/>
      <c r="Z20" s="1354" t="str">
        <f>Q20</f>
        <v>自然及人文环境</v>
      </c>
      <c r="AA20" s="1351">
        <f t="shared" si="3"/>
        <v>1</v>
      </c>
      <c r="AB20" s="1351">
        <f t="shared" si="4"/>
        <v>1</v>
      </c>
      <c r="AC20" s="1351">
        <f t="shared" si="5"/>
        <v>1</v>
      </c>
    </row>
    <row r="21" spans="1:29" ht="15">
      <c r="A21" s="358"/>
      <c r="B21" s="578"/>
      <c r="C21" s="398"/>
      <c r="D21" s="399"/>
      <c r="E21" s="398"/>
      <c r="F21" s="400"/>
      <c r="G21" s="398"/>
      <c r="H21" s="399"/>
      <c r="I21" s="398"/>
      <c r="J21" s="399"/>
      <c r="K21" s="564"/>
      <c r="L21" s="2719"/>
      <c r="M21" s="2713"/>
      <c r="N21" s="2713"/>
      <c r="O21" s="2713"/>
      <c r="P21" s="3746"/>
      <c r="Q21" s="1350"/>
      <c r="R21" s="703"/>
      <c r="S21" s="704"/>
      <c r="T21" s="703"/>
      <c r="U21" s="704"/>
      <c r="V21" s="703"/>
      <c r="W21" s="704"/>
      <c r="X21" s="1353"/>
      <c r="Y21" s="3746"/>
      <c r="Z21" s="1354"/>
      <c r="AA21" s="1351">
        <v>1</v>
      </c>
      <c r="AB21" s="1351">
        <v>1</v>
      </c>
      <c r="AC21" s="1351">
        <v>1</v>
      </c>
    </row>
    <row r="22" spans="1:29" ht="15">
      <c r="A22" s="358"/>
      <c r="B22" s="577"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46"/>
      <c r="Q22" s="1350" t="str">
        <f>B22</f>
        <v>楼层</v>
      </c>
      <c r="R22" s="703" t="s">
        <v>14</v>
      </c>
      <c r="S22" s="704">
        <f>F22</f>
        <v>100</v>
      </c>
      <c r="T22" s="703" t="s">
        <v>14</v>
      </c>
      <c r="U22" s="704">
        <f>H22</f>
        <v>100</v>
      </c>
      <c r="V22" s="703" t="s">
        <v>14</v>
      </c>
      <c r="W22" s="704">
        <f>J22</f>
        <v>100</v>
      </c>
      <c r="X22" s="1353"/>
      <c r="Y22" s="3746"/>
      <c r="Z22" s="1354" t="str">
        <f>Q22</f>
        <v>楼层</v>
      </c>
      <c r="AA22" s="1351">
        <f t="shared" si="3"/>
        <v>1</v>
      </c>
      <c r="AB22" s="1351">
        <f t="shared" si="4"/>
        <v>1</v>
      </c>
      <c r="AC22" s="1351">
        <f t="shared" si="5"/>
        <v>1</v>
      </c>
    </row>
    <row r="23" spans="1:29" ht="15">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46"/>
      <c r="Q23" s="1350">
        <f>B23</f>
        <v>111</v>
      </c>
      <c r="R23" s="703" t="s">
        <v>14</v>
      </c>
      <c r="S23" s="704">
        <f>F23</f>
        <v>100</v>
      </c>
      <c r="T23" s="703" t="s">
        <v>14</v>
      </c>
      <c r="U23" s="704">
        <f>H23</f>
        <v>100</v>
      </c>
      <c r="V23" s="703" t="s">
        <v>14</v>
      </c>
      <c r="W23" s="704">
        <f>J23</f>
        <v>100</v>
      </c>
      <c r="X23" s="1353"/>
      <c r="Y23" s="3746"/>
      <c r="Z23" s="1354">
        <f>Q23</f>
        <v>111</v>
      </c>
      <c r="AA23" s="1351">
        <f t="shared" si="3"/>
        <v>1</v>
      </c>
      <c r="AB23" s="1351">
        <f t="shared" si="4"/>
        <v>1</v>
      </c>
      <c r="AC23" s="1351">
        <f t="shared" si="5"/>
        <v>1</v>
      </c>
    </row>
    <row r="24" spans="1:29" ht="15">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46"/>
      <c r="Q24" s="1350">
        <f t="shared" ref="Q24:Q36" si="11">B24</f>
        <v>111</v>
      </c>
      <c r="R24" s="703" t="s">
        <v>14</v>
      </c>
      <c r="S24" s="704">
        <f>F24</f>
        <v>100</v>
      </c>
      <c r="T24" s="703" t="s">
        <v>14</v>
      </c>
      <c r="U24" s="704">
        <f>H24</f>
        <v>100</v>
      </c>
      <c r="V24" s="703" t="s">
        <v>14</v>
      </c>
      <c r="W24" s="704">
        <f>J24</f>
        <v>100</v>
      </c>
      <c r="X24" s="1353"/>
      <c r="Y24" s="3746"/>
      <c r="Z24" s="1354">
        <f>Q24</f>
        <v>111</v>
      </c>
      <c r="AA24" s="1351">
        <f t="shared" si="3"/>
        <v>1</v>
      </c>
      <c r="AB24" s="1351">
        <f t="shared" si="4"/>
        <v>1</v>
      </c>
      <c r="AC24" s="1351">
        <f t="shared" si="5"/>
        <v>1</v>
      </c>
    </row>
    <row r="25" spans="1:29" s="108" customFormat="1" ht="15.6"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2"/>
      <c r="L25" s="2714"/>
      <c r="M25" s="2715"/>
      <c r="N25" s="2715"/>
      <c r="O25" s="2715"/>
      <c r="P25" s="3746"/>
      <c r="Q25" s="1341">
        <f t="shared" si="11"/>
        <v>111</v>
      </c>
      <c r="R25" s="699" t="s">
        <v>14</v>
      </c>
      <c r="S25" s="700">
        <f>F25</f>
        <v>100</v>
      </c>
      <c r="T25" s="699" t="s">
        <v>14</v>
      </c>
      <c r="U25" s="700">
        <f>H25</f>
        <v>100</v>
      </c>
      <c r="V25" s="699" t="s">
        <v>14</v>
      </c>
      <c r="W25" s="700">
        <f>J25</f>
        <v>100</v>
      </c>
      <c r="X25" s="701"/>
      <c r="Y25" s="3746"/>
      <c r="Z25" s="52">
        <f>Q25</f>
        <v>111</v>
      </c>
      <c r="AA25" s="1351">
        <f>D25/F25</f>
        <v>1</v>
      </c>
      <c r="AB25" s="1351">
        <f>D25/H25</f>
        <v>1</v>
      </c>
      <c r="AC25" s="1351">
        <f>D25/J25</f>
        <v>1</v>
      </c>
    </row>
    <row r="26" spans="1:29" ht="30">
      <c r="A26" s="598"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1"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50" t="s">
        <v>1696</v>
      </c>
      <c r="Z26" s="1354" t="str">
        <f t="shared" ref="Z26:Z36" si="15">Q26</f>
        <v>配套类型</v>
      </c>
      <c r="AA26" s="1351" t="e">
        <f t="shared" si="3"/>
        <v>#DIV/0!</v>
      </c>
      <c r="AB26" s="1351" t="e">
        <f t="shared" si="4"/>
        <v>#DIV/0!</v>
      </c>
      <c r="AC26" s="1351" t="e">
        <f t="shared" si="5"/>
        <v>#DIV/0!</v>
      </c>
    </row>
    <row r="27" spans="1:29" s="422" customFormat="1" ht="15">
      <c r="A27" s="599"/>
      <c r="B27" s="600" t="s">
        <v>1837</v>
      </c>
      <c r="C27" s="601"/>
      <c r="D27" s="127">
        <v>100</v>
      </c>
      <c r="E27" s="601"/>
      <c r="F27" s="412">
        <f>SUMIF(81:81,E27,82:82)-SUMIF(81:81,C27,82:82)+100</f>
        <v>100</v>
      </c>
      <c r="G27" s="601"/>
      <c r="H27" s="386">
        <f>SUMIF(81:81,G27,82:82)-SUMIF(81:81,C27,82:82)+100</f>
        <v>100</v>
      </c>
      <c r="I27" s="601"/>
      <c r="J27" s="386">
        <f>SUMIF(81:81,I27,82:82)-SUMIF(81:81,C27,82:82)+100</f>
        <v>100</v>
      </c>
      <c r="K27" s="562"/>
      <c r="L27" s="2718"/>
      <c r="M27" s="2720"/>
      <c r="N27" s="2720"/>
      <c r="O27" s="2720"/>
      <c r="P27" s="3750"/>
      <c r="Q27" s="705" t="str">
        <f t="shared" si="11"/>
        <v>项目停车位配比</v>
      </c>
      <c r="R27" s="706" t="s">
        <v>14</v>
      </c>
      <c r="S27" s="707">
        <f t="shared" si="12"/>
        <v>100</v>
      </c>
      <c r="T27" s="706" t="s">
        <v>14</v>
      </c>
      <c r="U27" s="707">
        <f t="shared" si="13"/>
        <v>100</v>
      </c>
      <c r="V27" s="706" t="s">
        <v>14</v>
      </c>
      <c r="W27" s="707">
        <f t="shared" si="14"/>
        <v>100</v>
      </c>
      <c r="X27" s="708"/>
      <c r="Y27" s="3750"/>
      <c r="Z27" s="709" t="str">
        <f t="shared" si="15"/>
        <v>项目停车位配比</v>
      </c>
      <c r="AA27" s="1351">
        <f t="shared" si="3"/>
        <v>1</v>
      </c>
      <c r="AB27" s="1351">
        <f t="shared" si="4"/>
        <v>1</v>
      </c>
      <c r="AC27" s="1351">
        <f t="shared" si="5"/>
        <v>1</v>
      </c>
    </row>
    <row r="28" spans="1:29" ht="15">
      <c r="A28" s="602"/>
      <c r="B28" s="600"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50"/>
      <c r="Q28" s="1350" t="str">
        <f t="shared" si="11"/>
        <v>公共部分装修</v>
      </c>
      <c r="R28" s="703" t="s">
        <v>14</v>
      </c>
      <c r="S28" s="704">
        <f t="shared" si="12"/>
        <v>100</v>
      </c>
      <c r="T28" s="703" t="s">
        <v>14</v>
      </c>
      <c r="U28" s="704">
        <f t="shared" si="13"/>
        <v>100</v>
      </c>
      <c r="V28" s="703" t="s">
        <v>14</v>
      </c>
      <c r="W28" s="704">
        <f t="shared" si="14"/>
        <v>100</v>
      </c>
      <c r="X28" s="1353"/>
      <c r="Y28" s="3750"/>
      <c r="Z28" s="1354" t="str">
        <f t="shared" si="15"/>
        <v>公共部分装修</v>
      </c>
      <c r="AA28" s="1351">
        <f t="shared" si="3"/>
        <v>1</v>
      </c>
      <c r="AB28" s="1351">
        <f t="shared" si="4"/>
        <v>1</v>
      </c>
      <c r="AC28" s="1351">
        <f t="shared" si="5"/>
        <v>1</v>
      </c>
    </row>
    <row r="29" spans="1:29" ht="15">
      <c r="A29" s="602"/>
      <c r="B29" s="600"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50"/>
      <c r="Q29" s="1350" t="str">
        <f t="shared" si="11"/>
        <v>成新率</v>
      </c>
      <c r="R29" s="703" t="s">
        <v>14</v>
      </c>
      <c r="S29" s="704" t="e">
        <f t="shared" si="12"/>
        <v>#N/A</v>
      </c>
      <c r="T29" s="703" t="s">
        <v>14</v>
      </c>
      <c r="U29" s="704" t="e">
        <f t="shared" si="13"/>
        <v>#N/A</v>
      </c>
      <c r="V29" s="703" t="s">
        <v>14</v>
      </c>
      <c r="W29" s="704" t="e">
        <f t="shared" si="14"/>
        <v>#N/A</v>
      </c>
      <c r="X29" s="1353"/>
      <c r="Y29" s="3750"/>
      <c r="Z29" s="1354" t="str">
        <f t="shared" si="15"/>
        <v>成新率</v>
      </c>
      <c r="AA29" s="1351" t="e">
        <f t="shared" si="3"/>
        <v>#N/A</v>
      </c>
      <c r="AB29" s="1351" t="e">
        <f t="shared" si="4"/>
        <v>#N/A</v>
      </c>
      <c r="AC29" s="1351" t="e">
        <f t="shared" si="5"/>
        <v>#N/A</v>
      </c>
    </row>
    <row r="30" spans="1:29" ht="15">
      <c r="A30" s="602"/>
      <c r="B30" s="600" t="s">
        <v>1840</v>
      </c>
      <c r="C30" s="603"/>
      <c r="D30" s="386">
        <v>100</v>
      </c>
      <c r="E30" s="603"/>
      <c r="F30" s="412">
        <f>SUMIF(88:88,E30,89:89)-SUMIF(88:88,C30,89:89)+100</f>
        <v>100</v>
      </c>
      <c r="G30" s="603"/>
      <c r="H30" s="386">
        <f>SUMIF(88:88,E30,89:89)-SUMIF(88:88,C30,89:89)+100</f>
        <v>100</v>
      </c>
      <c r="I30" s="603"/>
      <c r="J30" s="386">
        <f>SUMIF(88:88,E30,89:89)-SUMIF(88:88,C30,89:89)+100</f>
        <v>100</v>
      </c>
      <c r="K30" s="561"/>
      <c r="L30" s="2719"/>
      <c r="M30" s="2713"/>
      <c r="N30" s="2713"/>
      <c r="O30" s="2713"/>
      <c r="P30" s="3750"/>
      <c r="Q30" s="1350" t="str">
        <f t="shared" si="11"/>
        <v>物业等级</v>
      </c>
      <c r="R30" s="703" t="s">
        <v>14</v>
      </c>
      <c r="S30" s="704">
        <f t="shared" si="12"/>
        <v>100</v>
      </c>
      <c r="T30" s="703" t="s">
        <v>14</v>
      </c>
      <c r="U30" s="704">
        <f t="shared" si="13"/>
        <v>100</v>
      </c>
      <c r="V30" s="703" t="s">
        <v>14</v>
      </c>
      <c r="W30" s="704">
        <f t="shared" si="14"/>
        <v>100</v>
      </c>
      <c r="X30" s="1353"/>
      <c r="Y30" s="3750"/>
      <c r="Z30" s="1354" t="str">
        <f t="shared" si="15"/>
        <v>物业等级</v>
      </c>
      <c r="AA30" s="1351">
        <f t="shared" si="3"/>
        <v>1</v>
      </c>
      <c r="AB30" s="1351">
        <f t="shared" si="4"/>
        <v>1</v>
      </c>
      <c r="AC30" s="1351">
        <f t="shared" si="5"/>
        <v>1</v>
      </c>
    </row>
    <row r="31" spans="1:29" s="108" customFormat="1" ht="15">
      <c r="A31" s="604"/>
      <c r="B31" s="600"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50"/>
      <c r="Q31" s="1341" t="str">
        <f t="shared" si="11"/>
        <v>停车位面积</v>
      </c>
      <c r="R31" s="699" t="s">
        <v>14</v>
      </c>
      <c r="S31" s="700" t="e">
        <f t="shared" si="12"/>
        <v>#N/A</v>
      </c>
      <c r="T31" s="699" t="s">
        <v>14</v>
      </c>
      <c r="U31" s="700" t="e">
        <f t="shared" si="13"/>
        <v>#N/A</v>
      </c>
      <c r="V31" s="699" t="s">
        <v>14</v>
      </c>
      <c r="W31" s="700" t="e">
        <f t="shared" si="14"/>
        <v>#N/A</v>
      </c>
      <c r="X31" s="701"/>
      <c r="Y31" s="3750"/>
      <c r="Z31" s="52" t="str">
        <f t="shared" si="15"/>
        <v>停车位面积</v>
      </c>
      <c r="AA31" s="702" t="e">
        <f t="shared" si="3"/>
        <v>#N/A</v>
      </c>
      <c r="AB31" s="702" t="e">
        <f t="shared" si="4"/>
        <v>#N/A</v>
      </c>
      <c r="AC31" s="702" t="e">
        <f t="shared" si="5"/>
        <v>#N/A</v>
      </c>
    </row>
    <row r="32" spans="1:29" ht="15">
      <c r="A32" s="602"/>
      <c r="B32" s="600"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50" t="s">
        <v>1696</v>
      </c>
      <c r="Q32" s="1350" t="str">
        <f t="shared" si="11"/>
        <v>车位类型</v>
      </c>
      <c r="R32" s="703" t="s">
        <v>14</v>
      </c>
      <c r="S32" s="704">
        <f t="shared" si="12"/>
        <v>100</v>
      </c>
      <c r="T32" s="703" t="s">
        <v>14</v>
      </c>
      <c r="U32" s="704">
        <f t="shared" si="13"/>
        <v>100</v>
      </c>
      <c r="V32" s="703" t="s">
        <v>14</v>
      </c>
      <c r="W32" s="704">
        <f t="shared" si="14"/>
        <v>100</v>
      </c>
      <c r="X32" s="1353"/>
      <c r="Y32" s="3750" t="s">
        <v>1696</v>
      </c>
      <c r="Z32" s="1354" t="str">
        <f t="shared" si="15"/>
        <v>车位类型</v>
      </c>
      <c r="AA32" s="1351">
        <f t="shared" si="3"/>
        <v>1</v>
      </c>
      <c r="AB32" s="1351">
        <f t="shared" si="4"/>
        <v>1</v>
      </c>
      <c r="AC32" s="1351">
        <f t="shared" si="5"/>
        <v>1</v>
      </c>
    </row>
    <row r="33" spans="1:29" ht="15">
      <c r="A33" s="602"/>
      <c r="B33" s="600"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50"/>
      <c r="Q33" s="1350" t="str">
        <f t="shared" si="11"/>
        <v>是否直接入户</v>
      </c>
      <c r="R33" s="703" t="s">
        <v>14</v>
      </c>
      <c r="S33" s="704">
        <f t="shared" si="12"/>
        <v>100</v>
      </c>
      <c r="T33" s="703" t="s">
        <v>14</v>
      </c>
      <c r="U33" s="704">
        <f t="shared" si="13"/>
        <v>100</v>
      </c>
      <c r="V33" s="703" t="s">
        <v>14</v>
      </c>
      <c r="W33" s="704">
        <f t="shared" si="14"/>
        <v>100</v>
      </c>
      <c r="X33" s="1353"/>
      <c r="Y33" s="3750"/>
      <c r="Z33" s="1354" t="str">
        <f t="shared" si="15"/>
        <v>是否直接入户</v>
      </c>
      <c r="AA33" s="1351">
        <f t="shared" si="3"/>
        <v>1</v>
      </c>
      <c r="AB33" s="1351">
        <f t="shared" si="4"/>
        <v>1</v>
      </c>
      <c r="AC33" s="1351">
        <f t="shared" si="5"/>
        <v>1</v>
      </c>
    </row>
    <row r="34" spans="1:29" ht="15">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50"/>
      <c r="Q34" s="1350">
        <f t="shared" si="11"/>
        <v>111</v>
      </c>
      <c r="R34" s="703" t="s">
        <v>14</v>
      </c>
      <c r="S34" s="704">
        <f t="shared" si="12"/>
        <v>100</v>
      </c>
      <c r="T34" s="703" t="s">
        <v>14</v>
      </c>
      <c r="U34" s="704">
        <f t="shared" si="13"/>
        <v>100</v>
      </c>
      <c r="V34" s="703" t="s">
        <v>14</v>
      </c>
      <c r="W34" s="704">
        <f t="shared" si="14"/>
        <v>100</v>
      </c>
      <c r="X34" s="1353"/>
      <c r="Y34" s="3750"/>
      <c r="Z34" s="1354">
        <f t="shared" si="15"/>
        <v>111</v>
      </c>
      <c r="AA34" s="1351">
        <f t="shared" si="3"/>
        <v>1</v>
      </c>
      <c r="AB34" s="1351">
        <f t="shared" si="4"/>
        <v>1</v>
      </c>
      <c r="AC34" s="1351">
        <f t="shared" si="5"/>
        <v>1</v>
      </c>
    </row>
    <row r="35" spans="1:29" s="422" customFormat="1" ht="15">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50"/>
      <c r="Q35" s="705">
        <f t="shared" si="11"/>
        <v>111</v>
      </c>
      <c r="R35" s="706" t="s">
        <v>14</v>
      </c>
      <c r="S35" s="707">
        <f t="shared" si="12"/>
        <v>100</v>
      </c>
      <c r="T35" s="706" t="s">
        <v>14</v>
      </c>
      <c r="U35" s="707">
        <f t="shared" si="13"/>
        <v>100</v>
      </c>
      <c r="V35" s="706" t="s">
        <v>14</v>
      </c>
      <c r="W35" s="707">
        <f t="shared" si="14"/>
        <v>100</v>
      </c>
      <c r="X35" s="708"/>
      <c r="Y35" s="3750"/>
      <c r="Z35" s="709">
        <f t="shared" si="15"/>
        <v>111</v>
      </c>
      <c r="AA35" s="1351">
        <f t="shared" si="3"/>
        <v>1</v>
      </c>
      <c r="AB35" s="1351">
        <f t="shared" si="4"/>
        <v>1</v>
      </c>
      <c r="AC35" s="1351">
        <f t="shared" si="5"/>
        <v>1</v>
      </c>
    </row>
    <row r="36" spans="1:29" ht="15.6"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50"/>
      <c r="Q36" s="1350">
        <f t="shared" si="11"/>
        <v>111</v>
      </c>
      <c r="R36" s="703" t="s">
        <v>14</v>
      </c>
      <c r="S36" s="704">
        <f t="shared" si="12"/>
        <v>100</v>
      </c>
      <c r="T36" s="703" t="s">
        <v>14</v>
      </c>
      <c r="U36" s="704">
        <f t="shared" si="13"/>
        <v>100</v>
      </c>
      <c r="V36" s="703" t="s">
        <v>14</v>
      </c>
      <c r="W36" s="704">
        <f t="shared" si="14"/>
        <v>100</v>
      </c>
      <c r="X36" s="1353"/>
      <c r="Y36" s="3750"/>
      <c r="Z36" s="1354">
        <f t="shared" si="15"/>
        <v>111</v>
      </c>
      <c r="AA36" s="1351">
        <f t="shared" si="3"/>
        <v>1</v>
      </c>
      <c r="AB36" s="1351">
        <f t="shared" si="4"/>
        <v>1</v>
      </c>
      <c r="AC36" s="1351">
        <f t="shared" si="5"/>
        <v>1</v>
      </c>
    </row>
    <row r="37" spans="1:29" ht="14.4">
      <c r="A37" s="430" t="s">
        <v>1844</v>
      </c>
      <c r="B37" s="1971" t="s">
        <v>3353</v>
      </c>
      <c r="C37" s="1152" t="s">
        <v>0</v>
      </c>
      <c r="D37" s="1153"/>
      <c r="E37" s="1154"/>
      <c r="F37" s="1155"/>
      <c r="G37" s="1156"/>
      <c r="H37" s="1157"/>
      <c r="I37" s="1154"/>
      <c r="J37" s="1157"/>
      <c r="K37" s="567"/>
      <c r="L37" s="2721"/>
      <c r="M37" s="2722"/>
      <c r="N37" s="2713"/>
      <c r="O37" s="2722"/>
      <c r="P37" s="3743" t="str">
        <f>A37</f>
        <v>成交单价</v>
      </c>
      <c r="Q37" s="3743"/>
      <c r="R37" s="3744">
        <f>E37</f>
        <v>0</v>
      </c>
      <c r="S37" s="3744"/>
      <c r="T37" s="3744">
        <f>G37</f>
        <v>0</v>
      </c>
      <c r="U37" s="3744"/>
      <c r="V37" s="3744">
        <f>I37</f>
        <v>0</v>
      </c>
      <c r="W37" s="3744"/>
      <c r="X37" s="688"/>
      <c r="Y37" s="710"/>
      <c r="Z37" s="688"/>
      <c r="AA37" s="688"/>
      <c r="AB37" s="688"/>
      <c r="AC37" s="688"/>
    </row>
    <row r="38" spans="1:29" ht="1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21"/>
      <c r="M38" s="2722"/>
      <c r="N38" s="2722"/>
      <c r="O38" s="2722"/>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88"/>
      <c r="Y38" s="688"/>
      <c r="Z38" s="688"/>
      <c r="AA38" s="688"/>
      <c r="AB38" s="688"/>
      <c r="AC38" s="688"/>
    </row>
    <row r="39" spans="1:29" ht="15" thickBot="1">
      <c r="A39" s="441" t="s">
        <v>1846</v>
      </c>
      <c r="B39" s="442"/>
      <c r="C39" s="1161" t="e">
        <f>R39</f>
        <v>#DIV/0!</v>
      </c>
      <c r="D39" s="1161"/>
      <c r="E39" s="1161"/>
      <c r="F39" s="1161"/>
      <c r="G39" s="1161"/>
      <c r="H39" s="1161"/>
      <c r="I39" s="1161"/>
      <c r="J39" s="1161"/>
      <c r="K39" s="568"/>
      <c r="L39" s="2721"/>
      <c r="M39" s="2722"/>
      <c r="N39" s="2722"/>
      <c r="O39" s="2722"/>
      <c r="P39" s="3740" t="str">
        <f>A39</f>
        <v>估价对象XX用房的比较价值（楼面单价，元/平方米）</v>
      </c>
      <c r="Q39" s="3741"/>
      <c r="R39" s="3772" t="e">
        <f>IF(F1="售价",ROUND(IF(D38="简单平均",AVERAGE(R38:W38),R38*F38+T38*H38+V38*J38),0),ROUND(IF(D38="简单平均",AVERAGE(R38:V38),R38*F38+T38*H38+V38*J38),1))</f>
        <v>#DIV/0!</v>
      </c>
      <c r="S39" s="3772"/>
      <c r="T39" s="3772"/>
      <c r="U39" s="3772"/>
      <c r="V39" s="3772"/>
      <c r="W39" s="3772"/>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6"/>
      <c r="Q48" s="2738"/>
      <c r="R48" s="2738"/>
      <c r="S48" s="2738"/>
      <c r="T48" s="2738"/>
      <c r="U48" s="2738"/>
      <c r="V48" s="2738"/>
      <c r="W48" s="2738"/>
      <c r="X48" s="2738"/>
      <c r="Y48" s="2738"/>
      <c r="Z48" s="2738"/>
      <c r="AA48" s="2738"/>
      <c r="AB48" s="2738"/>
      <c r="AC48" s="2738"/>
    </row>
    <row r="49" spans="1:29" s="108" customFormat="1">
      <c r="A49" s="458"/>
      <c r="B49" s="459"/>
      <c r="C49" s="1175">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5">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6">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6" t="s">
        <v>1799</v>
      </c>
      <c r="D67" s="606" t="s">
        <v>1800</v>
      </c>
      <c r="E67" s="606" t="s">
        <v>1801</v>
      </c>
      <c r="F67" s="606" t="s">
        <v>1802</v>
      </c>
      <c r="G67" s="606"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6"/>
      <c r="I68" s="606"/>
      <c r="J68" s="606"/>
      <c r="K68" s="606"/>
      <c r="L68" s="606"/>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7"/>
      <c r="D81" s="607"/>
      <c r="E81" s="607"/>
      <c r="F81" s="607"/>
      <c r="G81" s="607"/>
      <c r="H81" s="607"/>
      <c r="I81" s="607"/>
      <c r="J81" s="607"/>
      <c r="K81" s="608"/>
      <c r="L81" s="609"/>
      <c r="M81" s="610"/>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2">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3334</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3"/>
      <c r="Y4" s="3713" t="s">
        <v>1775</v>
      </c>
      <c r="Z4" s="3714"/>
      <c r="AA4" s="3708" t="s">
        <v>1771</v>
      </c>
      <c r="AB4" s="3709" t="s">
        <v>1772</v>
      </c>
      <c r="AC4" s="3708" t="s">
        <v>1773</v>
      </c>
    </row>
    <row r="5" spans="1:29">
      <c r="A5" s="358"/>
      <c r="B5" s="359"/>
      <c r="C5" s="3719" t="s">
        <v>1673</v>
      </c>
      <c r="D5" s="3720"/>
      <c r="E5" s="3717" t="s">
        <v>1674</v>
      </c>
      <c r="F5" s="3718"/>
      <c r="G5" s="3719" t="s">
        <v>1675</v>
      </c>
      <c r="H5" s="3720"/>
      <c r="I5" s="3719" t="s">
        <v>1676</v>
      </c>
      <c r="J5" s="3720"/>
      <c r="K5" s="559"/>
      <c r="L5" s="2712"/>
      <c r="M5" s="2713"/>
      <c r="N5" s="2713"/>
      <c r="O5" s="2713"/>
      <c r="P5" s="3732"/>
      <c r="Q5" s="3733"/>
      <c r="R5" s="3715"/>
      <c r="S5" s="3716"/>
      <c r="T5" s="3715"/>
      <c r="U5" s="3716"/>
      <c r="V5" s="3738"/>
      <c r="W5" s="3738"/>
      <c r="X5" s="1353"/>
      <c r="Y5" s="3715"/>
      <c r="Z5" s="3716"/>
      <c r="AA5" s="3709"/>
      <c r="AB5" s="3709"/>
      <c r="AC5" s="3709"/>
    </row>
    <row r="6" spans="1:29" ht="15" thickBot="1">
      <c r="A6" s="360"/>
      <c r="B6" s="361"/>
      <c r="C6" s="3721" t="s">
        <v>1677</v>
      </c>
      <c r="D6" s="3722"/>
      <c r="E6" s="3723" t="s">
        <v>1677</v>
      </c>
      <c r="F6" s="3724"/>
      <c r="G6" s="3721" t="s">
        <v>1677</v>
      </c>
      <c r="H6" s="3722"/>
      <c r="I6" s="3721" t="s">
        <v>1677</v>
      </c>
      <c r="J6" s="3722"/>
      <c r="K6" s="559" t="s">
        <v>1678</v>
      </c>
      <c r="L6" s="2712"/>
      <c r="M6" s="2713"/>
      <c r="N6" s="2713"/>
      <c r="O6" s="2713"/>
      <c r="P6" s="3734"/>
      <c r="Q6" s="3735"/>
      <c r="R6" s="3715"/>
      <c r="S6" s="3716"/>
      <c r="T6" s="3736"/>
      <c r="U6" s="3737"/>
      <c r="V6" s="3738"/>
      <c r="W6" s="3738"/>
      <c r="X6" s="1353"/>
      <c r="Y6" s="3736"/>
      <c r="Z6" s="3737"/>
      <c r="AA6" s="3710"/>
      <c r="AB6" s="3710"/>
      <c r="AC6" s="3710"/>
    </row>
    <row r="7" spans="1:29" s="108" customFormat="1" ht="15" thickBot="1">
      <c r="A7" s="362" t="s">
        <v>1679</v>
      </c>
      <c r="B7" s="363"/>
      <c r="C7" s="364">
        <f>'数据-取费表'!B2</f>
        <v>45491</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11" t="s">
        <v>1680</v>
      </c>
      <c r="Q7" s="3739"/>
      <c r="R7" s="699" t="s">
        <v>14</v>
      </c>
      <c r="S7" s="700">
        <f t="shared" ref="S7:S14" si="0">F7</f>
        <v>0</v>
      </c>
      <c r="T7" s="699" t="s">
        <v>14</v>
      </c>
      <c r="U7" s="700">
        <f t="shared" ref="U7:U14" si="1">H7</f>
        <v>0</v>
      </c>
      <c r="V7" s="699" t="s">
        <v>14</v>
      </c>
      <c r="W7" s="700">
        <f t="shared" ref="W7:W14" si="2">J7</f>
        <v>0</v>
      </c>
      <c r="X7" s="701"/>
      <c r="Y7" s="3711" t="s">
        <v>1680</v>
      </c>
      <c r="Z7" s="3712"/>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1" t="s">
        <v>1683</v>
      </c>
      <c r="Q8" s="3712"/>
      <c r="R8" s="699" t="s">
        <v>14</v>
      </c>
      <c r="S8" s="700">
        <f t="shared" si="0"/>
        <v>100</v>
      </c>
      <c r="T8" s="699" t="s">
        <v>14</v>
      </c>
      <c r="U8" s="700">
        <f t="shared" si="1"/>
        <v>100</v>
      </c>
      <c r="V8" s="699" t="s">
        <v>14</v>
      </c>
      <c r="W8" s="700">
        <f t="shared" si="2"/>
        <v>100</v>
      </c>
      <c r="X8" s="701"/>
      <c r="Y8" s="3711" t="s">
        <v>1683</v>
      </c>
      <c r="Z8" s="3712"/>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3" t="s">
        <v>1686</v>
      </c>
      <c r="Q9" s="1341"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3"/>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3"/>
      <c r="Q11" s="1341">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3"/>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43"/>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45" t="s">
        <v>1691</v>
      </c>
      <c r="Q14" s="1350" t="str">
        <f t="shared" si="6"/>
        <v>交通便捷度</v>
      </c>
      <c r="R14" s="703" t="s">
        <v>14</v>
      </c>
      <c r="S14" s="704">
        <f t="shared" si="0"/>
        <v>100</v>
      </c>
      <c r="T14" s="703" t="s">
        <v>14</v>
      </c>
      <c r="U14" s="704">
        <f t="shared" si="1"/>
        <v>100</v>
      </c>
      <c r="V14" s="703" t="s">
        <v>14</v>
      </c>
      <c r="W14" s="704">
        <f t="shared" si="2"/>
        <v>100</v>
      </c>
      <c r="X14" s="1353"/>
      <c r="Y14" s="374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46"/>
      <c r="Q15" s="1350"/>
      <c r="R15" s="703"/>
      <c r="S15" s="704"/>
      <c r="T15" s="703"/>
      <c r="U15" s="704"/>
      <c r="V15" s="703"/>
      <c r="W15" s="704"/>
      <c r="X15" s="1353"/>
      <c r="Y15" s="3746"/>
      <c r="Z15" s="1354"/>
      <c r="AA15" s="1351">
        <v>1</v>
      </c>
      <c r="AB15" s="1351">
        <v>1</v>
      </c>
      <c r="AC15" s="1351">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46"/>
      <c r="Q16" s="1350" t="str">
        <f>B16</f>
        <v>公共配套设施</v>
      </c>
      <c r="R16" s="703" t="s">
        <v>14</v>
      </c>
      <c r="S16" s="704">
        <f>F16</f>
        <v>100</v>
      </c>
      <c r="T16" s="703" t="s">
        <v>14</v>
      </c>
      <c r="U16" s="704">
        <f>H16</f>
        <v>100</v>
      </c>
      <c r="V16" s="703" t="s">
        <v>14</v>
      </c>
      <c r="W16" s="704">
        <f>J16</f>
        <v>100</v>
      </c>
      <c r="X16" s="1353"/>
      <c r="Y16" s="374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46"/>
      <c r="Q17" s="1350"/>
      <c r="R17" s="703"/>
      <c r="S17" s="704"/>
      <c r="T17" s="703"/>
      <c r="U17" s="704"/>
      <c r="V17" s="703"/>
      <c r="W17" s="704"/>
      <c r="X17" s="1353"/>
      <c r="Y17" s="3746"/>
      <c r="Z17" s="1354"/>
      <c r="AA17" s="1351">
        <v>1</v>
      </c>
      <c r="AB17" s="1351">
        <v>1</v>
      </c>
      <c r="AC17" s="1351">
        <v>1</v>
      </c>
    </row>
    <row r="18" spans="1:29" ht="41.4">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46"/>
      <c r="Q18" s="1350" t="str">
        <f>B18</f>
        <v>基础设施水平</v>
      </c>
      <c r="R18" s="703" t="s">
        <v>14</v>
      </c>
      <c r="S18" s="704">
        <f>F18</f>
        <v>100</v>
      </c>
      <c r="T18" s="703" t="s">
        <v>14</v>
      </c>
      <c r="U18" s="704">
        <f>H18</f>
        <v>100</v>
      </c>
      <c r="V18" s="703" t="s">
        <v>14</v>
      </c>
      <c r="W18" s="704">
        <f>J18</f>
        <v>100</v>
      </c>
      <c r="X18" s="1353"/>
      <c r="Y18" s="374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46"/>
      <c r="Q19" s="1350"/>
      <c r="R19" s="703"/>
      <c r="S19" s="704"/>
      <c r="T19" s="703"/>
      <c r="U19" s="704"/>
      <c r="V19" s="703"/>
      <c r="W19" s="704"/>
      <c r="X19" s="1353"/>
      <c r="Y19" s="3746"/>
      <c r="Z19" s="1354"/>
      <c r="AA19" s="1351">
        <v>1</v>
      </c>
      <c r="AB19" s="1351">
        <v>1</v>
      </c>
      <c r="AC19" s="1351">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46"/>
      <c r="Q20" s="1350" t="str">
        <f>B20</f>
        <v>自然及人文环境</v>
      </c>
      <c r="R20" s="703" t="s">
        <v>14</v>
      </c>
      <c r="S20" s="704">
        <f>F20</f>
        <v>100</v>
      </c>
      <c r="T20" s="703" t="s">
        <v>14</v>
      </c>
      <c r="U20" s="704">
        <f>H20</f>
        <v>100</v>
      </c>
      <c r="V20" s="703" t="s">
        <v>14</v>
      </c>
      <c r="W20" s="704">
        <f>J20</f>
        <v>100</v>
      </c>
      <c r="X20" s="1353"/>
      <c r="Y20" s="374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46"/>
      <c r="Q21" s="1350"/>
      <c r="R21" s="703"/>
      <c r="S21" s="704"/>
      <c r="T21" s="703"/>
      <c r="U21" s="704"/>
      <c r="V21" s="703"/>
      <c r="W21" s="704"/>
      <c r="X21" s="1353"/>
      <c r="Y21" s="374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46"/>
      <c r="Q22" s="1350" t="str">
        <f>B22</f>
        <v>楼层</v>
      </c>
      <c r="R22" s="703" t="s">
        <v>14</v>
      </c>
      <c r="S22" s="704">
        <f>F22</f>
        <v>100</v>
      </c>
      <c r="T22" s="703" t="s">
        <v>14</v>
      </c>
      <c r="U22" s="704">
        <f>H22</f>
        <v>100</v>
      </c>
      <c r="V22" s="703" t="s">
        <v>14</v>
      </c>
      <c r="W22" s="704">
        <f>J22</f>
        <v>100</v>
      </c>
      <c r="X22" s="1353"/>
      <c r="Y22" s="374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46"/>
      <c r="Q23" s="1350">
        <f>B23</f>
        <v>111</v>
      </c>
      <c r="R23" s="703" t="s">
        <v>14</v>
      </c>
      <c r="S23" s="704">
        <f>F23</f>
        <v>100</v>
      </c>
      <c r="T23" s="703" t="s">
        <v>14</v>
      </c>
      <c r="U23" s="704">
        <f>H23</f>
        <v>100</v>
      </c>
      <c r="V23" s="703" t="s">
        <v>14</v>
      </c>
      <c r="W23" s="704">
        <f>J23</f>
        <v>100</v>
      </c>
      <c r="X23" s="1353"/>
      <c r="Y23" s="374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46"/>
      <c r="Q24" s="1350">
        <f t="shared" ref="Q24:Q34" si="11">B24</f>
        <v>111</v>
      </c>
      <c r="R24" s="703" t="s">
        <v>14</v>
      </c>
      <c r="S24" s="704">
        <f>F24</f>
        <v>100</v>
      </c>
      <c r="T24" s="703" t="s">
        <v>14</v>
      </c>
      <c r="U24" s="704">
        <f>H24</f>
        <v>100</v>
      </c>
      <c r="V24" s="703" t="s">
        <v>14</v>
      </c>
      <c r="W24" s="704">
        <f>J24</f>
        <v>100</v>
      </c>
      <c r="X24" s="1353"/>
      <c r="Y24" s="3746"/>
      <c r="Z24" s="1354">
        <f>Q24</f>
        <v>111</v>
      </c>
      <c r="AA24" s="1351">
        <f t="shared" si="3"/>
        <v>1</v>
      </c>
      <c r="AB24" s="1351">
        <f t="shared" si="4"/>
        <v>1</v>
      </c>
      <c r="AC24" s="1351">
        <f t="shared" si="5"/>
        <v>1</v>
      </c>
    </row>
    <row r="25" spans="1:29" s="108" customFormat="1" ht="15.6" thickBot="1">
      <c r="A25" s="382"/>
      <c r="B25" s="1891">
        <v>111</v>
      </c>
      <c r="C25" s="1974"/>
      <c r="D25" s="611">
        <v>100</v>
      </c>
      <c r="E25" s="1974"/>
      <c r="F25" s="612">
        <f>SUMIF(75:75,E25,76:76)-SUMIF(75:75,C25,76:76)+100</f>
        <v>100</v>
      </c>
      <c r="G25" s="1974"/>
      <c r="H25" s="611">
        <f>SUMIF(75:75,G25,76:76)-SUMIF(75:75,C25,76:76)+100</f>
        <v>100</v>
      </c>
      <c r="I25" s="1974"/>
      <c r="J25" s="611">
        <f>SUMIF(75:75,I25,76:76)-SUMIF(75:75,C25,76:76)+100</f>
        <v>100</v>
      </c>
      <c r="K25" s="562"/>
      <c r="L25" s="2714"/>
      <c r="M25" s="2715"/>
      <c r="N25" s="2715"/>
      <c r="O25" s="2769"/>
      <c r="P25" s="3746"/>
      <c r="Q25" s="1341">
        <f t="shared" si="11"/>
        <v>111</v>
      </c>
      <c r="R25" s="699" t="s">
        <v>14</v>
      </c>
      <c r="S25" s="700">
        <f>F25</f>
        <v>100</v>
      </c>
      <c r="T25" s="699" t="s">
        <v>14</v>
      </c>
      <c r="U25" s="700">
        <f>H25</f>
        <v>100</v>
      </c>
      <c r="V25" s="699" t="s">
        <v>14</v>
      </c>
      <c r="W25" s="700">
        <f>J25</f>
        <v>100</v>
      </c>
      <c r="X25" s="701"/>
      <c r="Y25" s="3746"/>
      <c r="Z25" s="52">
        <f>Q25</f>
        <v>111</v>
      </c>
      <c r="AA25" s="1351">
        <f>D25/F25</f>
        <v>1</v>
      </c>
      <c r="AB25" s="1351">
        <f>D25/H25</f>
        <v>1</v>
      </c>
      <c r="AC25" s="1351">
        <f>D25/J25</f>
        <v>1</v>
      </c>
    </row>
    <row r="26" spans="1:29" ht="30">
      <c r="A26" s="417" t="s">
        <v>1694</v>
      </c>
      <c r="B26" s="63" t="s">
        <v>1838</v>
      </c>
      <c r="C26" s="1965"/>
      <c r="D26" s="418">
        <v>100</v>
      </c>
      <c r="E26" s="1965"/>
      <c r="F26" s="613">
        <f>SUMIF(77:77,E26,78:78)-SUMIF(77:77,C26,78:78)+100</f>
        <v>100</v>
      </c>
      <c r="G26" s="1965"/>
      <c r="H26" s="418">
        <f>SUMIF(77:77,G26,78:78)-SUMIF(77:77,C26,78:78)+100</f>
        <v>100</v>
      </c>
      <c r="I26" s="1965"/>
      <c r="J26" s="418">
        <f>SUMIF(77:77,I26,78:78)-SUMIF(77:77,C26,78:78)+100</f>
        <v>100</v>
      </c>
      <c r="K26" s="561"/>
      <c r="L26" s="2719"/>
      <c r="M26" s="2713"/>
      <c r="N26" s="2713"/>
      <c r="O26" s="2771"/>
      <c r="P26" s="3771"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5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50"/>
      <c r="Q27" s="705" t="str">
        <f t="shared" si="11"/>
        <v>成新率</v>
      </c>
      <c r="R27" s="706" t="s">
        <v>14</v>
      </c>
      <c r="S27" s="707" t="e">
        <f t="shared" si="12"/>
        <v>#N/A</v>
      </c>
      <c r="T27" s="706" t="s">
        <v>14</v>
      </c>
      <c r="U27" s="707" t="e">
        <f t="shared" si="13"/>
        <v>#N/A</v>
      </c>
      <c r="V27" s="706" t="s">
        <v>14</v>
      </c>
      <c r="W27" s="707" t="e">
        <f t="shared" si="14"/>
        <v>#N/A</v>
      </c>
      <c r="X27" s="708"/>
      <c r="Y27" s="375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50"/>
      <c r="Q28" s="1350" t="str">
        <f t="shared" si="11"/>
        <v>物业等级</v>
      </c>
      <c r="R28" s="703" t="s">
        <v>14</v>
      </c>
      <c r="S28" s="704">
        <f t="shared" si="12"/>
        <v>100</v>
      </c>
      <c r="T28" s="703" t="s">
        <v>14</v>
      </c>
      <c r="U28" s="704">
        <f t="shared" si="13"/>
        <v>100</v>
      </c>
      <c r="V28" s="703" t="s">
        <v>14</v>
      </c>
      <c r="W28" s="704">
        <f t="shared" si="14"/>
        <v>100</v>
      </c>
      <c r="X28" s="1353"/>
      <c r="Y28" s="3750"/>
      <c r="Z28" s="1354" t="str">
        <f t="shared" si="15"/>
        <v>物业等级</v>
      </c>
      <c r="AA28" s="1351">
        <f t="shared" si="3"/>
        <v>1</v>
      </c>
      <c r="AB28" s="1351">
        <f t="shared" si="4"/>
        <v>1</v>
      </c>
      <c r="AC28" s="1351">
        <f t="shared" si="5"/>
        <v>1</v>
      </c>
    </row>
    <row r="29" spans="1:29" ht="15">
      <c r="A29" s="423"/>
      <c r="B29" s="375" t="s">
        <v>1860</v>
      </c>
      <c r="C29" s="603"/>
      <c r="D29" s="386">
        <v>100</v>
      </c>
      <c r="E29" s="603"/>
      <c r="F29" s="412">
        <f>SUMIF(84:84,E29,85:85)-SUMIF(84:84,C29,85:85)+100</f>
        <v>100</v>
      </c>
      <c r="G29" s="603"/>
      <c r="H29" s="386">
        <f>SUMIF(84:84,G29,85:85)-SUMIF(84:84,C29,85:85)+100</f>
        <v>100</v>
      </c>
      <c r="I29" s="603"/>
      <c r="J29" s="386">
        <f>SUMIF(84:84,I29,85:85)-SUMIF(84:84,C29,85:85)+100</f>
        <v>100</v>
      </c>
      <c r="K29" s="561"/>
      <c r="L29" s="2719"/>
      <c r="M29" s="2713"/>
      <c r="N29" s="2713"/>
      <c r="O29" s="2771"/>
      <c r="P29" s="3750"/>
      <c r="Q29" s="1350" t="str">
        <f t="shared" si="11"/>
        <v>有无电梯</v>
      </c>
      <c r="R29" s="703" t="s">
        <v>14</v>
      </c>
      <c r="S29" s="704">
        <f t="shared" si="12"/>
        <v>100</v>
      </c>
      <c r="T29" s="703" t="s">
        <v>14</v>
      </c>
      <c r="U29" s="704">
        <f t="shared" si="13"/>
        <v>100</v>
      </c>
      <c r="V29" s="703" t="s">
        <v>14</v>
      </c>
      <c r="W29" s="704">
        <f t="shared" si="14"/>
        <v>100</v>
      </c>
      <c r="X29" s="1353"/>
      <c r="Y29" s="375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50"/>
      <c r="Q30" s="1350" t="str">
        <f t="shared" si="11"/>
        <v>建筑面积</v>
      </c>
      <c r="R30" s="703" t="s">
        <v>14</v>
      </c>
      <c r="S30" s="704" t="e">
        <f t="shared" si="12"/>
        <v>#N/A</v>
      </c>
      <c r="T30" s="703" t="s">
        <v>14</v>
      </c>
      <c r="U30" s="704" t="e">
        <f t="shared" si="13"/>
        <v>#N/A</v>
      </c>
      <c r="V30" s="703" t="s">
        <v>14</v>
      </c>
      <c r="W30" s="704" t="e">
        <f t="shared" si="14"/>
        <v>#N/A</v>
      </c>
      <c r="X30" s="1353"/>
      <c r="Y30" s="3750"/>
      <c r="Z30" s="1354" t="str">
        <f t="shared" si="15"/>
        <v>建筑面积</v>
      </c>
      <c r="AA30" s="1351" t="e">
        <f t="shared" si="3"/>
        <v>#N/A</v>
      </c>
      <c r="AB30" s="1351" t="e">
        <f t="shared" si="4"/>
        <v>#N/A</v>
      </c>
      <c r="AC30" s="1351" t="e">
        <f t="shared" si="5"/>
        <v>#N/A</v>
      </c>
    </row>
    <row r="31" spans="1:29" s="108" customFormat="1" ht="15">
      <c r="A31" s="424"/>
      <c r="B31" s="375" t="s">
        <v>1862</v>
      </c>
      <c r="C31" s="603"/>
      <c r="D31" s="127">
        <v>100</v>
      </c>
      <c r="E31" s="603"/>
      <c r="F31" s="412">
        <f>SUMIF(89:89,E31,90:90)-SUMIF(89:89,C31,90:90)+100</f>
        <v>100</v>
      </c>
      <c r="G31" s="603"/>
      <c r="H31" s="386">
        <f>SUMIF(89:89,G31,90:90)-SUMIF(89:89,C31,90:90)+100</f>
        <v>100</v>
      </c>
      <c r="I31" s="603"/>
      <c r="J31" s="386">
        <f>SUMIF(89:89,I31,90:90)-SUMIF(89:89,C31,90:90)+100</f>
        <v>100</v>
      </c>
      <c r="K31" s="561"/>
      <c r="L31" s="2714"/>
      <c r="M31" s="2715"/>
      <c r="N31" s="2715"/>
      <c r="O31" s="2769"/>
      <c r="P31" s="3750"/>
      <c r="Q31" s="1341" t="str">
        <f t="shared" si="11"/>
        <v>是否封闭</v>
      </c>
      <c r="R31" s="699" t="s">
        <v>14</v>
      </c>
      <c r="S31" s="700">
        <f t="shared" si="12"/>
        <v>100</v>
      </c>
      <c r="T31" s="699" t="s">
        <v>14</v>
      </c>
      <c r="U31" s="700">
        <f t="shared" si="13"/>
        <v>100</v>
      </c>
      <c r="V31" s="699" t="s">
        <v>14</v>
      </c>
      <c r="W31" s="700">
        <f t="shared" si="14"/>
        <v>100</v>
      </c>
      <c r="X31" s="701"/>
      <c r="Y31" s="375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50" t="s">
        <v>1696</v>
      </c>
      <c r="Q32" s="1350">
        <f t="shared" si="11"/>
        <v>111</v>
      </c>
      <c r="R32" s="703" t="s">
        <v>14</v>
      </c>
      <c r="S32" s="704">
        <f t="shared" si="12"/>
        <v>100</v>
      </c>
      <c r="T32" s="703" t="s">
        <v>14</v>
      </c>
      <c r="U32" s="704">
        <f t="shared" si="13"/>
        <v>100</v>
      </c>
      <c r="V32" s="703" t="s">
        <v>14</v>
      </c>
      <c r="W32" s="704">
        <f t="shared" si="14"/>
        <v>100</v>
      </c>
      <c r="X32" s="1353"/>
      <c r="Y32" s="375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50"/>
      <c r="Q33" s="1350">
        <f t="shared" si="11"/>
        <v>111</v>
      </c>
      <c r="R33" s="703" t="s">
        <v>14</v>
      </c>
      <c r="S33" s="704">
        <f t="shared" si="12"/>
        <v>100</v>
      </c>
      <c r="T33" s="703" t="s">
        <v>14</v>
      </c>
      <c r="U33" s="704">
        <f t="shared" si="13"/>
        <v>100</v>
      </c>
      <c r="V33" s="703" t="s">
        <v>14</v>
      </c>
      <c r="W33" s="704">
        <f t="shared" si="14"/>
        <v>100</v>
      </c>
      <c r="X33" s="1353"/>
      <c r="Y33" s="3750"/>
      <c r="Z33" s="1354">
        <f t="shared" si="15"/>
        <v>111</v>
      </c>
      <c r="AA33" s="1351">
        <f t="shared" si="3"/>
        <v>1</v>
      </c>
      <c r="AB33" s="1351">
        <f t="shared" si="4"/>
        <v>1</v>
      </c>
      <c r="AC33" s="1351">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50"/>
      <c r="Q34" s="1350">
        <f t="shared" si="11"/>
        <v>111</v>
      </c>
      <c r="R34" s="703" t="s">
        <v>14</v>
      </c>
      <c r="S34" s="704">
        <f t="shared" si="12"/>
        <v>100</v>
      </c>
      <c r="T34" s="703" t="s">
        <v>14</v>
      </c>
      <c r="U34" s="704">
        <f t="shared" si="13"/>
        <v>100</v>
      </c>
      <c r="V34" s="703" t="s">
        <v>14</v>
      </c>
      <c r="W34" s="704">
        <f t="shared" si="14"/>
        <v>100</v>
      </c>
      <c r="X34" s="1353"/>
      <c r="Y34" s="3750"/>
      <c r="Z34" s="1354">
        <f t="shared" si="15"/>
        <v>111</v>
      </c>
      <c r="AA34" s="1351">
        <f t="shared" si="3"/>
        <v>1</v>
      </c>
      <c r="AB34" s="1351">
        <f t="shared" si="4"/>
        <v>1</v>
      </c>
      <c r="AC34" s="1351">
        <f t="shared" si="5"/>
        <v>1</v>
      </c>
    </row>
    <row r="35" spans="1:30" ht="14.4">
      <c r="A35" s="430" t="s">
        <v>1708</v>
      </c>
      <c r="B35" s="431"/>
      <c r="C35" s="1152" t="s">
        <v>0</v>
      </c>
      <c r="D35" s="1153"/>
      <c r="E35" s="1154"/>
      <c r="F35" s="1155"/>
      <c r="G35" s="1156"/>
      <c r="H35" s="1157"/>
      <c r="I35" s="1154"/>
      <c r="J35" s="1157"/>
      <c r="K35" s="712"/>
      <c r="L35" s="2721"/>
      <c r="M35" s="2722"/>
      <c r="N35" s="2713"/>
      <c r="O35" s="2722"/>
      <c r="P35" s="3743" t="str">
        <f>A35</f>
        <v>成交单价（元/平方米）</v>
      </c>
      <c r="Q35" s="3743"/>
      <c r="R35" s="3744">
        <f>E35</f>
        <v>0</v>
      </c>
      <c r="S35" s="3744"/>
      <c r="T35" s="3744">
        <f>G35</f>
        <v>0</v>
      </c>
      <c r="U35" s="3744"/>
      <c r="V35" s="3744">
        <f>I35</f>
        <v>0</v>
      </c>
      <c r="W35" s="3744"/>
      <c r="X35" s="688"/>
      <c r="Y35" s="710"/>
      <c r="Z35" s="688"/>
      <c r="AA35" s="688"/>
      <c r="AB35" s="688"/>
      <c r="AC35" s="688"/>
    </row>
    <row r="36" spans="1:30" ht="15" thickBot="1">
      <c r="A36" s="437" t="s">
        <v>1793</v>
      </c>
      <c r="B36" s="438"/>
      <c r="C36" s="1158" t="e">
        <f>R37</f>
        <v>#DIV/0!</v>
      </c>
      <c r="D36" s="2314" t="s">
        <v>2137</v>
      </c>
      <c r="E36" s="1159" t="e">
        <f>R36</f>
        <v>#DIV/0!</v>
      </c>
      <c r="F36" s="2315"/>
      <c r="G36" s="1158" t="e">
        <f>T36</f>
        <v>#DIV/0!</v>
      </c>
      <c r="H36" s="2315"/>
      <c r="I36" s="1159" t="e">
        <f>V36</f>
        <v>#DIV/0!</v>
      </c>
      <c r="J36" s="2315"/>
      <c r="K36" s="2317">
        <f>F36+H36+J36</f>
        <v>0</v>
      </c>
      <c r="L36" s="2721"/>
      <c r="M36" s="2722"/>
      <c r="N36" s="2713"/>
      <c r="O36" s="2722"/>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88"/>
      <c r="Y36" s="688"/>
      <c r="Z36" s="688"/>
      <c r="AA36" s="688"/>
      <c r="AB36" s="688"/>
      <c r="AC36" s="688"/>
    </row>
    <row r="37" spans="1:30" ht="15" thickBot="1">
      <c r="A37" s="441" t="s">
        <v>1794</v>
      </c>
      <c r="B37" s="442"/>
      <c r="C37" s="1161" t="e">
        <f>R37</f>
        <v>#DIV/0!</v>
      </c>
      <c r="D37" s="1161"/>
      <c r="E37" s="1161"/>
      <c r="F37" s="1161"/>
      <c r="G37" s="1161"/>
      <c r="H37" s="1161"/>
      <c r="I37" s="1161"/>
      <c r="J37" s="1161"/>
      <c r="K37" s="713"/>
      <c r="L37" s="2721"/>
      <c r="M37" s="2722"/>
      <c r="N37" s="2722"/>
      <c r="O37" s="2722"/>
      <c r="P37" s="3740" t="str">
        <f>A37</f>
        <v>估价对象XX用房的比较价值（楼面单价，元/平方米）</v>
      </c>
      <c r="Q37" s="3741"/>
      <c r="R37" s="3772" t="e">
        <f>IF(F1="售价",ROUND(IF(D36="简单平均",AVERAGE(R36:W36),R36*F36+T36*H36+V36*J36),0),ROUND(IF(D36="简单平均",AVERAGE(R36:V36),R36*F36+T36*H36+V36*J36),1))</f>
        <v>#DIV/0!</v>
      </c>
      <c r="S37" s="3772"/>
      <c r="T37" s="3772"/>
      <c r="U37" s="3772"/>
      <c r="V37" s="3772"/>
      <c r="W37" s="3772"/>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3"/>
      <c r="Q46" s="2738"/>
      <c r="R46" s="2738"/>
      <c r="S46" s="2738"/>
      <c r="T46" s="2738"/>
      <c r="U46" s="2738"/>
      <c r="V46" s="2738"/>
      <c r="W46" s="2738"/>
      <c r="X46" s="2738"/>
      <c r="Y46" s="2738"/>
      <c r="Z46" s="2738"/>
      <c r="AA46" s="2738"/>
      <c r="AB46" s="2738"/>
      <c r="AC46" s="2738"/>
      <c r="AD46" s="2738"/>
    </row>
    <row r="47" spans="1:30" s="108" customFormat="1">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5">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6">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6" t="s">
        <v>1799</v>
      </c>
      <c r="D65" s="606" t="s">
        <v>1800</v>
      </c>
      <c r="E65" s="606" t="s">
        <v>1801</v>
      </c>
      <c r="F65" s="606" t="s">
        <v>1802</v>
      </c>
      <c r="G65" s="606"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6"/>
      <c r="I66" s="606"/>
      <c r="J66" s="606"/>
      <c r="K66" s="606"/>
      <c r="L66" s="606"/>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6"/>
      <c r="J80" s="606"/>
      <c r="K80" s="614"/>
      <c r="L80" s="615"/>
      <c r="M80" s="616"/>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2">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7"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3"/>
      <c r="Y4" s="3713" t="s">
        <v>1775</v>
      </c>
      <c r="Z4" s="3714"/>
      <c r="AA4" s="3708" t="s">
        <v>1771</v>
      </c>
      <c r="AB4" s="3709" t="s">
        <v>1772</v>
      </c>
      <c r="AC4" s="3708" t="s">
        <v>1773</v>
      </c>
    </row>
    <row r="5" spans="1:30">
      <c r="A5" s="358"/>
      <c r="B5" s="359"/>
      <c r="C5" s="3719" t="s">
        <v>1673</v>
      </c>
      <c r="D5" s="3720"/>
      <c r="E5" s="3717" t="s">
        <v>1674</v>
      </c>
      <c r="F5" s="3718"/>
      <c r="G5" s="3719" t="s">
        <v>1675</v>
      </c>
      <c r="H5" s="3720"/>
      <c r="I5" s="3719" t="s">
        <v>1676</v>
      </c>
      <c r="J5" s="3720"/>
      <c r="K5" s="559"/>
      <c r="L5" s="2712"/>
      <c r="M5" s="2713"/>
      <c r="N5" s="2713"/>
      <c r="O5" s="2713"/>
      <c r="P5" s="3732"/>
      <c r="Q5" s="3733"/>
      <c r="R5" s="3715"/>
      <c r="S5" s="3716"/>
      <c r="T5" s="3715"/>
      <c r="U5" s="3716"/>
      <c r="V5" s="3738"/>
      <c r="W5" s="3738"/>
      <c r="X5" s="1353"/>
      <c r="Y5" s="3715"/>
      <c r="Z5" s="3716"/>
      <c r="AA5" s="3709"/>
      <c r="AB5" s="3709"/>
      <c r="AC5" s="3709"/>
    </row>
    <row r="6" spans="1:30" ht="15" thickBot="1">
      <c r="A6" s="360"/>
      <c r="B6" s="361"/>
      <c r="C6" s="3721" t="s">
        <v>1677</v>
      </c>
      <c r="D6" s="3722"/>
      <c r="E6" s="3723" t="s">
        <v>1677</v>
      </c>
      <c r="F6" s="3724"/>
      <c r="G6" s="3721" t="s">
        <v>1677</v>
      </c>
      <c r="H6" s="3722"/>
      <c r="I6" s="3721" t="s">
        <v>1677</v>
      </c>
      <c r="J6" s="3722"/>
      <c r="K6" s="559" t="s">
        <v>1678</v>
      </c>
      <c r="L6" s="2712"/>
      <c r="M6" s="2713"/>
      <c r="N6" s="2713"/>
      <c r="O6" s="2713"/>
      <c r="P6" s="3734"/>
      <c r="Q6" s="3735"/>
      <c r="R6" s="3715"/>
      <c r="S6" s="3716"/>
      <c r="T6" s="3736"/>
      <c r="U6" s="3737"/>
      <c r="V6" s="3738"/>
      <c r="W6" s="3738"/>
      <c r="X6" s="1353"/>
      <c r="Y6" s="3736"/>
      <c r="Z6" s="3737"/>
      <c r="AA6" s="3710"/>
      <c r="AB6" s="3710"/>
      <c r="AC6" s="3710"/>
    </row>
    <row r="7" spans="1:30" s="108" customFormat="1" ht="15" thickBot="1">
      <c r="A7" s="362" t="s">
        <v>1679</v>
      </c>
      <c r="B7" s="363"/>
      <c r="C7" s="364">
        <f>'数据-取费表'!B2</f>
        <v>45491</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11" t="s">
        <v>1680</v>
      </c>
      <c r="Q7" s="3739"/>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1" t="s">
        <v>1683</v>
      </c>
      <c r="Q8" s="3712"/>
      <c r="R8" s="699" t="s">
        <v>14</v>
      </c>
      <c r="S8" s="700">
        <f t="shared" si="0"/>
        <v>0</v>
      </c>
      <c r="T8" s="699" t="s">
        <v>14</v>
      </c>
      <c r="U8" s="700">
        <f t="shared" si="1"/>
        <v>0</v>
      </c>
      <c r="V8" s="699" t="s">
        <v>14</v>
      </c>
      <c r="W8" s="700">
        <f t="shared" si="2"/>
        <v>0</v>
      </c>
      <c r="X8" s="701"/>
      <c r="Y8" s="3711" t="s">
        <v>1683</v>
      </c>
      <c r="Z8" s="3712"/>
      <c r="AA8" s="702" t="e">
        <f t="shared" ref="AA8:AA45" si="3">D8/F8</f>
        <v>#DIV/0!</v>
      </c>
      <c r="AB8" s="702" t="e">
        <f t="shared" ref="AB8:AB45" si="4">D8/H8</f>
        <v>#DIV/0!</v>
      </c>
      <c r="AC8" s="702"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43" t="s">
        <v>1686</v>
      </c>
      <c r="Q9" s="1341"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134</v>
      </c>
      <c r="G10" s="414"/>
      <c r="H10" s="127">
        <f>ROUND(100/'数据-取费表'!G16,0)</f>
        <v>134</v>
      </c>
      <c r="I10" s="414"/>
      <c r="J10" s="127">
        <f>ROUND(100/'数据-取费表'!G16,0)</f>
        <v>134</v>
      </c>
      <c r="K10" s="618"/>
      <c r="L10" s="2716"/>
      <c r="M10" s="2717"/>
      <c r="N10" s="2717"/>
      <c r="O10" s="2770"/>
      <c r="P10" s="3743"/>
      <c r="Q10" s="1341" t="str">
        <f t="shared" si="6"/>
        <v>土地使用年限（年）</v>
      </c>
      <c r="R10" s="699" t="s">
        <v>14</v>
      </c>
      <c r="S10" s="700">
        <f t="shared" si="0"/>
        <v>134</v>
      </c>
      <c r="T10" s="699" t="s">
        <v>14</v>
      </c>
      <c r="U10" s="700">
        <f t="shared" si="1"/>
        <v>134</v>
      </c>
      <c r="V10" s="699" t="s">
        <v>14</v>
      </c>
      <c r="W10" s="700">
        <f t="shared" si="2"/>
        <v>134</v>
      </c>
      <c r="X10" s="701"/>
      <c r="Y10" s="3636"/>
      <c r="Z10" s="52" t="str">
        <f t="shared" si="7"/>
        <v>土地使用年限（年）</v>
      </c>
      <c r="AA10" s="702">
        <f t="shared" si="3"/>
        <v>0.74626865671641796</v>
      </c>
      <c r="AB10" s="702">
        <f t="shared" si="4"/>
        <v>0.74626865671641796</v>
      </c>
      <c r="AC10" s="702">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19"/>
      <c r="L11" s="2718"/>
      <c r="M11" s="2713"/>
      <c r="N11" s="2713"/>
      <c r="O11" s="2771"/>
      <c r="P11" s="3743"/>
      <c r="Q11" s="1341"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8"/>
      <c r="L12" s="2714"/>
      <c r="M12" s="2715"/>
      <c r="N12" s="2715"/>
      <c r="O12" s="2769"/>
      <c r="P12" s="3743"/>
      <c r="Q12" s="1341" t="str">
        <f t="shared" si="6"/>
        <v>配建</v>
      </c>
      <c r="R12" s="699" t="s">
        <v>14</v>
      </c>
      <c r="S12" s="700">
        <f t="shared" si="0"/>
        <v>100</v>
      </c>
      <c r="T12" s="699" t="s">
        <v>14</v>
      </c>
      <c r="U12" s="700">
        <f t="shared" si="1"/>
        <v>100</v>
      </c>
      <c r="V12" s="699" t="s">
        <v>14</v>
      </c>
      <c r="W12" s="700">
        <f t="shared" si="2"/>
        <v>100</v>
      </c>
      <c r="X12" s="701"/>
      <c r="Y12" s="363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0"/>
      <c r="H13" s="386">
        <f>SUMIF(83:83,G13,84:84)-SUMIF(83:83,C13,84:84)+100</f>
        <v>100</v>
      </c>
      <c r="I13" s="620"/>
      <c r="J13" s="386">
        <f>SUMIF(83:83,I13,84:84)-SUMIF(83:83,C13,84:84)+100</f>
        <v>100</v>
      </c>
      <c r="K13" s="618"/>
      <c r="L13" s="2719"/>
      <c r="M13" s="2713"/>
      <c r="N13" s="2713"/>
      <c r="O13" s="2771"/>
      <c r="P13" s="3743"/>
      <c r="Q13" s="1341">
        <f t="shared" si="6"/>
        <v>111</v>
      </c>
      <c r="R13" s="699" t="s">
        <v>14</v>
      </c>
      <c r="S13" s="700">
        <f t="shared" si="0"/>
        <v>100</v>
      </c>
      <c r="T13" s="699" t="s">
        <v>14</v>
      </c>
      <c r="U13" s="700">
        <f t="shared" si="1"/>
        <v>100</v>
      </c>
      <c r="V13" s="699" t="s">
        <v>14</v>
      </c>
      <c r="W13" s="700">
        <f t="shared" si="2"/>
        <v>100</v>
      </c>
      <c r="X13" s="701"/>
      <c r="Y13" s="3636"/>
      <c r="Z13" s="52">
        <f t="shared" si="7"/>
        <v>111</v>
      </c>
      <c r="AA13" s="702">
        <f>D13/F13</f>
        <v>1</v>
      </c>
      <c r="AB13" s="702">
        <f>D13/H13</f>
        <v>1</v>
      </c>
      <c r="AC13" s="702">
        <f>D13/J13</f>
        <v>1</v>
      </c>
    </row>
    <row r="14" spans="1:30" ht="15.6" thickBot="1">
      <c r="A14" s="387"/>
      <c r="B14" s="1893">
        <v>111</v>
      </c>
      <c r="C14" s="388"/>
      <c r="D14" s="389">
        <v>100</v>
      </c>
      <c r="E14" s="498"/>
      <c r="F14" s="389">
        <f>SUMIF(85:85,E14,86:86)-SUMIF(85:85,C14,86:86)+100</f>
        <v>100</v>
      </c>
      <c r="G14" s="620"/>
      <c r="H14" s="389">
        <f>SUMIF(85:85,G14,86:86)-SUMIF(85:85,C14,86:86)+100</f>
        <v>100</v>
      </c>
      <c r="I14" s="620"/>
      <c r="J14" s="389">
        <f>SUMIF(85:85,I14,86:86)-SUMIF(85:85,C14,86:86)+100</f>
        <v>100</v>
      </c>
      <c r="K14" s="618"/>
      <c r="L14" s="2719"/>
      <c r="M14" s="2713"/>
      <c r="N14" s="2713"/>
      <c r="O14" s="2771"/>
      <c r="P14" s="3743"/>
      <c r="Q14" s="1341">
        <f t="shared" si="6"/>
        <v>111</v>
      </c>
      <c r="R14" s="699" t="s">
        <v>14</v>
      </c>
      <c r="S14" s="700">
        <f t="shared" si="0"/>
        <v>100</v>
      </c>
      <c r="T14" s="699" t="s">
        <v>14</v>
      </c>
      <c r="U14" s="700">
        <f t="shared" si="1"/>
        <v>100</v>
      </c>
      <c r="V14" s="699" t="s">
        <v>14</v>
      </c>
      <c r="W14" s="700">
        <f t="shared" si="2"/>
        <v>100</v>
      </c>
      <c r="X14" s="701"/>
      <c r="Y14" s="3636"/>
      <c r="Z14" s="52">
        <f t="shared" si="7"/>
        <v>111</v>
      </c>
      <c r="AA14" s="702">
        <f>D14/F14</f>
        <v>1</v>
      </c>
      <c r="AB14" s="702">
        <f>D14/H14</f>
        <v>1</v>
      </c>
      <c r="AC14" s="702">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19"/>
      <c r="L15" s="2719"/>
      <c r="M15" s="2713"/>
      <c r="N15" s="2713"/>
      <c r="O15" s="2771"/>
      <c r="P15" s="3745" t="s">
        <v>1691</v>
      </c>
      <c r="Q15" s="1350" t="str">
        <f t="shared" si="6"/>
        <v>居住社区成熟度</v>
      </c>
      <c r="R15" s="703" t="s">
        <v>14</v>
      </c>
      <c r="S15" s="704">
        <f t="shared" si="0"/>
        <v>100</v>
      </c>
      <c r="T15" s="703" t="s">
        <v>14</v>
      </c>
      <c r="U15" s="704">
        <f t="shared" si="1"/>
        <v>100</v>
      </c>
      <c r="V15" s="703" t="s">
        <v>14</v>
      </c>
      <c r="W15" s="704">
        <f t="shared" si="2"/>
        <v>100</v>
      </c>
      <c r="X15" s="1353"/>
      <c r="Y15" s="374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8"/>
      <c r="L16" s="2719"/>
      <c r="M16" s="2713"/>
      <c r="N16" s="2713"/>
      <c r="O16" s="2771"/>
      <c r="P16" s="3746"/>
      <c r="Q16" s="1350"/>
      <c r="R16" s="703"/>
      <c r="S16" s="704"/>
      <c r="T16" s="703"/>
      <c r="U16" s="704"/>
      <c r="V16" s="703"/>
      <c r="W16" s="704"/>
      <c r="X16" s="1353"/>
      <c r="Y16" s="3746"/>
      <c r="Z16" s="1354"/>
      <c r="AA16" s="1351">
        <v>1</v>
      </c>
      <c r="AB16" s="1351">
        <v>1</v>
      </c>
      <c r="AC16" s="1351">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19"/>
      <c r="L17" s="2719"/>
      <c r="M17" s="2713"/>
      <c r="N17" s="2713"/>
      <c r="O17" s="2771"/>
      <c r="P17" s="3746"/>
      <c r="Q17" s="1350" t="str">
        <f>B17</f>
        <v>商业繁华度</v>
      </c>
      <c r="R17" s="703" t="s">
        <v>14</v>
      </c>
      <c r="S17" s="704">
        <f>F17</f>
        <v>100</v>
      </c>
      <c r="T17" s="703" t="s">
        <v>14</v>
      </c>
      <c r="U17" s="704">
        <f>H17</f>
        <v>100</v>
      </c>
      <c r="V17" s="703" t="s">
        <v>14</v>
      </c>
      <c r="W17" s="704">
        <f>J17</f>
        <v>100</v>
      </c>
      <c r="X17" s="1353"/>
      <c r="Y17" s="374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8"/>
      <c r="L18" s="2719"/>
      <c r="M18" s="2713"/>
      <c r="N18" s="2713"/>
      <c r="O18" s="2771"/>
      <c r="P18" s="3746"/>
      <c r="Q18" s="1350"/>
      <c r="R18" s="703"/>
      <c r="S18" s="704"/>
      <c r="T18" s="703"/>
      <c r="U18" s="704"/>
      <c r="V18" s="703"/>
      <c r="W18" s="704"/>
      <c r="X18" s="1353"/>
      <c r="Y18" s="3746"/>
      <c r="Z18" s="1354"/>
      <c r="AA18" s="1351">
        <v>1</v>
      </c>
      <c r="AB18" s="1351">
        <v>1</v>
      </c>
      <c r="AC18" s="1351">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19"/>
      <c r="L19" s="2719"/>
      <c r="M19" s="2713"/>
      <c r="N19" s="2713"/>
      <c r="O19" s="2771"/>
      <c r="P19" s="3746"/>
      <c r="Q19" s="1350" t="str">
        <f>B19</f>
        <v>办公集聚程度</v>
      </c>
      <c r="R19" s="703" t="s">
        <v>14</v>
      </c>
      <c r="S19" s="704">
        <f>F19</f>
        <v>100</v>
      </c>
      <c r="T19" s="703" t="s">
        <v>14</v>
      </c>
      <c r="U19" s="704">
        <f>H19</f>
        <v>100</v>
      </c>
      <c r="V19" s="703" t="s">
        <v>14</v>
      </c>
      <c r="W19" s="704">
        <f>J19</f>
        <v>100</v>
      </c>
      <c r="X19" s="1353"/>
      <c r="Y19" s="374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8"/>
      <c r="L20" s="2719"/>
      <c r="M20" s="2713"/>
      <c r="N20" s="2713"/>
      <c r="O20" s="2771"/>
      <c r="P20" s="3746"/>
      <c r="Q20" s="1350"/>
      <c r="R20" s="703"/>
      <c r="S20" s="704"/>
      <c r="T20" s="703"/>
      <c r="U20" s="704"/>
      <c r="V20" s="703"/>
      <c r="W20" s="704"/>
      <c r="X20" s="1353"/>
      <c r="Y20" s="3746"/>
      <c r="Z20" s="1354"/>
      <c r="AA20" s="1351">
        <v>1</v>
      </c>
      <c r="AB20" s="1351">
        <v>1</v>
      </c>
      <c r="AC20" s="1351">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19"/>
      <c r="L21" s="2719"/>
      <c r="M21" s="2713"/>
      <c r="N21" s="2713"/>
      <c r="O21" s="2771"/>
      <c r="P21" s="3746"/>
      <c r="Q21" s="1350" t="str">
        <f>B21</f>
        <v>交通便捷度</v>
      </c>
      <c r="R21" s="703" t="s">
        <v>14</v>
      </c>
      <c r="S21" s="704">
        <f>F21</f>
        <v>100</v>
      </c>
      <c r="T21" s="703" t="s">
        <v>14</v>
      </c>
      <c r="U21" s="704">
        <f>H21</f>
        <v>100</v>
      </c>
      <c r="V21" s="703" t="s">
        <v>14</v>
      </c>
      <c r="W21" s="704">
        <f>J21</f>
        <v>100</v>
      </c>
      <c r="X21" s="1353"/>
      <c r="Y21" s="374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8"/>
      <c r="L22" s="2719"/>
      <c r="M22" s="2713"/>
      <c r="N22" s="2713"/>
      <c r="O22" s="2771"/>
      <c r="P22" s="3746"/>
      <c r="Q22" s="1350"/>
      <c r="R22" s="703"/>
      <c r="S22" s="704"/>
      <c r="T22" s="703"/>
      <c r="U22" s="704"/>
      <c r="V22" s="703"/>
      <c r="W22" s="704"/>
      <c r="X22" s="1353"/>
      <c r="Y22" s="3746"/>
      <c r="Z22" s="1354"/>
      <c r="AA22" s="1351">
        <v>1</v>
      </c>
      <c r="AB22" s="1351">
        <v>1</v>
      </c>
      <c r="AC22" s="1351">
        <v>1</v>
      </c>
    </row>
    <row r="23" spans="1:29" ht="28.8">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19"/>
      <c r="L23" s="2719"/>
      <c r="M23" s="2713"/>
      <c r="N23" s="2713"/>
      <c r="O23" s="2771"/>
      <c r="P23" s="3746"/>
      <c r="Q23" s="1350" t="str">
        <f t="shared" ref="Q23:Q37" si="8">B23</f>
        <v>区域土地利用方向</v>
      </c>
      <c r="R23" s="703" t="s">
        <v>14</v>
      </c>
      <c r="S23" s="704">
        <f>F23</f>
        <v>100</v>
      </c>
      <c r="T23" s="703" t="s">
        <v>14</v>
      </c>
      <c r="U23" s="704">
        <f>H23</f>
        <v>100</v>
      </c>
      <c r="V23" s="703" t="s">
        <v>14</v>
      </c>
      <c r="W23" s="704">
        <f>J23</f>
        <v>100</v>
      </c>
      <c r="X23" s="1353"/>
      <c r="Y23" s="374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46"/>
      <c r="Q24" s="1350"/>
      <c r="R24" s="703"/>
      <c r="S24" s="704"/>
      <c r="T24" s="703"/>
      <c r="U24" s="704"/>
      <c r="V24" s="703"/>
      <c r="W24" s="704"/>
      <c r="X24" s="1353"/>
      <c r="Y24" s="3746"/>
      <c r="Z24" s="1354"/>
      <c r="AA24" s="1351"/>
      <c r="AB24" s="1351"/>
      <c r="AC24" s="1351"/>
    </row>
    <row r="25" spans="1:29" ht="55.2">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19"/>
      <c r="L25" s="2719"/>
      <c r="M25" s="2713"/>
      <c r="N25" s="2713"/>
      <c r="O25" s="2771"/>
      <c r="P25" s="3746"/>
      <c r="Q25" s="1350" t="str">
        <f t="shared" si="8"/>
        <v>自然及人文环境状况</v>
      </c>
      <c r="R25" s="703" t="s">
        <v>14</v>
      </c>
      <c r="S25" s="704">
        <f>F25</f>
        <v>100</v>
      </c>
      <c r="T25" s="703" t="s">
        <v>14</v>
      </c>
      <c r="U25" s="704">
        <f>H25</f>
        <v>100</v>
      </c>
      <c r="V25" s="703" t="s">
        <v>14</v>
      </c>
      <c r="W25" s="704">
        <f>J25</f>
        <v>100</v>
      </c>
      <c r="X25" s="1353"/>
      <c r="Y25" s="374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8"/>
      <c r="L26" s="2719"/>
      <c r="M26" s="2713"/>
      <c r="N26" s="2713"/>
      <c r="O26" s="2771"/>
      <c r="P26" s="3746"/>
      <c r="Q26" s="1350"/>
      <c r="R26" s="703"/>
      <c r="S26" s="704"/>
      <c r="T26" s="703"/>
      <c r="U26" s="704"/>
      <c r="V26" s="703"/>
      <c r="W26" s="704"/>
      <c r="X26" s="1353"/>
      <c r="Y26" s="3746"/>
      <c r="Z26" s="1354"/>
      <c r="AA26" s="1351">
        <v>1</v>
      </c>
      <c r="AB26" s="1351">
        <v>1</v>
      </c>
      <c r="AC26" s="1351">
        <v>1</v>
      </c>
    </row>
    <row r="27" spans="1:29" s="108" customFormat="1" ht="41.4">
      <c r="A27" s="595"/>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19"/>
      <c r="L27" s="2714"/>
      <c r="M27" s="2715"/>
      <c r="N27" s="2715"/>
      <c r="O27" s="2769"/>
      <c r="P27" s="3746"/>
      <c r="Q27" s="1341" t="str">
        <f t="shared" si="8"/>
        <v>公共配套设施</v>
      </c>
      <c r="R27" s="699" t="s">
        <v>14</v>
      </c>
      <c r="S27" s="700">
        <f>F27</f>
        <v>100</v>
      </c>
      <c r="T27" s="699" t="s">
        <v>14</v>
      </c>
      <c r="U27" s="700">
        <f>H27</f>
        <v>100</v>
      </c>
      <c r="V27" s="699" t="s">
        <v>14</v>
      </c>
      <c r="W27" s="700">
        <f>J27</f>
        <v>100</v>
      </c>
      <c r="X27" s="701"/>
      <c r="Y27" s="3746"/>
      <c r="Z27" s="52" t="str">
        <f>Q27</f>
        <v>公共配套设施</v>
      </c>
      <c r="AA27" s="1351">
        <f>D27/F27</f>
        <v>1</v>
      </c>
      <c r="AB27" s="1351">
        <f>D27/H27</f>
        <v>1</v>
      </c>
      <c r="AC27" s="1351">
        <f>D27/J27</f>
        <v>1</v>
      </c>
    </row>
    <row r="28" spans="1:29" s="108" customFormat="1" ht="15">
      <c r="A28" s="595"/>
      <c r="B28" s="407"/>
      <c r="C28" s="1976"/>
      <c r="D28" s="399"/>
      <c r="E28" s="1902"/>
      <c r="F28" s="399"/>
      <c r="G28" s="1902"/>
      <c r="H28" s="399"/>
      <c r="I28" s="398"/>
      <c r="J28" s="399"/>
      <c r="K28" s="618"/>
      <c r="L28" s="2714"/>
      <c r="M28" s="2715"/>
      <c r="N28" s="2715"/>
      <c r="O28" s="2769"/>
      <c r="P28" s="3746"/>
      <c r="Q28" s="1341"/>
      <c r="R28" s="699"/>
      <c r="S28" s="700"/>
      <c r="T28" s="699"/>
      <c r="U28" s="700"/>
      <c r="V28" s="699"/>
      <c r="W28" s="700"/>
      <c r="X28" s="701"/>
      <c r="Y28" s="3746"/>
      <c r="Z28" s="52"/>
      <c r="AA28" s="1351">
        <v>1</v>
      </c>
      <c r="AB28" s="1351">
        <v>1</v>
      </c>
      <c r="AC28" s="1351">
        <v>1</v>
      </c>
    </row>
    <row r="29" spans="1:29" s="108" customFormat="1" ht="41.4">
      <c r="A29" s="595"/>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19"/>
      <c r="L29" s="2714"/>
      <c r="M29" s="2715"/>
      <c r="N29" s="2715"/>
      <c r="O29" s="2769"/>
      <c r="P29" s="3746"/>
      <c r="Q29" s="1341" t="str">
        <f t="shared" ref="Q29" si="9">B29</f>
        <v>基础设施水平</v>
      </c>
      <c r="R29" s="699" t="s">
        <v>14</v>
      </c>
      <c r="S29" s="700">
        <f>F29</f>
        <v>100</v>
      </c>
      <c r="T29" s="699" t="s">
        <v>14</v>
      </c>
      <c r="U29" s="700">
        <f>H29</f>
        <v>100</v>
      </c>
      <c r="V29" s="699" t="s">
        <v>14</v>
      </c>
      <c r="W29" s="700">
        <f>J29</f>
        <v>100</v>
      </c>
      <c r="X29" s="701"/>
      <c r="Y29" s="3746"/>
      <c r="Z29" s="52" t="str">
        <f>Q29</f>
        <v>基础设施水平</v>
      </c>
      <c r="AA29" s="1351">
        <f>D29/F29</f>
        <v>1</v>
      </c>
      <c r="AB29" s="1351">
        <f>D29/H29</f>
        <v>1</v>
      </c>
      <c r="AC29" s="1351">
        <f>D29/J29</f>
        <v>1</v>
      </c>
    </row>
    <row r="30" spans="1:29" s="108" customFormat="1" ht="15">
      <c r="A30" s="595"/>
      <c r="B30" s="407"/>
      <c r="C30" s="1976"/>
      <c r="D30" s="399"/>
      <c r="E30" s="1977"/>
      <c r="F30" s="399"/>
      <c r="G30" s="1977"/>
      <c r="H30" s="399"/>
      <c r="I30" s="1977"/>
      <c r="J30" s="399"/>
      <c r="K30" s="618"/>
      <c r="L30" s="2714"/>
      <c r="M30" s="2715"/>
      <c r="N30" s="2715"/>
      <c r="O30" s="2769"/>
      <c r="P30" s="3746"/>
      <c r="Q30" s="1341"/>
      <c r="R30" s="699"/>
      <c r="S30" s="700"/>
      <c r="T30" s="699"/>
      <c r="U30" s="700"/>
      <c r="V30" s="699"/>
      <c r="W30" s="700"/>
      <c r="X30" s="701"/>
      <c r="Y30" s="3746"/>
      <c r="Z30" s="52"/>
      <c r="AA30" s="1351">
        <v>1</v>
      </c>
      <c r="AB30" s="1351">
        <v>1</v>
      </c>
      <c r="AC30" s="1351">
        <v>1</v>
      </c>
    </row>
    <row r="31" spans="1:29" ht="15">
      <c r="A31" s="379"/>
      <c r="B31" s="407" t="s">
        <v>1780</v>
      </c>
      <c r="C31" s="565"/>
      <c r="D31" s="386">
        <v>100</v>
      </c>
      <c r="E31" s="580"/>
      <c r="F31" s="386">
        <f>SUMIF(103:103,E31,104:104)-SUMIF(103:103,C31,104:104)+100</f>
        <v>100</v>
      </c>
      <c r="G31" s="580"/>
      <c r="H31" s="386">
        <f>SUMIF(103:103,G31,104:104)-SUMIF(103:103,C31,104:104)+100</f>
        <v>100</v>
      </c>
      <c r="I31" s="580"/>
      <c r="J31" s="386">
        <f>SUMIF(103:103,I31,104:104)-SUMIF(103:103,C31,104:104)+100</f>
        <v>100</v>
      </c>
      <c r="K31" s="619"/>
      <c r="L31" s="2719"/>
      <c r="M31" s="2713"/>
      <c r="N31" s="2713"/>
      <c r="O31" s="2771"/>
      <c r="P31" s="374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46"/>
      <c r="Z31" s="1354" t="str">
        <f t="shared" ref="Z31:Z45" si="13">Q31</f>
        <v>临街状况</v>
      </c>
      <c r="AA31" s="1351">
        <f t="shared" si="3"/>
        <v>1</v>
      </c>
      <c r="AB31" s="1351">
        <f t="shared" si="4"/>
        <v>1</v>
      </c>
      <c r="AC31" s="1351">
        <f t="shared" si="5"/>
        <v>1</v>
      </c>
    </row>
    <row r="32" spans="1:29" ht="28.8">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719"/>
      <c r="M32" s="2713"/>
      <c r="N32" s="2713"/>
      <c r="O32" s="2771"/>
      <c r="P32" s="3746"/>
      <c r="Q32" s="1350" t="str">
        <f t="shared" si="8"/>
        <v>毗邻道路的类型与等级</v>
      </c>
      <c r="R32" s="703" t="s">
        <v>14</v>
      </c>
      <c r="S32" s="704">
        <f t="shared" si="10"/>
        <v>100</v>
      </c>
      <c r="T32" s="703" t="s">
        <v>14</v>
      </c>
      <c r="U32" s="704">
        <f t="shared" si="11"/>
        <v>100</v>
      </c>
      <c r="V32" s="703" t="s">
        <v>14</v>
      </c>
      <c r="W32" s="704">
        <f t="shared" si="12"/>
        <v>100</v>
      </c>
      <c r="X32" s="1353"/>
      <c r="Y32" s="374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46"/>
      <c r="Q33" s="1350"/>
      <c r="R33" s="703"/>
      <c r="S33" s="704"/>
      <c r="T33" s="703"/>
      <c r="U33" s="704"/>
      <c r="V33" s="703"/>
      <c r="W33" s="704"/>
      <c r="X33" s="1353"/>
      <c r="Y33" s="3746"/>
      <c r="Z33" s="1354"/>
      <c r="AA33" s="1351">
        <v>1</v>
      </c>
      <c r="AB33" s="1351">
        <v>1</v>
      </c>
      <c r="AC33" s="1351">
        <v>1</v>
      </c>
    </row>
    <row r="34" spans="1:29" ht="15">
      <c r="A34" s="379"/>
      <c r="B34" s="375" t="s">
        <v>1873</v>
      </c>
      <c r="C34" s="565"/>
      <c r="D34" s="386">
        <v>100</v>
      </c>
      <c r="E34" s="580"/>
      <c r="F34" s="386">
        <f>SUMIF(107:107,E34,108:108)-SUMIF(107:107,C34,108:108)+100</f>
        <v>100</v>
      </c>
      <c r="G34" s="580"/>
      <c r="H34" s="386">
        <f>SUMIF(107:107,G34,108:108)-SUMIF(107:107,C34,108:108)+100</f>
        <v>100</v>
      </c>
      <c r="I34" s="565"/>
      <c r="J34" s="386">
        <f>SUMIF(107:107,I34,108:108)-SUMIF(107:107,C34,108:108)+100</f>
        <v>100</v>
      </c>
      <c r="K34" s="561"/>
      <c r="L34" s="2719"/>
      <c r="M34" s="2713"/>
      <c r="N34" s="2713"/>
      <c r="O34" s="2771"/>
      <c r="P34" s="3746"/>
      <c r="Q34" s="1350" t="str">
        <f t="shared" si="8"/>
        <v>土地级别</v>
      </c>
      <c r="R34" s="703" t="s">
        <v>14</v>
      </c>
      <c r="S34" s="704">
        <f t="shared" si="10"/>
        <v>100</v>
      </c>
      <c r="T34" s="703" t="s">
        <v>14</v>
      </c>
      <c r="U34" s="704">
        <f t="shared" si="11"/>
        <v>100</v>
      </c>
      <c r="V34" s="703" t="s">
        <v>14</v>
      </c>
      <c r="W34" s="704">
        <f t="shared" si="12"/>
        <v>100</v>
      </c>
      <c r="X34" s="1353"/>
      <c r="Y34" s="3746"/>
      <c r="Z34" s="1354" t="str">
        <f t="shared" si="13"/>
        <v>土地级别</v>
      </c>
      <c r="AA34" s="1351">
        <f t="shared" si="3"/>
        <v>1</v>
      </c>
      <c r="AB34" s="1351">
        <f t="shared" si="4"/>
        <v>1</v>
      </c>
      <c r="AC34" s="1351">
        <f t="shared" si="5"/>
        <v>1</v>
      </c>
    </row>
    <row r="35" spans="1:29" ht="15">
      <c r="A35" s="358"/>
      <c r="B35" s="1131">
        <v>111</v>
      </c>
      <c r="C35" s="620"/>
      <c r="D35" s="386">
        <v>100</v>
      </c>
      <c r="E35" s="428"/>
      <c r="F35" s="386">
        <f>SUMIF(109:109,E35,110:110)-SUMIF(109:109,C35,110:110)+100</f>
        <v>100</v>
      </c>
      <c r="G35" s="428"/>
      <c r="H35" s="386">
        <f>SUMIF(109:109,G35,110:110)-SUMIF(109:109,C35,110:110)+100</f>
        <v>100</v>
      </c>
      <c r="I35" s="620"/>
      <c r="J35" s="386">
        <f>SUMIF(109:109,I35,110:110)-SUMIF(109:109,C35,110:110)+100</f>
        <v>100</v>
      </c>
      <c r="K35" s="562"/>
      <c r="L35" s="2719"/>
      <c r="M35" s="2713"/>
      <c r="N35" s="2713"/>
      <c r="O35" s="2771"/>
      <c r="P35" s="3746"/>
      <c r="Q35" s="1350">
        <f t="shared" si="8"/>
        <v>111</v>
      </c>
      <c r="R35" s="703" t="s">
        <v>14</v>
      </c>
      <c r="S35" s="704">
        <f t="shared" si="10"/>
        <v>100</v>
      </c>
      <c r="T35" s="703" t="s">
        <v>14</v>
      </c>
      <c r="U35" s="704">
        <f t="shared" si="11"/>
        <v>100</v>
      </c>
      <c r="V35" s="703" t="s">
        <v>14</v>
      </c>
      <c r="W35" s="704">
        <f t="shared" si="12"/>
        <v>100</v>
      </c>
      <c r="X35" s="1353"/>
      <c r="Y35" s="3746"/>
      <c r="Z35" s="1354">
        <f t="shared" si="13"/>
        <v>111</v>
      </c>
      <c r="AA35" s="1351">
        <f t="shared" si="3"/>
        <v>1</v>
      </c>
      <c r="AB35" s="1351">
        <f t="shared" si="4"/>
        <v>1</v>
      </c>
      <c r="AC35" s="1351">
        <f t="shared" si="5"/>
        <v>1</v>
      </c>
    </row>
    <row r="36" spans="1:29" ht="15">
      <c r="A36" s="621"/>
      <c r="B36" s="1132">
        <v>111</v>
      </c>
      <c r="C36" s="620"/>
      <c r="D36" s="386">
        <v>100</v>
      </c>
      <c r="E36" s="428"/>
      <c r="F36" s="386">
        <f>SUMIF(111:111,E37,112:112)-SUMIF(111:111,C37,112:112)+100</f>
        <v>100</v>
      </c>
      <c r="G36" s="428"/>
      <c r="H36" s="386">
        <f>SUMIF(111:111,G36,112:112)-SUMIF(111:111,C36,112:112)+100</f>
        <v>100</v>
      </c>
      <c r="I36" s="620"/>
      <c r="J36" s="386">
        <f>SUMIF(111:111,I36,112:112)-SUMIF(111:111,C36,112:112)+100</f>
        <v>100</v>
      </c>
      <c r="K36" s="562"/>
      <c r="L36" s="2719"/>
      <c r="M36" s="2713"/>
      <c r="N36" s="2713"/>
      <c r="O36" s="2771"/>
      <c r="P36" s="3771" t="s">
        <v>1696</v>
      </c>
      <c r="Q36" s="1350">
        <f t="shared" si="8"/>
        <v>111</v>
      </c>
      <c r="R36" s="703" t="s">
        <v>14</v>
      </c>
      <c r="S36" s="704">
        <f t="shared" si="10"/>
        <v>100</v>
      </c>
      <c r="T36" s="703" t="s">
        <v>14</v>
      </c>
      <c r="U36" s="704">
        <f t="shared" si="11"/>
        <v>100</v>
      </c>
      <c r="V36" s="703" t="s">
        <v>14</v>
      </c>
      <c r="W36" s="704">
        <f t="shared" si="12"/>
        <v>100</v>
      </c>
      <c r="X36" s="1353"/>
      <c r="Y36" s="3750" t="s">
        <v>1696</v>
      </c>
      <c r="Z36" s="1354">
        <f t="shared" si="13"/>
        <v>111</v>
      </c>
      <c r="AA36" s="1351">
        <f t="shared" si="3"/>
        <v>1</v>
      </c>
      <c r="AB36" s="1351">
        <f t="shared" si="4"/>
        <v>1</v>
      </c>
      <c r="AC36" s="1351">
        <f t="shared" si="5"/>
        <v>1</v>
      </c>
    </row>
    <row r="37" spans="1:29" s="422" customFormat="1" ht="15.6" thickBot="1">
      <c r="A37" s="622"/>
      <c r="B37" s="1133">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2"/>
      <c r="L37" s="2718"/>
      <c r="M37" s="2720"/>
      <c r="N37" s="2720"/>
      <c r="O37" s="2772"/>
      <c r="P37" s="3750"/>
      <c r="Q37" s="1350">
        <f t="shared" si="8"/>
        <v>111</v>
      </c>
      <c r="R37" s="706" t="s">
        <v>14</v>
      </c>
      <c r="S37" s="707">
        <f t="shared" si="10"/>
        <v>100</v>
      </c>
      <c r="T37" s="706" t="s">
        <v>14</v>
      </c>
      <c r="U37" s="707">
        <f t="shared" si="11"/>
        <v>100</v>
      </c>
      <c r="V37" s="706" t="s">
        <v>14</v>
      </c>
      <c r="W37" s="707">
        <f t="shared" si="12"/>
        <v>100</v>
      </c>
      <c r="X37" s="708"/>
      <c r="Y37" s="3750"/>
      <c r="Z37" s="709">
        <f t="shared" si="13"/>
        <v>111</v>
      </c>
      <c r="AA37" s="1351">
        <f t="shared" si="3"/>
        <v>1</v>
      </c>
      <c r="AB37" s="1351">
        <f t="shared" si="4"/>
        <v>1</v>
      </c>
      <c r="AC37" s="1351">
        <f t="shared" si="5"/>
        <v>1</v>
      </c>
    </row>
    <row r="38" spans="1:29" ht="15.6">
      <c r="A38" s="423" t="s">
        <v>1694</v>
      </c>
      <c r="B38" s="407" t="s">
        <v>1874</v>
      </c>
      <c r="C38" s="625"/>
      <c r="D38" s="418">
        <v>100</v>
      </c>
      <c r="E38" s="625"/>
      <c r="F38" s="418" t="e">
        <f>LOOKUP(E38,116:116,117:117)-LOOKUP(C38,116:116,117:117)+100</f>
        <v>#N/A</v>
      </c>
      <c r="G38" s="625"/>
      <c r="H38" s="418" t="e">
        <f>LOOKUP(G38,116:116,117:117)-LOOKUP(C38,116:116,117:117)+100</f>
        <v>#N/A</v>
      </c>
      <c r="I38" s="479"/>
      <c r="J38" s="418" t="e">
        <f>LOOKUP(I38,116:116,117:117)-LOOKUP(C38,116:116,117:117)+100</f>
        <v>#N/A</v>
      </c>
      <c r="K38" s="562"/>
      <c r="L38" s="2719"/>
      <c r="M38" s="2713"/>
      <c r="N38" s="2713"/>
      <c r="O38" s="2771"/>
      <c r="P38" s="3750"/>
      <c r="Q38" s="1350" t="str">
        <f>B38</f>
        <v>宗地面积</v>
      </c>
      <c r="R38" s="703" t="s">
        <v>14</v>
      </c>
      <c r="S38" s="704" t="e">
        <f t="shared" si="10"/>
        <v>#N/A</v>
      </c>
      <c r="T38" s="703" t="s">
        <v>14</v>
      </c>
      <c r="U38" s="704" t="e">
        <f t="shared" si="11"/>
        <v>#N/A</v>
      </c>
      <c r="V38" s="703" t="s">
        <v>14</v>
      </c>
      <c r="W38" s="704" t="e">
        <f t="shared" si="12"/>
        <v>#N/A</v>
      </c>
      <c r="X38" s="1353"/>
      <c r="Y38" s="375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50"/>
      <c r="Q39" s="1350" t="str">
        <f t="shared" ref="Q39:Q45" si="14">B39</f>
        <v>宗地形状</v>
      </c>
      <c r="R39" s="703" t="s">
        <v>14</v>
      </c>
      <c r="S39" s="704">
        <f t="shared" si="10"/>
        <v>100</v>
      </c>
      <c r="T39" s="703" t="s">
        <v>14</v>
      </c>
      <c r="U39" s="704">
        <f t="shared" si="11"/>
        <v>100</v>
      </c>
      <c r="V39" s="703" t="s">
        <v>14</v>
      </c>
      <c r="W39" s="704">
        <f t="shared" si="12"/>
        <v>100</v>
      </c>
      <c r="X39" s="1353"/>
      <c r="Y39" s="375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50"/>
      <c r="Q40" s="1350" t="str">
        <f t="shared" si="14"/>
        <v>临街宽度及深度</v>
      </c>
      <c r="R40" s="703" t="s">
        <v>14</v>
      </c>
      <c r="S40" s="704">
        <f t="shared" si="10"/>
        <v>100</v>
      </c>
      <c r="T40" s="703" t="s">
        <v>14</v>
      </c>
      <c r="U40" s="704">
        <f t="shared" si="11"/>
        <v>100</v>
      </c>
      <c r="V40" s="703" t="s">
        <v>14</v>
      </c>
      <c r="W40" s="704">
        <f t="shared" si="12"/>
        <v>100</v>
      </c>
      <c r="X40" s="1353"/>
      <c r="Y40" s="375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50"/>
      <c r="Q41" s="1350" t="str">
        <f t="shared" si="14"/>
        <v>宗地开发程度</v>
      </c>
      <c r="R41" s="699" t="s">
        <v>14</v>
      </c>
      <c r="S41" s="700">
        <f t="shared" si="10"/>
        <v>100</v>
      </c>
      <c r="T41" s="699" t="s">
        <v>14</v>
      </c>
      <c r="U41" s="700">
        <f t="shared" si="11"/>
        <v>100</v>
      </c>
      <c r="V41" s="699" t="s">
        <v>14</v>
      </c>
      <c r="W41" s="700">
        <f t="shared" si="12"/>
        <v>100</v>
      </c>
      <c r="X41" s="701"/>
      <c r="Y41" s="375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50" t="s">
        <v>1696</v>
      </c>
      <c r="Q42" s="1350" t="str">
        <f t="shared" si="14"/>
        <v>工程地质条件</v>
      </c>
      <c r="R42" s="703" t="s">
        <v>14</v>
      </c>
      <c r="S42" s="704">
        <f t="shared" si="10"/>
        <v>100</v>
      </c>
      <c r="T42" s="703" t="s">
        <v>14</v>
      </c>
      <c r="U42" s="704">
        <f t="shared" si="11"/>
        <v>100</v>
      </c>
      <c r="V42" s="703" t="s">
        <v>14</v>
      </c>
      <c r="W42" s="704">
        <f t="shared" si="12"/>
        <v>100</v>
      </c>
      <c r="X42" s="1353"/>
      <c r="Y42" s="3750" t="s">
        <v>1696</v>
      </c>
      <c r="Z42" s="1354" t="str">
        <f t="shared" si="13"/>
        <v>工程地质条件</v>
      </c>
      <c r="AA42" s="1351">
        <f t="shared" si="3"/>
        <v>1</v>
      </c>
      <c r="AB42" s="1351">
        <f t="shared" si="4"/>
        <v>1</v>
      </c>
      <c r="AC42" s="1351">
        <f t="shared" si="5"/>
        <v>1</v>
      </c>
    </row>
    <row r="43" spans="1:29" ht="15">
      <c r="A43" s="423"/>
      <c r="B43" s="1132">
        <v>111</v>
      </c>
      <c r="C43" s="620"/>
      <c r="D43" s="386">
        <v>100</v>
      </c>
      <c r="E43" s="620"/>
      <c r="F43" s="386">
        <f>SUMIF(126:126,E43,127:127)-SUMIF(126:126,C43,127:127)+100</f>
        <v>100</v>
      </c>
      <c r="G43" s="620"/>
      <c r="H43" s="386">
        <f>SUMIF(126:126,G43,127:127)-SUMIF(126:126,C43,127:127)+100</f>
        <v>100</v>
      </c>
      <c r="I43" s="498"/>
      <c r="J43" s="386">
        <f>SUMIF(126:126,I43,127:127)-SUMIF(126:126,C43,127:127)+100</f>
        <v>100</v>
      </c>
      <c r="K43" s="562"/>
      <c r="L43" s="2719"/>
      <c r="M43" s="2713"/>
      <c r="N43" s="2713"/>
      <c r="O43" s="2771"/>
      <c r="P43" s="3750"/>
      <c r="Q43" s="1350">
        <f t="shared" si="14"/>
        <v>111</v>
      </c>
      <c r="R43" s="703" t="s">
        <v>14</v>
      </c>
      <c r="S43" s="704">
        <f t="shared" si="10"/>
        <v>100</v>
      </c>
      <c r="T43" s="703" t="s">
        <v>14</v>
      </c>
      <c r="U43" s="704">
        <f t="shared" si="11"/>
        <v>100</v>
      </c>
      <c r="V43" s="703" t="s">
        <v>14</v>
      </c>
      <c r="W43" s="704">
        <f t="shared" si="12"/>
        <v>100</v>
      </c>
      <c r="X43" s="1353"/>
      <c r="Y43" s="3750"/>
      <c r="Z43" s="1354">
        <f t="shared" si="13"/>
        <v>111</v>
      </c>
      <c r="AA43" s="1351">
        <f t="shared" si="3"/>
        <v>1</v>
      </c>
      <c r="AB43" s="1351">
        <f t="shared" si="4"/>
        <v>1</v>
      </c>
      <c r="AC43" s="1351">
        <f t="shared" si="5"/>
        <v>1</v>
      </c>
    </row>
    <row r="44" spans="1:29" ht="15">
      <c r="A44" s="423"/>
      <c r="B44" s="1132">
        <v>111</v>
      </c>
      <c r="C44" s="620"/>
      <c r="D44" s="386">
        <v>100</v>
      </c>
      <c r="E44" s="620"/>
      <c r="F44" s="386">
        <f>SUMIF(128:128,E44,129:129)-SUMIF(128:128,C44,129:129)+100</f>
        <v>100</v>
      </c>
      <c r="G44" s="620"/>
      <c r="H44" s="386">
        <f>SUMIF(128:128,G44,129:129)-SUMIF(128:128,C44,129:129)+100</f>
        <v>100</v>
      </c>
      <c r="I44" s="498"/>
      <c r="J44" s="386">
        <f>SUMIF(128:128,I44,129:129)-SUMIF(128:128,C44,129:129)+100</f>
        <v>100</v>
      </c>
      <c r="K44" s="562"/>
      <c r="L44" s="2719"/>
      <c r="M44" s="2713"/>
      <c r="N44" s="2713"/>
      <c r="O44" s="2771"/>
      <c r="P44" s="3750"/>
      <c r="Q44" s="1350">
        <f t="shared" si="14"/>
        <v>111</v>
      </c>
      <c r="R44" s="703" t="s">
        <v>14</v>
      </c>
      <c r="S44" s="704">
        <f t="shared" si="10"/>
        <v>100</v>
      </c>
      <c r="T44" s="703" t="s">
        <v>14</v>
      </c>
      <c r="U44" s="704">
        <f t="shared" si="11"/>
        <v>100</v>
      </c>
      <c r="V44" s="703" t="s">
        <v>14</v>
      </c>
      <c r="W44" s="704">
        <f t="shared" si="12"/>
        <v>100</v>
      </c>
      <c r="X44" s="1353"/>
      <c r="Y44" s="3750"/>
      <c r="Z44" s="1354">
        <f t="shared" si="13"/>
        <v>111</v>
      </c>
      <c r="AA44" s="1351">
        <f t="shared" si="3"/>
        <v>1</v>
      </c>
      <c r="AB44" s="1351">
        <f t="shared" si="4"/>
        <v>1</v>
      </c>
      <c r="AC44" s="1351">
        <f t="shared" si="5"/>
        <v>1</v>
      </c>
    </row>
    <row r="45" spans="1:29" s="422" customFormat="1" ht="15.6" thickBot="1">
      <c r="A45" s="419"/>
      <c r="B45" s="1132">
        <v>111</v>
      </c>
      <c r="C45" s="1979"/>
      <c r="D45" s="626">
        <v>100</v>
      </c>
      <c r="E45" s="620"/>
      <c r="F45" s="389">
        <f>SUMIF(130:130,E45,131:131)-SUMIF(130:130,C45,131:131)+100</f>
        <v>100</v>
      </c>
      <c r="G45" s="620"/>
      <c r="H45" s="389">
        <f>SUMIF(130:130,G45,131:131)-SUMIF(130:130,C45,131:131)+100</f>
        <v>100</v>
      </c>
      <c r="I45" s="620"/>
      <c r="J45" s="389">
        <f>SUMIF(130:130,I45,131:131)-SUMIF(130:130,C45,131:131)+100</f>
        <v>100</v>
      </c>
      <c r="K45" s="627"/>
      <c r="L45" s="2718"/>
      <c r="M45" s="2720"/>
      <c r="N45" s="2720"/>
      <c r="O45" s="2772"/>
      <c r="P45" s="3750"/>
      <c r="Q45" s="1350">
        <f t="shared" si="14"/>
        <v>111</v>
      </c>
      <c r="R45" s="706" t="s">
        <v>14</v>
      </c>
      <c r="S45" s="707">
        <f t="shared" si="10"/>
        <v>100</v>
      </c>
      <c r="T45" s="706" t="s">
        <v>14</v>
      </c>
      <c r="U45" s="707">
        <f t="shared" si="11"/>
        <v>100</v>
      </c>
      <c r="V45" s="706" t="s">
        <v>14</v>
      </c>
      <c r="W45" s="707">
        <f t="shared" si="12"/>
        <v>100</v>
      </c>
      <c r="X45" s="708"/>
      <c r="Y45" s="3750"/>
      <c r="Z45" s="709">
        <f t="shared" si="13"/>
        <v>111</v>
      </c>
      <c r="AA45" s="1351">
        <f t="shared" si="3"/>
        <v>1</v>
      </c>
      <c r="AB45" s="1351">
        <f t="shared" si="4"/>
        <v>1</v>
      </c>
      <c r="AC45" s="1351">
        <f t="shared" si="5"/>
        <v>1</v>
      </c>
    </row>
    <row r="46" spans="1:29" ht="14.4">
      <c r="A46" s="430" t="s">
        <v>1844</v>
      </c>
      <c r="B46" s="1980" t="s">
        <v>1879</v>
      </c>
      <c r="C46" s="628" t="s">
        <v>0</v>
      </c>
      <c r="D46" s="432"/>
      <c r="E46" s="433"/>
      <c r="F46" s="434"/>
      <c r="G46" s="435"/>
      <c r="H46" s="436"/>
      <c r="I46" s="433"/>
      <c r="J46" s="436"/>
      <c r="K46" s="712"/>
      <c r="L46" s="2721"/>
      <c r="M46" s="2722"/>
      <c r="N46" s="2713"/>
      <c r="O46" s="2722"/>
      <c r="P46" s="3743" t="str">
        <f>A46</f>
        <v>成交单价</v>
      </c>
      <c r="Q46" s="3743"/>
      <c r="R46" s="3738">
        <f>E46</f>
        <v>0</v>
      </c>
      <c r="S46" s="3738"/>
      <c r="T46" s="3738">
        <f>G46</f>
        <v>0</v>
      </c>
      <c r="U46" s="3738"/>
      <c r="V46" s="3738">
        <f>I46</f>
        <v>0</v>
      </c>
      <c r="W46" s="3738"/>
      <c r="X46" s="688"/>
      <c r="Y46" s="710"/>
      <c r="Z46" s="688"/>
      <c r="AA46" s="688"/>
      <c r="AB46" s="688"/>
      <c r="AC46" s="688"/>
    </row>
    <row r="47" spans="1:29" ht="15" thickBot="1">
      <c r="A47" s="437" t="s">
        <v>1793</v>
      </c>
      <c r="B47" s="629"/>
      <c r="C47" s="440" t="e">
        <f>R48</f>
        <v>#DIV/0!</v>
      </c>
      <c r="D47" s="2314" t="s">
        <v>2137</v>
      </c>
      <c r="E47" s="440" t="e">
        <f>R47</f>
        <v>#DIV/0!</v>
      </c>
      <c r="F47" s="2315"/>
      <c r="G47" s="439" t="e">
        <f>T47</f>
        <v>#DIV/0!</v>
      </c>
      <c r="H47" s="2315"/>
      <c r="I47" s="440" t="e">
        <f>V47</f>
        <v>#DIV/0!</v>
      </c>
      <c r="J47" s="2315"/>
      <c r="K47" s="2317">
        <f>F47+H47+J47</f>
        <v>0</v>
      </c>
      <c r="L47" s="2721"/>
      <c r="M47" s="2722"/>
      <c r="N47" s="2722"/>
      <c r="O47" s="2722"/>
      <c r="P47" s="3743" t="str">
        <f>A47</f>
        <v>比较价值（元/平方米）</v>
      </c>
      <c r="Q47" s="3743"/>
      <c r="R47" s="3773" t="e">
        <f>ROUND(PRODUCT(R46,AA7:AA45),0)</f>
        <v>#DIV/0!</v>
      </c>
      <c r="S47" s="3773"/>
      <c r="T47" s="3773" t="e">
        <f>ROUND(PRODUCT(T46,AB7:AB45),0)</f>
        <v>#DIV/0!</v>
      </c>
      <c r="U47" s="3773"/>
      <c r="V47" s="3773" t="e">
        <f>ROUND(PRODUCT(V46,AC7:AC45),0)</f>
        <v>#DIV/0!</v>
      </c>
      <c r="W47" s="3773"/>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21"/>
      <c r="M48" s="2722"/>
      <c r="N48" s="2722"/>
      <c r="O48" s="2722"/>
      <c r="P48" s="3740" t="str">
        <f>A48</f>
        <v>估价对象XX用房的比较价值（楼面单价，元/平方米）</v>
      </c>
      <c r="Q48" s="3741"/>
      <c r="R48" s="3774" t="e">
        <f>ROUND(IF(D47="简单平均",AVERAGE(R47:W47),R47*F47+T47*H47+V47*J47),0)</f>
        <v>#DIV/0!</v>
      </c>
      <c r="S48" s="3774"/>
      <c r="T48" s="3774"/>
      <c r="U48" s="3774"/>
      <c r="V48" s="3774"/>
      <c r="W48" s="3774"/>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0" t="s">
        <v>1881</v>
      </c>
      <c r="B55" s="631" t="s">
        <v>1882</v>
      </c>
      <c r="C55" s="1981" t="s">
        <v>1883</v>
      </c>
      <c r="D55" s="1982" t="s">
        <v>1884</v>
      </c>
      <c r="E55" s="632" t="s">
        <v>1885</v>
      </c>
      <c r="F55" s="888" t="s">
        <v>1886</v>
      </c>
      <c r="G55" s="3726" t="s">
        <v>1887</v>
      </c>
      <c r="H55" s="3775"/>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8" customFormat="1">
      <c r="A56" s="634" t="s">
        <v>1890</v>
      </c>
      <c r="B56" s="635" t="e">
        <f>C48</f>
        <v>#DIV/0!</v>
      </c>
      <c r="C56" s="636">
        <v>1</v>
      </c>
      <c r="D56" s="942">
        <v>1</v>
      </c>
      <c r="E56" s="636">
        <f>'数据-汇总表'!E8+'数据-汇总表'!E9</f>
        <v>127.35</v>
      </c>
      <c r="F56" s="884" t="e">
        <f t="shared" ref="F56:F64" si="15">ROUND(B56*E56/10000,0)</f>
        <v>#DIV/0!</v>
      </c>
      <c r="G56" s="3725"/>
      <c r="H56" s="3743"/>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8" customFormat="1">
      <c r="A57" s="639" t="s">
        <v>1891</v>
      </c>
      <c r="B57" s="218" t="e">
        <f>ROUND($C$48*C57*D57,0)</f>
        <v>#DIV/0!</v>
      </c>
      <c r="C57" s="171">
        <f t="shared" ref="C57:C64" si="16">IF($C$55="北京市系数",I57,J57)</f>
        <v>0.6</v>
      </c>
      <c r="D57" s="943">
        <v>0.25</v>
      </c>
      <c r="E57" s="640"/>
      <c r="F57" s="884" t="e">
        <f t="shared" si="15"/>
        <v>#DIV/0!</v>
      </c>
      <c r="G57" s="3003" t="s">
        <v>1892</v>
      </c>
      <c r="H57" s="885" t="str">
        <f>项目基本情况!B37</f>
        <v>五级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8" customFormat="1">
      <c r="A58" s="639" t="s">
        <v>1893</v>
      </c>
      <c r="B58" s="218" t="e">
        <f t="shared" ref="B58:B64" si="17">ROUND($C$48*C58*D58,0)</f>
        <v>#DIV/0!</v>
      </c>
      <c r="C58" s="171">
        <f t="shared" si="16"/>
        <v>0.3</v>
      </c>
      <c r="D58" s="943">
        <v>0.25</v>
      </c>
      <c r="E58" s="640"/>
      <c r="F58" s="884" t="e">
        <f t="shared" si="15"/>
        <v>#DIV/0!</v>
      </c>
      <c r="G58" s="3004"/>
      <c r="H58" s="885" t="str">
        <f>项目基本情况!B37</f>
        <v>五级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8" customFormat="1">
      <c r="A59" s="639" t="s">
        <v>1894</v>
      </c>
      <c r="B59" s="218" t="e">
        <f t="shared" si="17"/>
        <v>#DIV/0!</v>
      </c>
      <c r="C59" s="171">
        <f t="shared" si="16"/>
        <v>0.25</v>
      </c>
      <c r="D59" s="943">
        <v>0.25</v>
      </c>
      <c r="E59" s="640"/>
      <c r="F59" s="884" t="e">
        <f t="shared" si="15"/>
        <v>#DIV/0!</v>
      </c>
      <c r="G59" s="3004"/>
      <c r="H59" s="885" t="str">
        <f>项目基本情况!B37</f>
        <v>五级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8" customFormat="1">
      <c r="A60" s="639"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8" customFormat="1">
      <c r="A61" s="639"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8" customFormat="1">
      <c r="A62" s="639"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8" customFormat="1">
      <c r="A63" s="639" t="s">
        <v>1901</v>
      </c>
      <c r="B63" s="218" t="e">
        <f t="shared" si="17"/>
        <v>#DIV/0!</v>
      </c>
      <c r="C63" s="171">
        <f t="shared" si="16"/>
        <v>0.15</v>
      </c>
      <c r="D63" s="943">
        <v>0.25</v>
      </c>
      <c r="E63" s="217">
        <f>'数据-汇总表'!E14</f>
        <v>0</v>
      </c>
      <c r="F63" s="884" t="e">
        <f t="shared" si="15"/>
        <v>#DIV/0!</v>
      </c>
      <c r="G63" s="1985" t="s">
        <v>1892</v>
      </c>
      <c r="H63" s="885" t="str">
        <f>项目基本情况!B37</f>
        <v>五级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8" customFormat="1" ht="14.4" thickBot="1">
      <c r="A64" s="639"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8" customFormat="1" thickBot="1">
      <c r="A65" s="641" t="s">
        <v>1903</v>
      </c>
      <c r="B65" s="642" t="s">
        <v>22</v>
      </c>
      <c r="C65" s="642" t="s">
        <v>23</v>
      </c>
      <c r="D65" s="642" t="s">
        <v>392</v>
      </c>
      <c r="E65" s="642">
        <f>IF(B46="楼面地价",SUM(E56:E64),'数据-汇总表'!D3)</f>
        <v>127.35</v>
      </c>
      <c r="F65" s="643"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2"/>
      <c r="Q67" s="2722"/>
      <c r="R67" s="2722"/>
      <c r="S67" s="2722"/>
      <c r="T67" s="2722"/>
      <c r="U67" s="2722"/>
      <c r="V67" s="2722"/>
      <c r="W67" s="2722"/>
      <c r="X67" s="2722"/>
      <c r="Y67" s="2722"/>
      <c r="Z67" s="2722"/>
      <c r="AA67" s="2722"/>
      <c r="AB67" s="2722"/>
      <c r="AC67" s="2722"/>
    </row>
    <row r="68" spans="1:29" ht="22.2"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4.4">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5">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4"/>
      <c r="M95" s="569"/>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69"/>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6" t="s">
        <v>1799</v>
      </c>
      <c r="D101" s="606" t="s">
        <v>1800</v>
      </c>
      <c r="E101" s="606" t="s">
        <v>1801</v>
      </c>
      <c r="F101" s="606" t="s">
        <v>1802</v>
      </c>
      <c r="G101" s="606"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1"/>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3"/>
      <c r="E114" s="623"/>
      <c r="F114" s="623"/>
      <c r="G114" s="623"/>
      <c r="H114" s="623"/>
      <c r="I114" s="623"/>
      <c r="J114" s="623"/>
      <c r="K114" s="623"/>
      <c r="L114" s="623"/>
      <c r="M114" s="645"/>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6"/>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7"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3"/>
      <c r="Y4" s="3713" t="s">
        <v>1775</v>
      </c>
      <c r="Z4" s="3714"/>
      <c r="AA4" s="3708" t="s">
        <v>1771</v>
      </c>
      <c r="AB4" s="3709" t="s">
        <v>1772</v>
      </c>
      <c r="AC4" s="3708" t="s">
        <v>1773</v>
      </c>
    </row>
    <row r="5" spans="1:29">
      <c r="A5" s="358"/>
      <c r="B5" s="359"/>
      <c r="C5" s="3719" t="s">
        <v>1673</v>
      </c>
      <c r="D5" s="3720"/>
      <c r="E5" s="3717" t="s">
        <v>1674</v>
      </c>
      <c r="F5" s="3718"/>
      <c r="G5" s="3719" t="s">
        <v>1675</v>
      </c>
      <c r="H5" s="3720"/>
      <c r="I5" s="3719" t="s">
        <v>1676</v>
      </c>
      <c r="J5" s="3720"/>
      <c r="K5" s="559"/>
      <c r="L5" s="2712"/>
      <c r="M5" s="2713"/>
      <c r="N5" s="2713"/>
      <c r="O5" s="2713"/>
      <c r="P5" s="3732"/>
      <c r="Q5" s="3733"/>
      <c r="R5" s="3715"/>
      <c r="S5" s="3716"/>
      <c r="T5" s="3715"/>
      <c r="U5" s="3716"/>
      <c r="V5" s="3738"/>
      <c r="W5" s="3738"/>
      <c r="X5" s="1353"/>
      <c r="Y5" s="3715"/>
      <c r="Z5" s="3716"/>
      <c r="AA5" s="3709"/>
      <c r="AB5" s="3709"/>
      <c r="AC5" s="3709"/>
    </row>
    <row r="6" spans="1:29" ht="15" thickBot="1">
      <c r="A6" s="360"/>
      <c r="B6" s="361"/>
      <c r="C6" s="3776" t="s">
        <v>1919</v>
      </c>
      <c r="D6" s="3777"/>
      <c r="E6" s="3778" t="s">
        <v>1919</v>
      </c>
      <c r="F6" s="3779"/>
      <c r="G6" s="3776" t="s">
        <v>1919</v>
      </c>
      <c r="H6" s="3777"/>
      <c r="I6" s="3776" t="s">
        <v>1919</v>
      </c>
      <c r="J6" s="3777"/>
      <c r="K6" s="559" t="s">
        <v>1678</v>
      </c>
      <c r="L6" s="2712"/>
      <c r="M6" s="2713"/>
      <c r="N6" s="2713"/>
      <c r="O6" s="2713"/>
      <c r="P6" s="3734"/>
      <c r="Q6" s="3735"/>
      <c r="R6" s="3715"/>
      <c r="S6" s="3716"/>
      <c r="T6" s="3736"/>
      <c r="U6" s="3737"/>
      <c r="V6" s="3738"/>
      <c r="W6" s="3738"/>
      <c r="X6" s="1353"/>
      <c r="Y6" s="3736"/>
      <c r="Z6" s="3737"/>
      <c r="AA6" s="3710"/>
      <c r="AB6" s="3710"/>
      <c r="AC6" s="3710"/>
    </row>
    <row r="7" spans="1:29" s="108" customFormat="1" ht="15" thickBot="1">
      <c r="A7" s="362" t="s">
        <v>1679</v>
      </c>
      <c r="B7" s="363"/>
      <c r="C7" s="364">
        <f>'数据-取费表'!B2</f>
        <v>45491</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11" t="s">
        <v>1680</v>
      </c>
      <c r="Q7" s="3739"/>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1" t="s">
        <v>1683</v>
      </c>
      <c r="Q8" s="3712"/>
      <c r="R8" s="699" t="s">
        <v>14</v>
      </c>
      <c r="S8" s="700">
        <f t="shared" si="0"/>
        <v>0</v>
      </c>
      <c r="T8" s="699" t="s">
        <v>14</v>
      </c>
      <c r="U8" s="700">
        <f t="shared" si="1"/>
        <v>0</v>
      </c>
      <c r="V8" s="699" t="s">
        <v>14</v>
      </c>
      <c r="W8" s="700">
        <f t="shared" si="2"/>
        <v>0</v>
      </c>
      <c r="X8" s="701"/>
      <c r="Y8" s="3711" t="s">
        <v>1683</v>
      </c>
      <c r="Z8" s="3712"/>
      <c r="AA8" s="702" t="e">
        <f t="shared" ref="AA8:AA40" si="3">D8/F8</f>
        <v>#DIV/0!</v>
      </c>
      <c r="AB8" s="702" t="e">
        <f t="shared" ref="AB8:AB40" si="4">D8/H8</f>
        <v>#DIV/0!</v>
      </c>
      <c r="AC8" s="702"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43" t="s">
        <v>1686</v>
      </c>
      <c r="Q9" s="1341"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134</v>
      </c>
      <c r="G10" s="383"/>
      <c r="H10" s="127">
        <f>ROUND(100/'数据-取费表'!G16,0)</f>
        <v>134</v>
      </c>
      <c r="I10" s="383"/>
      <c r="J10" s="127">
        <f>ROUND(100/'数据-取费表'!G16,0)</f>
        <v>134</v>
      </c>
      <c r="K10" s="618"/>
      <c r="L10" s="2716"/>
      <c r="M10" s="2717"/>
      <c r="N10" s="2717"/>
      <c r="O10" s="2770"/>
      <c r="P10" s="3743"/>
      <c r="Q10" s="1341" t="str">
        <f t="shared" si="6"/>
        <v>土地使用年限（年）</v>
      </c>
      <c r="R10" s="699" t="s">
        <v>14</v>
      </c>
      <c r="S10" s="700">
        <f t="shared" si="0"/>
        <v>134</v>
      </c>
      <c r="T10" s="699" t="s">
        <v>14</v>
      </c>
      <c r="U10" s="700">
        <f t="shared" si="1"/>
        <v>134</v>
      </c>
      <c r="V10" s="699" t="s">
        <v>14</v>
      </c>
      <c r="W10" s="700">
        <f t="shared" si="2"/>
        <v>134</v>
      </c>
      <c r="X10" s="701"/>
      <c r="Y10" s="3636"/>
      <c r="Z10" s="52" t="str">
        <f t="shared" si="7"/>
        <v>土地使用年限（年）</v>
      </c>
      <c r="AA10" s="702">
        <f t="shared" si="3"/>
        <v>0.74626865671641796</v>
      </c>
      <c r="AB10" s="702">
        <f t="shared" si="4"/>
        <v>0.74626865671641796</v>
      </c>
      <c r="AC10" s="702">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9"/>
      <c r="L11" s="2718"/>
      <c r="M11" s="2713"/>
      <c r="N11" s="2713"/>
      <c r="O11" s="2771"/>
      <c r="P11" s="3743"/>
      <c r="Q11" s="1341"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0"/>
      <c r="H12" s="127">
        <f>SUMIF(77:77,G12,78:78)-SUMIF(77:77,C12,78:78)+100</f>
        <v>100</v>
      </c>
      <c r="I12" s="498"/>
      <c r="J12" s="127">
        <f>SUMIF(77:77,I12,78:78)-SUMIF(77:77,C12,78:78)+100</f>
        <v>100</v>
      </c>
      <c r="K12" s="618"/>
      <c r="L12" s="2714"/>
      <c r="M12" s="2715"/>
      <c r="N12" s="2715"/>
      <c r="O12" s="2769"/>
      <c r="P12" s="3743"/>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0"/>
      <c r="H13" s="386">
        <f>SUMIF(79:79,G13,80:80)-SUMIF(79:79,C13,80:80)+100</f>
        <v>100</v>
      </c>
      <c r="I13" s="498"/>
      <c r="J13" s="386">
        <f>SUMIF(79:79,I13,80:80)-SUMIF(79:79,C13,80:80)+100</f>
        <v>100</v>
      </c>
      <c r="K13" s="618"/>
      <c r="L13" s="2719"/>
      <c r="M13" s="2713"/>
      <c r="N13" s="2713"/>
      <c r="O13" s="2771"/>
      <c r="P13" s="3743"/>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3">
        <v>111</v>
      </c>
      <c r="C14" s="388"/>
      <c r="D14" s="389">
        <v>100</v>
      </c>
      <c r="E14" s="498"/>
      <c r="F14" s="389">
        <f>SUMIF(81:81,E14,82:82)-SUMIF(81:81,C14,82:82)+100</f>
        <v>100</v>
      </c>
      <c r="G14" s="620"/>
      <c r="H14" s="389">
        <f>SUMIF(81:81,G14,82:82)-SUMIF(81:81,C14,82:82)+100</f>
        <v>100</v>
      </c>
      <c r="I14" s="498"/>
      <c r="J14" s="389">
        <f>SUMIF(81:81,I14,82:82)-SUMIF(81:81,C14,82:82)+100</f>
        <v>100</v>
      </c>
      <c r="K14" s="618"/>
      <c r="L14" s="2719"/>
      <c r="M14" s="2713"/>
      <c r="N14" s="2713"/>
      <c r="O14" s="2771"/>
      <c r="P14" s="3743"/>
      <c r="Q14" s="1341">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575"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719"/>
      <c r="M15" s="2713"/>
      <c r="N15" s="2713"/>
      <c r="O15" s="2771"/>
      <c r="P15" s="3745" t="s">
        <v>1691</v>
      </c>
      <c r="Q15" s="1350" t="str">
        <f t="shared" si="6"/>
        <v>产业集聚程度</v>
      </c>
      <c r="R15" s="703" t="s">
        <v>14</v>
      </c>
      <c r="S15" s="704">
        <f t="shared" si="0"/>
        <v>100</v>
      </c>
      <c r="T15" s="703" t="s">
        <v>14</v>
      </c>
      <c r="U15" s="704">
        <f t="shared" si="1"/>
        <v>100</v>
      </c>
      <c r="V15" s="703" t="s">
        <v>14</v>
      </c>
      <c r="W15" s="704">
        <f t="shared" si="2"/>
        <v>100</v>
      </c>
      <c r="X15" s="1353"/>
      <c r="Y15" s="3745" t="s">
        <v>1691</v>
      </c>
      <c r="Z15" s="1354" t="str">
        <f t="shared" si="7"/>
        <v>产业集聚程度</v>
      </c>
      <c r="AA15" s="1351">
        <f t="shared" si="3"/>
        <v>1</v>
      </c>
      <c r="AB15" s="1351">
        <f t="shared" si="4"/>
        <v>1</v>
      </c>
      <c r="AC15" s="1351">
        <f t="shared" si="5"/>
        <v>1</v>
      </c>
    </row>
    <row r="16" spans="1:29" ht="15">
      <c r="A16" s="379"/>
      <c r="B16" s="576"/>
      <c r="C16" s="398"/>
      <c r="D16" s="399"/>
      <c r="E16" s="1902"/>
      <c r="F16" s="399"/>
      <c r="G16" s="1902"/>
      <c r="H16" s="401"/>
      <c r="I16" s="1902"/>
      <c r="J16" s="399"/>
      <c r="K16" s="618"/>
      <c r="L16" s="2719"/>
      <c r="M16" s="2713"/>
      <c r="N16" s="2713"/>
      <c r="O16" s="2771"/>
      <c r="P16" s="3746"/>
      <c r="Q16" s="1350"/>
      <c r="R16" s="703"/>
      <c r="S16" s="704"/>
      <c r="T16" s="703"/>
      <c r="U16" s="704"/>
      <c r="V16" s="703"/>
      <c r="W16" s="704"/>
      <c r="X16" s="1353"/>
      <c r="Y16" s="3746"/>
      <c r="Z16" s="1354"/>
      <c r="AA16" s="1351">
        <v>1</v>
      </c>
      <c r="AB16" s="1351">
        <v>1</v>
      </c>
      <c r="AC16" s="1351">
        <v>1</v>
      </c>
    </row>
    <row r="17" spans="1:29" ht="96.6">
      <c r="A17" s="379"/>
      <c r="B17" s="577"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719"/>
      <c r="M17" s="2713"/>
      <c r="N17" s="2713"/>
      <c r="O17" s="2771"/>
      <c r="P17" s="3746"/>
      <c r="Q17" s="1350" t="str">
        <f>B17</f>
        <v>交通便捷度</v>
      </c>
      <c r="R17" s="703" t="s">
        <v>14</v>
      </c>
      <c r="S17" s="704">
        <f>F17</f>
        <v>100</v>
      </c>
      <c r="T17" s="703" t="s">
        <v>14</v>
      </c>
      <c r="U17" s="704">
        <f>H17</f>
        <v>100</v>
      </c>
      <c r="V17" s="703" t="s">
        <v>14</v>
      </c>
      <c r="W17" s="704">
        <f>J17</f>
        <v>100</v>
      </c>
      <c r="X17" s="1353"/>
      <c r="Y17" s="3746"/>
      <c r="Z17" s="1354" t="str">
        <f>Q17</f>
        <v>交通便捷度</v>
      </c>
      <c r="AA17" s="1351">
        <f t="shared" si="3"/>
        <v>1</v>
      </c>
      <c r="AB17" s="1351">
        <f t="shared" si="4"/>
        <v>1</v>
      </c>
      <c r="AC17" s="1351">
        <f t="shared" si="5"/>
        <v>1</v>
      </c>
    </row>
    <row r="18" spans="1:29" ht="15">
      <c r="A18" s="379"/>
      <c r="B18" s="578"/>
      <c r="C18" s="398"/>
      <c r="D18" s="399"/>
      <c r="E18" s="1896"/>
      <c r="F18" s="399"/>
      <c r="G18" s="1896"/>
      <c r="H18" s="399"/>
      <c r="I18" s="1895"/>
      <c r="J18" s="399"/>
      <c r="K18" s="618"/>
      <c r="L18" s="2719"/>
      <c r="M18" s="2713"/>
      <c r="N18" s="2713"/>
      <c r="O18" s="2771"/>
      <c r="P18" s="3746"/>
      <c r="Q18" s="1350"/>
      <c r="R18" s="703"/>
      <c r="S18" s="704"/>
      <c r="T18" s="703"/>
      <c r="U18" s="704"/>
      <c r="V18" s="703"/>
      <c r="W18" s="704"/>
      <c r="X18" s="1353"/>
      <c r="Y18" s="3746"/>
      <c r="Z18" s="1354"/>
      <c r="AA18" s="1351">
        <v>1</v>
      </c>
      <c r="AB18" s="1351">
        <v>1</v>
      </c>
      <c r="AC18" s="1351">
        <v>1</v>
      </c>
    </row>
    <row r="19" spans="1:29" ht="28.8">
      <c r="A19" s="379"/>
      <c r="B19" s="577"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719"/>
      <c r="M19" s="2713"/>
      <c r="N19" s="2713"/>
      <c r="O19" s="2771"/>
      <c r="P19" s="3746"/>
      <c r="Q19" s="1350" t="str">
        <f t="shared" ref="Q19:Q33" si="8">B19</f>
        <v>区域土地利用方向</v>
      </c>
      <c r="R19" s="703" t="s">
        <v>14</v>
      </c>
      <c r="S19" s="704">
        <f>F19</f>
        <v>100</v>
      </c>
      <c r="T19" s="703" t="s">
        <v>14</v>
      </c>
      <c r="U19" s="704">
        <f>H19</f>
        <v>100</v>
      </c>
      <c r="V19" s="703" t="s">
        <v>14</v>
      </c>
      <c r="W19" s="704">
        <f>J19</f>
        <v>100</v>
      </c>
      <c r="X19" s="1353"/>
      <c r="Y19" s="3746"/>
      <c r="Z19" s="1354" t="str">
        <f>Q19</f>
        <v>区域土地利用方向</v>
      </c>
      <c r="AA19" s="1351">
        <f t="shared" si="3"/>
        <v>1</v>
      </c>
      <c r="AB19" s="1351">
        <f t="shared" si="4"/>
        <v>1</v>
      </c>
      <c r="AC19" s="1351">
        <f t="shared" si="5"/>
        <v>1</v>
      </c>
    </row>
    <row r="20" spans="1:29" ht="15">
      <c r="A20" s="358"/>
      <c r="B20" s="578"/>
      <c r="C20" s="398"/>
      <c r="D20" s="399"/>
      <c r="E20" s="1896"/>
      <c r="F20" s="399"/>
      <c r="G20" s="1896"/>
      <c r="H20" s="399"/>
      <c r="I20" s="1896"/>
      <c r="J20" s="399"/>
      <c r="K20" s="738"/>
      <c r="L20" s="2719"/>
      <c r="M20" s="2713"/>
      <c r="N20" s="2713"/>
      <c r="O20" s="2771"/>
      <c r="P20" s="3746"/>
      <c r="Q20" s="1350"/>
      <c r="R20" s="703"/>
      <c r="S20" s="704"/>
      <c r="T20" s="703"/>
      <c r="U20" s="704"/>
      <c r="V20" s="703"/>
      <c r="W20" s="704"/>
      <c r="X20" s="1353"/>
      <c r="Y20" s="3746"/>
      <c r="Z20" s="1354"/>
      <c r="AA20" s="1351"/>
      <c r="AB20" s="1351"/>
      <c r="AC20" s="1351"/>
    </row>
    <row r="21" spans="1:29" ht="82.8">
      <c r="A21" s="358"/>
      <c r="B21" s="577"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719"/>
      <c r="M21" s="2713"/>
      <c r="N21" s="2713"/>
      <c r="O21" s="2771"/>
      <c r="P21" s="3746"/>
      <c r="Q21" s="1350" t="str">
        <f t="shared" si="8"/>
        <v>环境状况</v>
      </c>
      <c r="R21" s="703" t="s">
        <v>14</v>
      </c>
      <c r="S21" s="704">
        <f>F21</f>
        <v>100</v>
      </c>
      <c r="T21" s="703" t="s">
        <v>14</v>
      </c>
      <c r="U21" s="704">
        <f>H21</f>
        <v>100</v>
      </c>
      <c r="V21" s="703" t="s">
        <v>14</v>
      </c>
      <c r="W21" s="704">
        <f>J21</f>
        <v>100</v>
      </c>
      <c r="X21" s="1353"/>
      <c r="Y21" s="3746"/>
      <c r="Z21" s="1354" t="str">
        <f>Q21</f>
        <v>环境状况</v>
      </c>
      <c r="AA21" s="1351">
        <f t="shared" si="3"/>
        <v>1</v>
      </c>
      <c r="AB21" s="1351">
        <f t="shared" si="4"/>
        <v>1</v>
      </c>
      <c r="AC21" s="1351">
        <f t="shared" si="5"/>
        <v>1</v>
      </c>
    </row>
    <row r="22" spans="1:29" ht="15">
      <c r="A22" s="358"/>
      <c r="B22" s="578"/>
      <c r="C22" s="398"/>
      <c r="D22" s="399"/>
      <c r="E22" s="1902"/>
      <c r="F22" s="399"/>
      <c r="G22" s="1902"/>
      <c r="H22" s="399"/>
      <c r="I22" s="398"/>
      <c r="J22" s="399"/>
      <c r="K22" s="618"/>
      <c r="L22" s="2719"/>
      <c r="M22" s="2713"/>
      <c r="N22" s="2713"/>
      <c r="O22" s="2771"/>
      <c r="P22" s="3746"/>
      <c r="Q22" s="1350"/>
      <c r="R22" s="703"/>
      <c r="S22" s="704"/>
      <c r="T22" s="703"/>
      <c r="U22" s="704"/>
      <c r="V22" s="703"/>
      <c r="W22" s="704"/>
      <c r="X22" s="1353"/>
      <c r="Y22" s="3746"/>
      <c r="Z22" s="1354"/>
      <c r="AA22" s="1351">
        <v>1</v>
      </c>
      <c r="AB22" s="1351">
        <v>1</v>
      </c>
      <c r="AC22" s="1351">
        <v>1</v>
      </c>
    </row>
    <row r="23" spans="1:29" s="108" customFormat="1" ht="41.4">
      <c r="A23" s="595"/>
      <c r="B23" s="579"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714"/>
      <c r="M23" s="2715"/>
      <c r="N23" s="2715"/>
      <c r="O23" s="2769"/>
      <c r="P23" s="3746"/>
      <c r="Q23" s="1341" t="str">
        <f t="shared" si="8"/>
        <v>公共配套设施</v>
      </c>
      <c r="R23" s="699" t="s">
        <v>14</v>
      </c>
      <c r="S23" s="700">
        <f>F23</f>
        <v>100</v>
      </c>
      <c r="T23" s="699" t="s">
        <v>14</v>
      </c>
      <c r="U23" s="700">
        <f>H23</f>
        <v>100</v>
      </c>
      <c r="V23" s="699" t="s">
        <v>14</v>
      </c>
      <c r="W23" s="700">
        <f>J23</f>
        <v>100</v>
      </c>
      <c r="X23" s="701"/>
      <c r="Y23" s="3746"/>
      <c r="Z23" s="52" t="str">
        <f>Q23</f>
        <v>公共配套设施</v>
      </c>
      <c r="AA23" s="1351">
        <f>D23/F23</f>
        <v>1</v>
      </c>
      <c r="AB23" s="1351">
        <f>D23/H23</f>
        <v>1</v>
      </c>
      <c r="AC23" s="1351">
        <f>D23/J23</f>
        <v>1</v>
      </c>
    </row>
    <row r="24" spans="1:29" s="108" customFormat="1" ht="15">
      <c r="A24" s="595"/>
      <c r="B24" s="578"/>
      <c r="C24" s="1976"/>
      <c r="D24" s="399"/>
      <c r="E24" s="1902"/>
      <c r="F24" s="399"/>
      <c r="G24" s="1902"/>
      <c r="H24" s="399"/>
      <c r="I24" s="398"/>
      <c r="J24" s="399"/>
      <c r="K24" s="618"/>
      <c r="L24" s="2714"/>
      <c r="M24" s="2715"/>
      <c r="N24" s="2715"/>
      <c r="O24" s="2769"/>
      <c r="P24" s="3746"/>
      <c r="Q24" s="1341"/>
      <c r="R24" s="699"/>
      <c r="S24" s="700"/>
      <c r="T24" s="699"/>
      <c r="U24" s="700"/>
      <c r="V24" s="699"/>
      <c r="W24" s="700"/>
      <c r="X24" s="701"/>
      <c r="Y24" s="3746"/>
      <c r="Z24" s="52"/>
      <c r="AA24" s="702">
        <v>1</v>
      </c>
      <c r="AB24" s="702">
        <v>1</v>
      </c>
      <c r="AC24" s="702">
        <v>1</v>
      </c>
    </row>
    <row r="25" spans="1:29" s="108" customFormat="1" ht="41.4">
      <c r="A25" s="595"/>
      <c r="B25" s="579"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714"/>
      <c r="M25" s="2715"/>
      <c r="N25" s="2715"/>
      <c r="O25" s="2769"/>
      <c r="P25" s="3746"/>
      <c r="Q25" s="1341" t="str">
        <f t="shared" ref="Q25" si="9">B25</f>
        <v>基础设施水平</v>
      </c>
      <c r="R25" s="699" t="s">
        <v>14</v>
      </c>
      <c r="S25" s="700">
        <f>F25</f>
        <v>100</v>
      </c>
      <c r="T25" s="699" t="s">
        <v>14</v>
      </c>
      <c r="U25" s="700">
        <f>H25</f>
        <v>100</v>
      </c>
      <c r="V25" s="699" t="s">
        <v>14</v>
      </c>
      <c r="W25" s="700">
        <f>J25</f>
        <v>100</v>
      </c>
      <c r="X25" s="701"/>
      <c r="Y25" s="3746"/>
      <c r="Z25" s="52" t="str">
        <f>Q25</f>
        <v>基础设施水平</v>
      </c>
      <c r="AA25" s="1351">
        <f>D25/F25</f>
        <v>1</v>
      </c>
      <c r="AB25" s="1351">
        <f>D25/H25</f>
        <v>1</v>
      </c>
      <c r="AC25" s="1351">
        <f>D25/J25</f>
        <v>1</v>
      </c>
    </row>
    <row r="26" spans="1:29" s="108" customFormat="1" ht="15">
      <c r="A26" s="595"/>
      <c r="B26" s="578"/>
      <c r="C26" s="1976"/>
      <c r="D26" s="399"/>
      <c r="E26" s="1977"/>
      <c r="F26" s="399"/>
      <c r="G26" s="1977"/>
      <c r="H26" s="399"/>
      <c r="I26" s="1977"/>
      <c r="J26" s="399"/>
      <c r="K26" s="618"/>
      <c r="L26" s="2714"/>
      <c r="M26" s="2715"/>
      <c r="N26" s="2715"/>
      <c r="O26" s="2769"/>
      <c r="P26" s="3746"/>
      <c r="Q26" s="1341"/>
      <c r="R26" s="699"/>
      <c r="S26" s="700"/>
      <c r="T26" s="699"/>
      <c r="U26" s="700"/>
      <c r="V26" s="699"/>
      <c r="W26" s="700"/>
      <c r="X26" s="701"/>
      <c r="Y26" s="3746"/>
      <c r="Z26" s="52"/>
      <c r="AA26" s="702">
        <v>1</v>
      </c>
      <c r="AB26" s="702">
        <v>1</v>
      </c>
      <c r="AC26" s="702">
        <v>1</v>
      </c>
    </row>
    <row r="27" spans="1:29" ht="15">
      <c r="A27" s="379"/>
      <c r="B27" s="578" t="s">
        <v>1780</v>
      </c>
      <c r="C27" s="565"/>
      <c r="D27" s="386">
        <v>100</v>
      </c>
      <c r="E27" s="580"/>
      <c r="F27" s="386">
        <f>SUMIF(95:95,E27,96:96)-SUMIF(95:95,C27,96:96)+100</f>
        <v>100</v>
      </c>
      <c r="G27" s="580"/>
      <c r="H27" s="386">
        <f>SUMIF(95:95,G27,96:96)-SUMIF(95:95,C27,96:96)+100</f>
        <v>100</v>
      </c>
      <c r="I27" s="580"/>
      <c r="J27" s="386">
        <f>SUMIF(95:95,I27,96:96)-SUMIF(95:95,C27,96:96)+100</f>
        <v>100</v>
      </c>
      <c r="K27" s="619"/>
      <c r="L27" s="2719"/>
      <c r="M27" s="2713"/>
      <c r="N27" s="2713"/>
      <c r="O27" s="2771"/>
      <c r="P27" s="374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46"/>
      <c r="Z27" s="1354" t="str">
        <f t="shared" ref="Z27:Z40" si="13">Q27</f>
        <v>临街状况</v>
      </c>
      <c r="AA27" s="1351">
        <f t="shared" si="3"/>
        <v>1</v>
      </c>
      <c r="AB27" s="1351">
        <f t="shared" si="4"/>
        <v>1</v>
      </c>
      <c r="AC27" s="1351">
        <f t="shared" si="5"/>
        <v>1</v>
      </c>
    </row>
    <row r="28" spans="1:29" ht="28.8">
      <c r="A28" s="379"/>
      <c r="B28" s="579"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719"/>
      <c r="M28" s="2713"/>
      <c r="N28" s="2713"/>
      <c r="O28" s="2771"/>
      <c r="P28" s="3746"/>
      <c r="Q28" s="1350" t="str">
        <f t="shared" si="8"/>
        <v>毗邻道路的类型与等级</v>
      </c>
      <c r="R28" s="703" t="s">
        <v>14</v>
      </c>
      <c r="S28" s="704">
        <f t="shared" si="10"/>
        <v>100</v>
      </c>
      <c r="T28" s="703" t="s">
        <v>14</v>
      </c>
      <c r="U28" s="704">
        <f t="shared" si="11"/>
        <v>100</v>
      </c>
      <c r="V28" s="703" t="s">
        <v>14</v>
      </c>
      <c r="W28" s="704">
        <f t="shared" si="12"/>
        <v>100</v>
      </c>
      <c r="X28" s="1353"/>
      <c r="Y28" s="3746"/>
      <c r="Z28" s="1354" t="str">
        <f t="shared" si="13"/>
        <v>毗邻道路的类型与等级</v>
      </c>
      <c r="AA28" s="1351">
        <f t="shared" si="3"/>
        <v>1</v>
      </c>
      <c r="AB28" s="1351">
        <f t="shared" si="4"/>
        <v>1</v>
      </c>
      <c r="AC28" s="1351">
        <f t="shared" si="5"/>
        <v>1</v>
      </c>
    </row>
    <row r="29" spans="1:29" ht="15">
      <c r="A29" s="379"/>
      <c r="B29" s="578"/>
      <c r="C29" s="398"/>
      <c r="D29" s="399"/>
      <c r="E29" s="1902"/>
      <c r="F29" s="399"/>
      <c r="G29" s="1902"/>
      <c r="H29" s="399"/>
      <c r="I29" s="1902"/>
      <c r="J29" s="399"/>
      <c r="K29" s="562"/>
      <c r="L29" s="2719"/>
      <c r="M29" s="2713"/>
      <c r="N29" s="2713"/>
      <c r="O29" s="2771"/>
      <c r="P29" s="3746"/>
      <c r="Q29" s="1350"/>
      <c r="R29" s="703"/>
      <c r="S29" s="704"/>
      <c r="T29" s="703"/>
      <c r="U29" s="704"/>
      <c r="V29" s="703"/>
      <c r="W29" s="704"/>
      <c r="X29" s="1353"/>
      <c r="Y29" s="3746"/>
      <c r="Z29" s="1354"/>
      <c r="AA29" s="1351">
        <v>1</v>
      </c>
      <c r="AB29" s="1351">
        <v>1</v>
      </c>
      <c r="AC29" s="1351">
        <v>1</v>
      </c>
    </row>
    <row r="30" spans="1:29" ht="15">
      <c r="A30" s="379"/>
      <c r="B30" s="600" t="s">
        <v>1873</v>
      </c>
      <c r="C30" s="1134">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61"/>
      <c r="L30" s="2719"/>
      <c r="M30" s="2713"/>
      <c r="N30" s="2713"/>
      <c r="O30" s="2771"/>
      <c r="P30" s="3746"/>
      <c r="Q30" s="1350" t="str">
        <f t="shared" si="8"/>
        <v>土地级别</v>
      </c>
      <c r="R30" s="703" t="s">
        <v>14</v>
      </c>
      <c r="S30" s="704">
        <f t="shared" si="10"/>
        <v>100</v>
      </c>
      <c r="T30" s="703" t="s">
        <v>14</v>
      </c>
      <c r="U30" s="704">
        <f t="shared" si="11"/>
        <v>100</v>
      </c>
      <c r="V30" s="703" t="s">
        <v>14</v>
      </c>
      <c r="W30" s="704">
        <f t="shared" si="12"/>
        <v>100</v>
      </c>
      <c r="X30" s="1353"/>
      <c r="Y30" s="3746"/>
      <c r="Z30" s="1354" t="str">
        <f t="shared" si="13"/>
        <v>土地级别</v>
      </c>
      <c r="AA30" s="1351">
        <f t="shared" si="3"/>
        <v>1</v>
      </c>
      <c r="AB30" s="1351">
        <f t="shared" si="4"/>
        <v>1</v>
      </c>
      <c r="AC30" s="1351">
        <f t="shared" si="5"/>
        <v>1</v>
      </c>
    </row>
    <row r="31" spans="1:29" ht="15">
      <c r="A31" s="358"/>
      <c r="B31" s="1964">
        <v>111</v>
      </c>
      <c r="C31" s="620"/>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46"/>
      <c r="Q31" s="1350">
        <f t="shared" si="8"/>
        <v>111</v>
      </c>
      <c r="R31" s="703" t="s">
        <v>14</v>
      </c>
      <c r="S31" s="704">
        <f t="shared" si="10"/>
        <v>100</v>
      </c>
      <c r="T31" s="703" t="s">
        <v>14</v>
      </c>
      <c r="U31" s="704">
        <f t="shared" si="11"/>
        <v>100</v>
      </c>
      <c r="V31" s="703" t="s">
        <v>14</v>
      </c>
      <c r="W31" s="704">
        <f t="shared" si="12"/>
        <v>100</v>
      </c>
      <c r="X31" s="1353"/>
      <c r="Y31" s="3746"/>
      <c r="Z31" s="1354">
        <f t="shared" si="13"/>
        <v>111</v>
      </c>
      <c r="AA31" s="1351">
        <f t="shared" si="3"/>
        <v>1</v>
      </c>
      <c r="AB31" s="1351">
        <f t="shared" si="4"/>
        <v>1</v>
      </c>
      <c r="AC31" s="1351">
        <f t="shared" si="5"/>
        <v>1</v>
      </c>
    </row>
    <row r="32" spans="1:29" ht="15">
      <c r="A32" s="621"/>
      <c r="B32" s="1990">
        <v>111</v>
      </c>
      <c r="C32" s="620"/>
      <c r="D32" s="386">
        <v>100</v>
      </c>
      <c r="E32" s="428"/>
      <c r="F32" s="386">
        <f>SUMIF(103:103,E33,104:104)-SUMIF(103:103,C33,104:104)+100</f>
        <v>100</v>
      </c>
      <c r="G32" s="428"/>
      <c r="H32" s="386">
        <f>SUMIF(103:103,G32,104:104)-SUMIF(103:103,C32,104:104)+100</f>
        <v>100</v>
      </c>
      <c r="I32" s="620"/>
      <c r="J32" s="386">
        <f>SUMIF(103:103,I32,104:104)-SUMIF(103:103,C32,104:104)+100</f>
        <v>100</v>
      </c>
      <c r="K32" s="562"/>
      <c r="L32" s="2719"/>
      <c r="M32" s="2713"/>
      <c r="N32" s="2713"/>
      <c r="O32" s="2771"/>
      <c r="P32" s="3771" t="s">
        <v>1696</v>
      </c>
      <c r="Q32" s="1350">
        <f t="shared" si="8"/>
        <v>111</v>
      </c>
      <c r="R32" s="703" t="s">
        <v>14</v>
      </c>
      <c r="S32" s="704">
        <f t="shared" si="10"/>
        <v>100</v>
      </c>
      <c r="T32" s="703" t="s">
        <v>14</v>
      </c>
      <c r="U32" s="704">
        <f t="shared" si="11"/>
        <v>100</v>
      </c>
      <c r="V32" s="703" t="s">
        <v>14</v>
      </c>
      <c r="W32" s="704">
        <f t="shared" si="12"/>
        <v>100</v>
      </c>
      <c r="X32" s="1353"/>
      <c r="Y32" s="3750" t="s">
        <v>1696</v>
      </c>
      <c r="Z32" s="1354">
        <f t="shared" si="13"/>
        <v>111</v>
      </c>
      <c r="AA32" s="1351">
        <f t="shared" si="3"/>
        <v>1</v>
      </c>
      <c r="AB32" s="1351">
        <f t="shared" si="4"/>
        <v>1</v>
      </c>
      <c r="AC32" s="1351">
        <f t="shared" si="5"/>
        <v>1</v>
      </c>
    </row>
    <row r="33" spans="1:31" s="422" customFormat="1" ht="15.6" thickBot="1">
      <c r="A33" s="622"/>
      <c r="B33" s="1991">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2"/>
      <c r="L33" s="2718"/>
      <c r="M33" s="2720"/>
      <c r="N33" s="2720"/>
      <c r="O33" s="2772"/>
      <c r="P33" s="3750"/>
      <c r="Q33" s="1350">
        <f t="shared" si="8"/>
        <v>111</v>
      </c>
      <c r="R33" s="706" t="s">
        <v>14</v>
      </c>
      <c r="S33" s="707">
        <f t="shared" si="10"/>
        <v>100</v>
      </c>
      <c r="T33" s="706" t="s">
        <v>14</v>
      </c>
      <c r="U33" s="707">
        <f t="shared" si="11"/>
        <v>100</v>
      </c>
      <c r="V33" s="706" t="s">
        <v>14</v>
      </c>
      <c r="W33" s="707">
        <f t="shared" si="12"/>
        <v>100</v>
      </c>
      <c r="X33" s="708"/>
      <c r="Y33" s="3750"/>
      <c r="Z33" s="709">
        <f t="shared" si="13"/>
        <v>111</v>
      </c>
      <c r="AA33" s="1351">
        <f t="shared" si="3"/>
        <v>1</v>
      </c>
      <c r="AB33" s="1351">
        <f t="shared" si="4"/>
        <v>1</v>
      </c>
      <c r="AC33" s="1351">
        <f t="shared" si="5"/>
        <v>1</v>
      </c>
    </row>
    <row r="34" spans="1:31" ht="15">
      <c r="A34" s="391" t="s">
        <v>1694</v>
      </c>
      <c r="B34" s="407" t="s">
        <v>1874</v>
      </c>
      <c r="C34" s="625"/>
      <c r="D34" s="418">
        <v>100</v>
      </c>
      <c r="E34" s="625"/>
      <c r="F34" s="418" t="e">
        <f>LOOKUP(E34,108:108,109:109)-LOOKUP(C34,108:108,109:109)+100</f>
        <v>#N/A</v>
      </c>
      <c r="G34" s="625"/>
      <c r="H34" s="418" t="e">
        <f>LOOKUP(G34,108:108,109:109)-LOOKUP(C34,108:108,109:109)+100</f>
        <v>#N/A</v>
      </c>
      <c r="I34" s="479"/>
      <c r="J34" s="418" t="e">
        <f>LOOKUP(I34,108:108,109:109)-LOOKUP(C34,108:108,109:109)+100</f>
        <v>#N/A</v>
      </c>
      <c r="K34" s="562"/>
      <c r="L34" s="2719"/>
      <c r="M34" s="2713"/>
      <c r="N34" s="2713"/>
      <c r="O34" s="2771"/>
      <c r="P34" s="3750"/>
      <c r="Q34" s="1350" t="str">
        <f>B34</f>
        <v>宗地面积</v>
      </c>
      <c r="R34" s="703" t="s">
        <v>14</v>
      </c>
      <c r="S34" s="704" t="e">
        <f t="shared" si="10"/>
        <v>#N/A</v>
      </c>
      <c r="T34" s="703" t="s">
        <v>14</v>
      </c>
      <c r="U34" s="704" t="e">
        <f t="shared" si="11"/>
        <v>#N/A</v>
      </c>
      <c r="V34" s="703" t="s">
        <v>14</v>
      </c>
      <c r="W34" s="704" t="e">
        <f t="shared" si="12"/>
        <v>#N/A</v>
      </c>
      <c r="X34" s="1353"/>
      <c r="Y34" s="375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50"/>
      <c r="Q35" s="1350" t="str">
        <f t="shared" ref="Q35:Q40" si="14">B35</f>
        <v>宗地形状</v>
      </c>
      <c r="R35" s="703" t="s">
        <v>14</v>
      </c>
      <c r="S35" s="704">
        <f t="shared" si="10"/>
        <v>100</v>
      </c>
      <c r="T35" s="703" t="s">
        <v>14</v>
      </c>
      <c r="U35" s="704">
        <f t="shared" si="11"/>
        <v>100</v>
      </c>
      <c r="V35" s="703" t="s">
        <v>14</v>
      </c>
      <c r="W35" s="704">
        <f t="shared" si="12"/>
        <v>100</v>
      </c>
      <c r="X35" s="1353"/>
      <c r="Y35" s="375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50"/>
      <c r="Q36" s="1350" t="str">
        <f t="shared" si="14"/>
        <v>宗地开发程度</v>
      </c>
      <c r="R36" s="699" t="s">
        <v>14</v>
      </c>
      <c r="S36" s="700">
        <f t="shared" si="10"/>
        <v>100</v>
      </c>
      <c r="T36" s="699" t="s">
        <v>14</v>
      </c>
      <c r="U36" s="700">
        <f t="shared" si="11"/>
        <v>100</v>
      </c>
      <c r="V36" s="699" t="s">
        <v>14</v>
      </c>
      <c r="W36" s="700">
        <f t="shared" si="12"/>
        <v>100</v>
      </c>
      <c r="X36" s="701"/>
      <c r="Y36" s="375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50" t="s">
        <v>1696</v>
      </c>
      <c r="Q37" s="1350" t="str">
        <f t="shared" si="14"/>
        <v>工程地质条件</v>
      </c>
      <c r="R37" s="703" t="s">
        <v>14</v>
      </c>
      <c r="S37" s="704">
        <f t="shared" si="10"/>
        <v>100</v>
      </c>
      <c r="T37" s="703" t="s">
        <v>14</v>
      </c>
      <c r="U37" s="704">
        <f t="shared" si="11"/>
        <v>100</v>
      </c>
      <c r="V37" s="703" t="s">
        <v>14</v>
      </c>
      <c r="W37" s="704">
        <f t="shared" si="12"/>
        <v>100</v>
      </c>
      <c r="X37" s="1353"/>
      <c r="Y37" s="3750" t="s">
        <v>1696</v>
      </c>
      <c r="Z37" s="1354" t="str">
        <f t="shared" si="13"/>
        <v>工程地质条件</v>
      </c>
      <c r="AA37" s="1351">
        <f t="shared" si="3"/>
        <v>1</v>
      </c>
      <c r="AB37" s="1351">
        <f t="shared" si="4"/>
        <v>1</v>
      </c>
      <c r="AC37" s="1351">
        <f t="shared" si="5"/>
        <v>1</v>
      </c>
    </row>
    <row r="38" spans="1:31" ht="15">
      <c r="A38" s="423"/>
      <c r="B38" s="1132">
        <v>111</v>
      </c>
      <c r="C38" s="620"/>
      <c r="D38" s="386">
        <v>100</v>
      </c>
      <c r="E38" s="620"/>
      <c r="F38" s="386">
        <f>SUMIF(116:116,E38,117:117)-SUMIF(116:116,C38,117:117)+100</f>
        <v>100</v>
      </c>
      <c r="G38" s="620"/>
      <c r="H38" s="386">
        <f>SUMIF(116:116,G38,117:117)-SUMIF(116:116,C38,117:117)+100</f>
        <v>100</v>
      </c>
      <c r="I38" s="498"/>
      <c r="J38" s="386">
        <f>SUMIF(116:116,I38,117:117)-SUMIF(116:116,C38,117:117)+100</f>
        <v>100</v>
      </c>
      <c r="K38" s="562"/>
      <c r="L38" s="2719"/>
      <c r="M38" s="2713"/>
      <c r="N38" s="2713"/>
      <c r="O38" s="2771"/>
      <c r="P38" s="3750"/>
      <c r="Q38" s="1350">
        <f t="shared" si="14"/>
        <v>111</v>
      </c>
      <c r="R38" s="703" t="s">
        <v>14</v>
      </c>
      <c r="S38" s="704">
        <f t="shared" si="10"/>
        <v>100</v>
      </c>
      <c r="T38" s="703" t="s">
        <v>14</v>
      </c>
      <c r="U38" s="704">
        <f t="shared" si="11"/>
        <v>100</v>
      </c>
      <c r="V38" s="703" t="s">
        <v>14</v>
      </c>
      <c r="W38" s="704">
        <f t="shared" si="12"/>
        <v>100</v>
      </c>
      <c r="X38" s="1353"/>
      <c r="Y38" s="3750"/>
      <c r="Z38" s="1354">
        <f t="shared" si="13"/>
        <v>111</v>
      </c>
      <c r="AA38" s="1351">
        <f t="shared" si="3"/>
        <v>1</v>
      </c>
      <c r="AB38" s="1351">
        <f t="shared" si="4"/>
        <v>1</v>
      </c>
      <c r="AC38" s="1351">
        <f t="shared" si="5"/>
        <v>1</v>
      </c>
    </row>
    <row r="39" spans="1:31" ht="15">
      <c r="A39" s="423"/>
      <c r="B39" s="1132">
        <v>111</v>
      </c>
      <c r="C39" s="620"/>
      <c r="D39" s="386">
        <v>100</v>
      </c>
      <c r="E39" s="620"/>
      <c r="F39" s="386">
        <f>SUMIF(118:118,E39,119:119)-SUMIF(118:118,C39,119:119)+100</f>
        <v>100</v>
      </c>
      <c r="G39" s="620"/>
      <c r="H39" s="386">
        <f>SUMIF(118:118,G39,119:119)-SUMIF(118:118,C39,119:119)+100</f>
        <v>100</v>
      </c>
      <c r="I39" s="498"/>
      <c r="J39" s="386">
        <f>SUMIF(118:118,I39,119:119)-SUMIF(118:118,C39,119:119)+100</f>
        <v>100</v>
      </c>
      <c r="K39" s="562"/>
      <c r="L39" s="2719"/>
      <c r="M39" s="2713"/>
      <c r="N39" s="2713"/>
      <c r="O39" s="2771"/>
      <c r="P39" s="3750"/>
      <c r="Q39" s="1350">
        <f t="shared" si="14"/>
        <v>111</v>
      </c>
      <c r="R39" s="703" t="s">
        <v>14</v>
      </c>
      <c r="S39" s="704">
        <f t="shared" si="10"/>
        <v>100</v>
      </c>
      <c r="T39" s="703" t="s">
        <v>14</v>
      </c>
      <c r="U39" s="704">
        <f t="shared" si="11"/>
        <v>100</v>
      </c>
      <c r="V39" s="703" t="s">
        <v>14</v>
      </c>
      <c r="W39" s="704">
        <f t="shared" si="12"/>
        <v>100</v>
      </c>
      <c r="X39" s="1353"/>
      <c r="Y39" s="3750"/>
      <c r="Z39" s="1354">
        <f t="shared" si="13"/>
        <v>111</v>
      </c>
      <c r="AA39" s="1351">
        <f t="shared" si="3"/>
        <v>1</v>
      </c>
      <c r="AB39" s="1351">
        <f t="shared" si="4"/>
        <v>1</v>
      </c>
      <c r="AC39" s="1351">
        <f t="shared" si="5"/>
        <v>1</v>
      </c>
    </row>
    <row r="40" spans="1:31" s="422" customFormat="1" ht="15.6" thickBot="1">
      <c r="A40" s="419"/>
      <c r="B40" s="1132">
        <v>111</v>
      </c>
      <c r="C40" s="1979"/>
      <c r="D40" s="128">
        <v>100</v>
      </c>
      <c r="E40" s="620"/>
      <c r="F40" s="389">
        <f>SUMIF(120:120,E40,121:121)-SUMIF(120:120,C40,121:121)+100</f>
        <v>100</v>
      </c>
      <c r="G40" s="620"/>
      <c r="H40" s="389">
        <f>SUMIF(120:120,G40,121:121)-SUMIF(120:120,C40,121:121)+100</f>
        <v>100</v>
      </c>
      <c r="I40" s="498"/>
      <c r="J40" s="389">
        <f>SUMIF(120:120,I40,121:121)-SUMIF(120:120,C40,121:121)+100</f>
        <v>100</v>
      </c>
      <c r="K40" s="627"/>
      <c r="L40" s="2718"/>
      <c r="M40" s="2720"/>
      <c r="N40" s="2720"/>
      <c r="O40" s="2772"/>
      <c r="P40" s="3750"/>
      <c r="Q40" s="1350">
        <f t="shared" si="14"/>
        <v>111</v>
      </c>
      <c r="R40" s="706" t="s">
        <v>14</v>
      </c>
      <c r="S40" s="707">
        <f t="shared" si="10"/>
        <v>100</v>
      </c>
      <c r="T40" s="706" t="s">
        <v>14</v>
      </c>
      <c r="U40" s="707">
        <f t="shared" si="11"/>
        <v>100</v>
      </c>
      <c r="V40" s="706" t="s">
        <v>14</v>
      </c>
      <c r="W40" s="707">
        <f t="shared" si="12"/>
        <v>100</v>
      </c>
      <c r="X40" s="708"/>
      <c r="Y40" s="3750"/>
      <c r="Z40" s="709">
        <f t="shared" si="13"/>
        <v>111</v>
      </c>
      <c r="AA40" s="1351">
        <f t="shared" si="3"/>
        <v>1</v>
      </c>
      <c r="AB40" s="1351">
        <f t="shared" si="4"/>
        <v>1</v>
      </c>
      <c r="AC40" s="1351">
        <f t="shared" si="5"/>
        <v>1</v>
      </c>
    </row>
    <row r="41" spans="1:31" ht="14.4">
      <c r="A41" s="430" t="s">
        <v>1844</v>
      </c>
      <c r="B41" s="1980" t="s">
        <v>1922</v>
      </c>
      <c r="C41" s="628" t="s">
        <v>0</v>
      </c>
      <c r="D41" s="432"/>
      <c r="E41" s="433"/>
      <c r="F41" s="434"/>
      <c r="G41" s="435"/>
      <c r="H41" s="436"/>
      <c r="I41" s="433"/>
      <c r="J41" s="436"/>
      <c r="K41" s="712"/>
      <c r="L41" s="2721"/>
      <c r="M41" s="2713"/>
      <c r="N41" s="2713"/>
      <c r="O41" s="2722"/>
      <c r="P41" s="3743" t="str">
        <f>A41</f>
        <v>成交单价</v>
      </c>
      <c r="Q41" s="3743"/>
      <c r="R41" s="3738">
        <f>E41</f>
        <v>0</v>
      </c>
      <c r="S41" s="3738"/>
      <c r="T41" s="3738">
        <f>G41</f>
        <v>0</v>
      </c>
      <c r="U41" s="3738"/>
      <c r="V41" s="3738">
        <f>I41</f>
        <v>0</v>
      </c>
      <c r="W41" s="3738"/>
      <c r="X41" s="688"/>
      <c r="Y41" s="710"/>
      <c r="Z41" s="688"/>
      <c r="AA41" s="688"/>
      <c r="AB41" s="688"/>
      <c r="AC41" s="688"/>
    </row>
    <row r="42" spans="1:31" ht="15" thickBot="1">
      <c r="A42" s="437" t="s">
        <v>1793</v>
      </c>
      <c r="B42" s="629"/>
      <c r="C42" s="440" t="e">
        <f>R43</f>
        <v>#DIV/0!</v>
      </c>
      <c r="D42" s="2314" t="s">
        <v>2137</v>
      </c>
      <c r="E42" s="440" t="e">
        <f>R42</f>
        <v>#DIV/0!</v>
      </c>
      <c r="F42" s="2315"/>
      <c r="G42" s="439" t="e">
        <f>T42</f>
        <v>#DIV/0!</v>
      </c>
      <c r="H42" s="2315"/>
      <c r="I42" s="440" t="e">
        <f>V42</f>
        <v>#DIV/0!</v>
      </c>
      <c r="J42" s="2315"/>
      <c r="K42" s="2317">
        <f>F42+H42+J42</f>
        <v>0</v>
      </c>
      <c r="L42" s="2721"/>
      <c r="M42" s="2713"/>
      <c r="N42" s="2713"/>
      <c r="O42" s="2722"/>
      <c r="P42" s="3743" t="str">
        <f>A42</f>
        <v>比较价值（元/平方米）</v>
      </c>
      <c r="Q42" s="3743"/>
      <c r="R42" s="3773" t="e">
        <f>ROUND(PRODUCT(R41,AA7:AA40),0)</f>
        <v>#DIV/0!</v>
      </c>
      <c r="S42" s="3773"/>
      <c r="T42" s="3773" t="e">
        <f>ROUND(PRODUCT(T41,AB7:AB40),0)</f>
        <v>#DIV/0!</v>
      </c>
      <c r="U42" s="3773"/>
      <c r="V42" s="3773" t="e">
        <f>ROUND(PRODUCT(V41,AC7:AC40),0)</f>
        <v>#DIV/0!</v>
      </c>
      <c r="W42" s="3773"/>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21"/>
      <c r="M43" s="2713"/>
      <c r="N43" s="2713"/>
      <c r="O43" s="2722"/>
      <c r="P43" s="3740" t="str">
        <f>A43</f>
        <v>估价对象XX用房的比较价值（楼面单价，元/平方米）</v>
      </c>
      <c r="Q43" s="3741"/>
      <c r="R43" s="3774" t="e">
        <f>ROUND(IF(D42="简单平均",AVERAGE(R42:W42),R42*F42+T42*H42+V42*J42),0)</f>
        <v>#DIV/0!</v>
      </c>
      <c r="S43" s="3774"/>
      <c r="T43" s="3774"/>
      <c r="U43" s="3774"/>
      <c r="V43" s="3774"/>
      <c r="W43" s="3774"/>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0" t="s">
        <v>1881</v>
      </c>
      <c r="B50" s="631" t="s">
        <v>1882</v>
      </c>
      <c r="C50" s="1981" t="s">
        <v>1883</v>
      </c>
      <c r="D50" s="1982" t="s">
        <v>1884</v>
      </c>
      <c r="E50" s="632" t="s">
        <v>1885</v>
      </c>
      <c r="F50" s="633" t="s">
        <v>1886</v>
      </c>
      <c r="G50" s="3726" t="s">
        <v>1887</v>
      </c>
      <c r="H50" s="3775"/>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8" customFormat="1">
      <c r="A51" s="634" t="s">
        <v>1890</v>
      </c>
      <c r="B51" s="635" t="e">
        <f>C43</f>
        <v>#DIV/0!</v>
      </c>
      <c r="C51" s="636">
        <v>1</v>
      </c>
      <c r="D51" s="942">
        <v>1</v>
      </c>
      <c r="E51" s="636">
        <f>'数据-汇总表'!E8+'数据-汇总表'!E9</f>
        <v>127.35</v>
      </c>
      <c r="F51" s="637" t="e">
        <f t="shared" ref="F51:F60" si="15">ROUND(B51*E51/10000,0)</f>
        <v>#DIV/0!</v>
      </c>
      <c r="G51" s="3725"/>
      <c r="H51" s="3743"/>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8" customFormat="1">
      <c r="A52" s="639" t="s">
        <v>1891</v>
      </c>
      <c r="B52" s="218" t="e">
        <f>ROUND($C$43*C52*D52,0)</f>
        <v>#DIV/0!</v>
      </c>
      <c r="C52" s="171">
        <f t="shared" ref="C52:C60" si="16">IF($C$50="北京市系数",I52,J52)</f>
        <v>0.6</v>
      </c>
      <c r="D52" s="943">
        <v>0.25</v>
      </c>
      <c r="E52" s="640"/>
      <c r="F52" s="637" t="e">
        <f t="shared" si="15"/>
        <v>#DIV/0!</v>
      </c>
      <c r="G52" s="3003" t="s">
        <v>1892</v>
      </c>
      <c r="H52" s="885" t="str">
        <f>项目基本情况!B37</f>
        <v>五级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8" customFormat="1">
      <c r="A53" s="639" t="s">
        <v>1893</v>
      </c>
      <c r="B53" s="218" t="e">
        <f t="shared" ref="B53:B60" si="17">ROUND($C$43*C53*D53,0)</f>
        <v>#DIV/0!</v>
      </c>
      <c r="C53" s="171">
        <f t="shared" si="16"/>
        <v>0.3</v>
      </c>
      <c r="D53" s="943">
        <v>0.25</v>
      </c>
      <c r="E53" s="640"/>
      <c r="F53" s="637" t="e">
        <f t="shared" si="15"/>
        <v>#DIV/0!</v>
      </c>
      <c r="G53" s="3004"/>
      <c r="H53" s="885" t="str">
        <f>项目基本情况!B37</f>
        <v>五级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8" customFormat="1">
      <c r="A54" s="639" t="s">
        <v>1894</v>
      </c>
      <c r="B54" s="218" t="e">
        <f t="shared" si="17"/>
        <v>#DIV/0!</v>
      </c>
      <c r="C54" s="171">
        <f t="shared" si="16"/>
        <v>0.25</v>
      </c>
      <c r="D54" s="943">
        <v>0.25</v>
      </c>
      <c r="E54" s="640"/>
      <c r="F54" s="637" t="e">
        <f t="shared" si="15"/>
        <v>#DIV/0!</v>
      </c>
      <c r="G54" s="3004"/>
      <c r="H54" s="885" t="str">
        <f>项目基本情况!B37</f>
        <v>五级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8" customFormat="1" hidden="1">
      <c r="A55" s="639"/>
      <c r="B55" s="218"/>
      <c r="C55" s="171"/>
      <c r="D55" s="943"/>
      <c r="E55" s="640"/>
      <c r="F55" s="637"/>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8" customFormat="1">
      <c r="A56" s="639" t="s">
        <v>1895</v>
      </c>
      <c r="B56" s="218" t="e">
        <f t="shared" si="17"/>
        <v>#DIV/0!</v>
      </c>
      <c r="C56" s="171">
        <f t="shared" si="16"/>
        <v>0</v>
      </c>
      <c r="D56" s="943">
        <v>0.25</v>
      </c>
      <c r="E56" s="217">
        <f>'数据-汇总表'!E11</f>
        <v>0</v>
      </c>
      <c r="F56" s="637"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8" customFormat="1">
      <c r="A57" s="639" t="s">
        <v>1897</v>
      </c>
      <c r="B57" s="218" t="e">
        <f t="shared" si="17"/>
        <v>#DIV/0!</v>
      </c>
      <c r="C57" s="171">
        <f t="shared" si="16"/>
        <v>0</v>
      </c>
      <c r="D57" s="943">
        <v>0.25</v>
      </c>
      <c r="E57" s="217">
        <f>'数据-汇总表'!E12</f>
        <v>0</v>
      </c>
      <c r="F57" s="637"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8" customFormat="1">
      <c r="A58" s="639" t="s">
        <v>1899</v>
      </c>
      <c r="B58" s="218" t="e">
        <f t="shared" si="17"/>
        <v>#DIV/0!</v>
      </c>
      <c r="C58" s="171">
        <f t="shared" si="16"/>
        <v>0</v>
      </c>
      <c r="D58" s="943">
        <v>0.25</v>
      </c>
      <c r="E58" s="217">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8" customFormat="1">
      <c r="A59" s="639" t="s">
        <v>1901</v>
      </c>
      <c r="B59" s="218" t="e">
        <f t="shared" si="17"/>
        <v>#DIV/0!</v>
      </c>
      <c r="C59" s="171">
        <f t="shared" si="16"/>
        <v>0.15</v>
      </c>
      <c r="D59" s="943">
        <v>0.25</v>
      </c>
      <c r="E59" s="217">
        <f>'数据-汇总表'!E14</f>
        <v>0</v>
      </c>
      <c r="F59" s="637" t="e">
        <f t="shared" si="15"/>
        <v>#DIV/0!</v>
      </c>
      <c r="G59" s="1985" t="s">
        <v>1892</v>
      </c>
      <c r="H59" s="885" t="str">
        <f>项目基本情况!B37</f>
        <v>五级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8" customFormat="1" ht="14.4" thickBot="1">
      <c r="A60" s="639" t="s">
        <v>1902</v>
      </c>
      <c r="B60" s="218" t="e">
        <f t="shared" si="17"/>
        <v>#DIV/0!</v>
      </c>
      <c r="C60" s="171">
        <f t="shared" si="16"/>
        <v>0</v>
      </c>
      <c r="D60" s="943">
        <v>0.25</v>
      </c>
      <c r="E60" s="217">
        <f>'数据-汇总表'!E15</f>
        <v>0</v>
      </c>
      <c r="F60" s="637"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8" customFormat="1" ht="14.4" thickBot="1">
      <c r="A61" s="641" t="s">
        <v>1903</v>
      </c>
      <c r="B61" s="642" t="s">
        <v>22</v>
      </c>
      <c r="C61" s="642" t="s">
        <v>23</v>
      </c>
      <c r="D61" s="642" t="s">
        <v>392</v>
      </c>
      <c r="E61" s="642">
        <f>IF(B41="楼面地价",SUM(E51:E60),'数据-汇总表'!D3)</f>
        <v>0</v>
      </c>
      <c r="F61" s="643"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2"/>
      <c r="Q63" s="2722"/>
      <c r="R63" s="2722"/>
      <c r="S63" s="2722"/>
      <c r="T63" s="2722"/>
      <c r="U63" s="2722"/>
      <c r="V63" s="2722"/>
      <c r="W63" s="2722"/>
      <c r="X63" s="2722"/>
      <c r="Y63" s="2722"/>
      <c r="Z63" s="2722"/>
      <c r="AA63" s="2722"/>
      <c r="AB63" s="2722"/>
      <c r="AC63" s="2722"/>
      <c r="AD63" s="2722"/>
      <c r="AE63" s="2722"/>
    </row>
    <row r="64" spans="1:31" ht="22.2"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4.4">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5">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4"/>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6" t="s">
        <v>1799</v>
      </c>
      <c r="D93" s="606" t="s">
        <v>1800</v>
      </c>
      <c r="E93" s="606" t="s">
        <v>1801</v>
      </c>
      <c r="F93" s="606" t="s">
        <v>1802</v>
      </c>
      <c r="G93" s="606"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1"/>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3"/>
      <c r="H106" s="623"/>
      <c r="I106" s="623"/>
      <c r="J106" s="623"/>
      <c r="K106" s="623"/>
      <c r="L106" s="623"/>
      <c r="M106" s="645"/>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6"/>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7.399999999999999">
      <c r="A3" s="3483" t="str">
        <f>IF(项目基本情况!B9="房地产市场价值","估价结果一览表（市场价值不需“结果表-1”）","估价结果一览表")</f>
        <v>估价结果一览表</v>
      </c>
      <c r="B3" s="3483"/>
      <c r="C3" s="3483"/>
      <c r="D3" s="3483"/>
      <c r="E3" s="3483"/>
    </row>
    <row r="4" spans="1:5" ht="18" thickBot="1">
      <c r="A4" s="1491"/>
      <c r="B4" s="3481" t="s">
        <v>917</v>
      </c>
      <c r="C4" s="3481"/>
      <c r="D4" s="3481"/>
      <c r="E4" s="1491"/>
    </row>
    <row r="5" spans="1:5" ht="16.2" thickTop="1">
      <c r="A5" s="1489"/>
      <c r="B5" s="3479" t="s">
        <v>909</v>
      </c>
      <c r="C5" s="1492" t="s">
        <v>910</v>
      </c>
      <c r="D5" s="848" t="e">
        <f ca="1">结果表!H101</f>
        <v>#REF!</v>
      </c>
      <c r="E5" s="1489"/>
    </row>
    <row r="6" spans="1:5" ht="15.6">
      <c r="A6" s="1489"/>
      <c r="B6" s="3479"/>
      <c r="C6" s="1492" t="s">
        <v>911</v>
      </c>
      <c r="D6" s="848" t="e">
        <f ca="1">NUMBERSTRING(INT(D5*10000),2)&amp;"元整"</f>
        <v>#REF!</v>
      </c>
      <c r="E6" s="1489"/>
    </row>
    <row r="7" spans="1:5" ht="15.6">
      <c r="A7" s="1489"/>
      <c r="B7" s="3484"/>
      <c r="C7" s="1493" t="s">
        <v>912</v>
      </c>
      <c r="D7" s="849" t="e">
        <f ca="1">结果表!H102</f>
        <v>#REF!</v>
      </c>
      <c r="E7" s="1489"/>
    </row>
    <row r="8" spans="1:5" ht="15.6">
      <c r="A8" s="1489"/>
      <c r="B8" s="3485" t="str">
        <f>结果表!E103</f>
        <v>2.估价师知悉的法定优先受偿款</v>
      </c>
      <c r="C8" s="1494" t="s">
        <v>913</v>
      </c>
      <c r="D8" s="849">
        <f>结果表!H103</f>
        <v>0</v>
      </c>
      <c r="E8" s="1489"/>
    </row>
    <row r="9" spans="1:5" ht="15.6">
      <c r="A9" s="1489"/>
      <c r="B9" s="3487"/>
      <c r="C9" s="1492" t="s">
        <v>911</v>
      </c>
      <c r="D9" s="848" t="str">
        <f>NUMBERSTRING(INT(D8*10000),2)&amp;"元整"</f>
        <v>零元整</v>
      </c>
      <c r="E9" s="1489"/>
    </row>
    <row r="10" spans="1:5" ht="15.6">
      <c r="A10" s="1489"/>
      <c r="B10" s="1495" t="s">
        <v>916</v>
      </c>
      <c r="C10" s="1496" t="s">
        <v>914</v>
      </c>
      <c r="D10" s="850">
        <f>结果表!H104</f>
        <v>0</v>
      </c>
      <c r="E10" s="1489"/>
    </row>
    <row r="11" spans="1:5" ht="15.6">
      <c r="A11" s="1489"/>
      <c r="B11" s="1495" t="s">
        <v>918</v>
      </c>
      <c r="C11" s="1496" t="s">
        <v>919</v>
      </c>
      <c r="D11" s="850">
        <f>结果表!H105</f>
        <v>0</v>
      </c>
      <c r="E11" s="1489"/>
    </row>
    <row r="12" spans="1:5" ht="15.6">
      <c r="A12" s="1489"/>
      <c r="B12" s="1495" t="s">
        <v>920</v>
      </c>
      <c r="C12" s="1496" t="s">
        <v>919</v>
      </c>
      <c r="D12" s="850">
        <f>结果表!H106</f>
        <v>0</v>
      </c>
      <c r="E12" s="1489"/>
    </row>
    <row r="13" spans="1:5" ht="15.6">
      <c r="A13" s="1489"/>
      <c r="B13" s="3478" t="str">
        <f>结果表!E107</f>
        <v>3.房地产抵押价值</v>
      </c>
      <c r="C13" s="1497" t="s">
        <v>910</v>
      </c>
      <c r="D13" s="851" t="e">
        <f ca="1">结果表!H107</f>
        <v>#REF!</v>
      </c>
      <c r="E13" s="1489"/>
    </row>
    <row r="14" spans="1:5" ht="15.6">
      <c r="A14" s="1489"/>
      <c r="B14" s="3479"/>
      <c r="C14" s="1492" t="s">
        <v>911</v>
      </c>
      <c r="D14" s="848" t="e">
        <f ca="1">NUMBERSTRING(INT(D13*10000),2)&amp;"元整"</f>
        <v>#REF!</v>
      </c>
      <c r="E14" s="1489"/>
    </row>
    <row r="15" spans="1:5" ht="15.6">
      <c r="A15" s="1489"/>
      <c r="B15" s="3484"/>
      <c r="C15" s="1493" t="s">
        <v>921</v>
      </c>
      <c r="D15" s="857" t="e">
        <f ca="1">结果表!H108</f>
        <v>#REF!</v>
      </c>
      <c r="E15" s="1489"/>
    </row>
    <row r="16" spans="1:5" ht="15.6">
      <c r="A16" s="1489"/>
      <c r="B16" s="3485" t="str">
        <f>结果表!E109</f>
        <v>——</v>
      </c>
      <c r="C16" s="1497" t="s">
        <v>922</v>
      </c>
      <c r="D16" s="1498" t="str">
        <f>结果表!H109</f>
        <v>——</v>
      </c>
      <c r="E16" s="1489"/>
    </row>
    <row r="17" spans="1:5" ht="15.6">
      <c r="A17" s="1489"/>
      <c r="B17" s="3486"/>
      <c r="C17" s="1492" t="s">
        <v>923</v>
      </c>
      <c r="D17" s="848" t="e">
        <f>NUMBERSTRING(INT(D16*10000),2)&amp;"元整"</f>
        <v>#VALUE!</v>
      </c>
      <c r="E17" s="1489"/>
    </row>
    <row r="18" spans="1:5" ht="15.6">
      <c r="A18" s="1489"/>
      <c r="B18" s="3487"/>
      <c r="C18" s="1493" t="s">
        <v>912</v>
      </c>
      <c r="D18" s="857" t="str">
        <f>结果表!H110</f>
        <v>——</v>
      </c>
      <c r="E18" s="1489"/>
    </row>
    <row r="19" spans="1:5" ht="15.6">
      <c r="A19" s="1489"/>
      <c r="B19" s="3478" t="str">
        <f>结果表!E111</f>
        <v>——</v>
      </c>
      <c r="C19" s="1497" t="s">
        <v>910</v>
      </c>
      <c r="D19" s="849" t="str">
        <f>结果表!H111</f>
        <v>——</v>
      </c>
      <c r="E19" s="1489"/>
    </row>
    <row r="20" spans="1:5" ht="15.6">
      <c r="A20" s="1489"/>
      <c r="B20" s="3479"/>
      <c r="C20" s="1492" t="s">
        <v>923</v>
      </c>
      <c r="D20" s="848" t="e">
        <f>NUMBERSTRING(INT(D19*10000),2)&amp;"元整"</f>
        <v>#VALUE!</v>
      </c>
      <c r="E20" s="1489"/>
    </row>
    <row r="21" spans="1:5" ht="16.2" thickBot="1">
      <c r="A21" s="1489"/>
      <c r="B21" s="3480"/>
      <c r="C21" s="1499" t="s">
        <v>921</v>
      </c>
      <c r="D21" s="858"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3"/>
    <col min="46" max="16384" width="9" style="130"/>
  </cols>
  <sheetData>
    <row r="1" spans="1:45" ht="14.25" customHeight="1" thickBot="1">
      <c r="A1" s="146"/>
      <c r="B1" s="981" t="s">
        <v>2082</v>
      </c>
      <c r="C1" s="3783" t="s">
        <v>2083</v>
      </c>
      <c r="D1" s="3784"/>
      <c r="E1" s="3784"/>
      <c r="F1" s="3784"/>
      <c r="G1" s="3784"/>
      <c r="H1" s="3784"/>
      <c r="I1" s="3784"/>
      <c r="J1" s="3784"/>
      <c r="K1" s="3784"/>
      <c r="L1" s="3784"/>
      <c r="M1" s="3784"/>
      <c r="N1" s="3784"/>
      <c r="O1" s="3784"/>
      <c r="P1" s="3784"/>
      <c r="Q1" s="3784"/>
      <c r="R1" s="3784"/>
      <c r="S1" s="3785"/>
      <c r="T1" s="981" t="s">
        <v>2084</v>
      </c>
    </row>
    <row r="2" spans="1:45" s="653" customFormat="1">
      <c r="A2" s="982"/>
      <c r="B2" s="649" t="s">
        <v>2085</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8"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2086</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2087</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2088</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5" t="s">
        <v>2092</v>
      </c>
      <c r="B17" s="2146"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2094</v>
      </c>
      <c r="E19" s="1338"/>
      <c r="F19" s="1338"/>
      <c r="G19" s="1338"/>
      <c r="H19" s="1057"/>
      <c r="I19" s="159"/>
      <c r="J19" s="159"/>
      <c r="K19" s="159"/>
      <c r="L19" s="159"/>
      <c r="M19" s="159"/>
      <c r="N19" s="159"/>
      <c r="O19" s="159"/>
      <c r="P19" s="159"/>
      <c r="Q19" s="159"/>
      <c r="R19" s="716"/>
      <c r="S19" s="129"/>
    </row>
    <row r="20" spans="1:45" ht="16.2" thickBot="1">
      <c r="A20" s="660" t="s">
        <v>2095</v>
      </c>
      <c r="B20" s="294" t="e">
        <f ca="1">IF(D20="——",S22,S22-F20)</f>
        <v>#REF!</v>
      </c>
      <c r="C20" s="159"/>
      <c r="D20" s="2148"/>
      <c r="E20" s="1339"/>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6">
      <c r="A21" s="660" t="s">
        <v>2097</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0</v>
      </c>
      <c r="C22" s="3780" t="s">
        <v>27</v>
      </c>
      <c r="D22" s="3781"/>
      <c r="E22" s="3781"/>
      <c r="F22" s="3781"/>
      <c r="G22" s="3781"/>
      <c r="H22" s="3781"/>
      <c r="I22" s="3781"/>
      <c r="J22" s="3781"/>
      <c r="K22" s="3781"/>
      <c r="L22" s="3781"/>
      <c r="M22" s="3781"/>
      <c r="N22" s="3781"/>
      <c r="O22" s="3781"/>
      <c r="P22" s="3781"/>
      <c r="Q22" s="3782"/>
      <c r="R22" s="66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2104</v>
      </c>
      <c r="B24" s="663"/>
      <c r="C24" s="2807">
        <v>1</v>
      </c>
      <c r="D24" s="2808"/>
      <c r="E24" s="2807">
        <v>1</v>
      </c>
      <c r="F24" s="2808"/>
      <c r="G24" s="2807">
        <v>1</v>
      </c>
      <c r="H24" s="2808"/>
      <c r="I24" s="2807">
        <v>1</v>
      </c>
      <c r="J24" s="2808"/>
      <c r="K24" s="2807">
        <v>1</v>
      </c>
      <c r="L24" s="2808"/>
      <c r="M24" s="2807">
        <v>1</v>
      </c>
      <c r="N24" s="2808"/>
      <c r="O24" s="2807">
        <v>1</v>
      </c>
      <c r="P24" s="2808"/>
      <c r="Q24" s="2807">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2080</v>
      </c>
      <c r="B1" s="2144"/>
      <c r="C1" s="2144"/>
      <c r="D1" s="2144"/>
      <c r="E1" s="2144"/>
      <c r="F1" s="2790"/>
      <c r="G1" s="2790"/>
      <c r="H1" s="2790"/>
      <c r="I1" s="2790"/>
      <c r="J1" s="2790"/>
      <c r="K1" s="2790"/>
      <c r="L1" s="2790"/>
      <c r="M1" s="2790"/>
      <c r="N1" s="2790"/>
      <c r="O1" s="2790"/>
      <c r="P1" s="2790"/>
    </row>
    <row r="2" spans="1:16" ht="15.6">
      <c r="A2" s="2142" t="s">
        <v>2072</v>
      </c>
      <c r="B2" s="2599">
        <f ca="1">SUMIF(B6:B13,"&lt;&gt;#ref!",B6:B13)</f>
        <v>0</v>
      </c>
      <c r="C2" s="2142" t="s">
        <v>2073</v>
      </c>
      <c r="D2" s="2142" t="s">
        <v>2074</v>
      </c>
      <c r="E2" s="2609">
        <f ca="1">SUMIF(E6:E13,"&lt;&gt;#ref!",E6:E13)</f>
        <v>127.35</v>
      </c>
      <c r="F2" s="2790"/>
      <c r="G2" s="2790"/>
      <c r="H2" s="2790"/>
      <c r="I2" s="2790"/>
      <c r="J2" s="2790"/>
      <c r="K2" s="2790"/>
      <c r="L2" s="2790"/>
      <c r="M2" s="2790"/>
      <c r="N2" s="2790"/>
      <c r="O2" s="2790"/>
      <c r="P2" s="2790"/>
    </row>
    <row r="3" spans="1:16" ht="15.6">
      <c r="A3" s="2142" t="s">
        <v>2075</v>
      </c>
      <c r="B3" s="2599">
        <f ca="1">ROUND(B2*10000/E2,0)</f>
        <v>0</v>
      </c>
      <c r="C3" s="2142" t="s">
        <v>2081</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2076</v>
      </c>
      <c r="B5" s="2607" t="s">
        <v>2077</v>
      </c>
      <c r="C5" s="2143"/>
      <c r="D5" s="2790"/>
      <c r="E5" s="2608" t="s">
        <v>2078</v>
      </c>
      <c r="F5" s="2790"/>
      <c r="G5" s="2790"/>
      <c r="H5" s="2790"/>
      <c r="I5" s="2790"/>
      <c r="J5" s="2790"/>
      <c r="K5" s="2790"/>
      <c r="L5" s="2790"/>
      <c r="M5" s="2790"/>
      <c r="N5" s="2790"/>
      <c r="O5" s="2790"/>
      <c r="P5" s="2790"/>
    </row>
    <row r="6" spans="1:16" ht="15.6">
      <c r="A6" s="2606" t="s">
        <v>2079</v>
      </c>
      <c r="B6" s="2599">
        <f ca="1">SUMIF(INDIRECT("'"&amp;A6&amp;"'"&amp;"!A:A"),"总价",INDIRECT("'"&amp;A6&amp;"'"&amp;"!B:B"))</f>
        <v>0</v>
      </c>
      <c r="C6" s="2142" t="s">
        <v>2073</v>
      </c>
      <c r="D6" s="2790"/>
      <c r="E6" s="2609">
        <f ca="1">SUMIF(INDIRECT("'"&amp;A6&amp;"'"&amp;"!C:C"),"建筑面积",INDIRECT("'"&amp;A6&amp;"'"&amp;"!D:D"))</f>
        <v>127.35</v>
      </c>
      <c r="F6" s="2790"/>
      <c r="G6" s="2790"/>
      <c r="H6" s="2790"/>
      <c r="I6" s="2790"/>
      <c r="J6" s="2790"/>
      <c r="K6" s="2790"/>
      <c r="L6" s="2790"/>
      <c r="M6" s="2790"/>
      <c r="N6" s="2790"/>
      <c r="O6" s="2790"/>
      <c r="P6" s="2790"/>
    </row>
    <row r="7" spans="1:16" ht="15.6">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2594</v>
      </c>
      <c r="B1" s="3069" t="s">
        <v>2595</v>
      </c>
      <c r="C1" s="3069" t="s">
        <v>2596</v>
      </c>
      <c r="D1" s="3069" t="s">
        <v>2597</v>
      </c>
      <c r="E1" s="3069" t="s">
        <v>2598</v>
      </c>
      <c r="F1" s="3069" t="s">
        <v>2599</v>
      </c>
      <c r="G1" s="3069" t="s">
        <v>2600</v>
      </c>
      <c r="H1" s="3069" t="s">
        <v>2601</v>
      </c>
      <c r="I1" s="3069" t="s">
        <v>2602</v>
      </c>
      <c r="J1" s="3069" t="s">
        <v>2603</v>
      </c>
      <c r="K1" s="3069" t="s">
        <v>2604</v>
      </c>
      <c r="L1" s="3069" t="s">
        <v>2605</v>
      </c>
      <c r="M1" s="3070" t="s">
        <v>2606</v>
      </c>
    </row>
    <row r="2" spans="1:13" ht="19.5" customHeight="1">
      <c r="A2" s="3072" t="s">
        <v>2607</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2608</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2609</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2610</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2611</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2612</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2613</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2614</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2615</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2616</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2617</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2618</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2619</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2620</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2621</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2622</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2623</v>
      </c>
      <c r="B18" s="3094"/>
      <c r="C18" s="3095"/>
      <c r="D18" s="3095"/>
      <c r="E18" s="3094"/>
      <c r="F18" s="3095"/>
      <c r="G18" s="3095"/>
    </row>
    <row r="19" spans="1:13" ht="19.5" customHeight="1" thickBot="1">
      <c r="A19" s="3092" t="s">
        <v>2624</v>
      </c>
      <c r="B19" s="3097" t="s">
        <v>2625</v>
      </c>
      <c r="C19" s="3097" t="s">
        <v>2626</v>
      </c>
      <c r="D19" s="3098"/>
      <c r="E19" s="3092" t="s">
        <v>2627</v>
      </c>
      <c r="F19" s="3099"/>
      <c r="G19" s="3099"/>
    </row>
    <row r="20" spans="1:13" ht="19.5" customHeight="1">
      <c r="A20" s="3793" t="s">
        <v>2607</v>
      </c>
      <c r="B20" s="3786" t="s">
        <v>2628</v>
      </c>
      <c r="C20" s="3100" t="s">
        <v>2439</v>
      </c>
      <c r="D20" s="3101"/>
      <c r="E20" s="3102">
        <v>1</v>
      </c>
      <c r="F20" s="3103" t="s">
        <v>2440</v>
      </c>
      <c r="G20" s="3103"/>
    </row>
    <row r="21" spans="1:13" ht="19.5" customHeight="1">
      <c r="A21" s="3794"/>
      <c r="B21" s="3787"/>
      <c r="C21" s="3104" t="s">
        <v>2441</v>
      </c>
      <c r="D21" s="3105"/>
      <c r="E21" s="3106">
        <v>1</v>
      </c>
      <c r="F21" s="3103" t="s">
        <v>2442</v>
      </c>
      <c r="G21" s="3103"/>
    </row>
    <row r="22" spans="1:13" ht="19.5" customHeight="1">
      <c r="A22" s="3794"/>
      <c r="B22" s="3787"/>
      <c r="C22" s="3104" t="s">
        <v>2443</v>
      </c>
      <c r="D22" s="3105"/>
      <c r="E22" s="3106">
        <v>0.9</v>
      </c>
      <c r="F22" s="3103" t="s">
        <v>2444</v>
      </c>
      <c r="G22" s="3103"/>
    </row>
    <row r="23" spans="1:13" ht="19.5" customHeight="1">
      <c r="A23" s="3794"/>
      <c r="B23" s="3787"/>
      <c r="C23" s="3104" t="s">
        <v>2445</v>
      </c>
      <c r="D23" s="3105"/>
      <c r="E23" s="3106">
        <v>0.9</v>
      </c>
      <c r="F23" s="3103" t="s">
        <v>2446</v>
      </c>
      <c r="G23" s="3103"/>
    </row>
    <row r="24" spans="1:13" ht="19.5" customHeight="1">
      <c r="A24" s="3794"/>
      <c r="B24" s="3787"/>
      <c r="C24" s="3104" t="s">
        <v>2447</v>
      </c>
      <c r="D24" s="3105"/>
      <c r="E24" s="3106">
        <v>0.8</v>
      </c>
      <c r="F24" s="3103" t="s">
        <v>2448</v>
      </c>
      <c r="G24" s="3103"/>
    </row>
    <row r="25" spans="1:13" ht="19.5" customHeight="1" thickBot="1">
      <c r="A25" s="3795"/>
      <c r="B25" s="3788"/>
      <c r="C25" s="3107" t="s">
        <v>2449</v>
      </c>
      <c r="D25" s="3108"/>
      <c r="E25" s="3109">
        <v>0.8</v>
      </c>
      <c r="F25" s="3103" t="s">
        <v>2450</v>
      </c>
      <c r="G25" s="3103"/>
    </row>
    <row r="26" spans="1:13" ht="19.5" customHeight="1" thickBot="1">
      <c r="A26" s="3110" t="s">
        <v>2629</v>
      </c>
      <c r="B26" s="3111" t="s">
        <v>2628</v>
      </c>
      <c r="C26" s="3112" t="s">
        <v>2630</v>
      </c>
      <c r="D26" s="3113"/>
      <c r="E26" s="3114">
        <v>1</v>
      </c>
      <c r="F26" s="3103" t="s">
        <v>2451</v>
      </c>
      <c r="G26" s="3103"/>
    </row>
    <row r="27" spans="1:13" ht="19.5" customHeight="1">
      <c r="A27" s="3789" t="s">
        <v>2631</v>
      </c>
      <c r="B27" s="3786" t="s">
        <v>2612</v>
      </c>
      <c r="C27" s="3100" t="s">
        <v>2452</v>
      </c>
      <c r="D27" s="3101"/>
      <c r="E27" s="3102">
        <v>1</v>
      </c>
      <c r="F27" s="3103" t="s">
        <v>2453</v>
      </c>
      <c r="G27" s="3103"/>
    </row>
    <row r="28" spans="1:13" ht="19.5" customHeight="1">
      <c r="A28" s="3790"/>
      <c r="B28" s="3787"/>
      <c r="C28" s="3104" t="s">
        <v>2454</v>
      </c>
      <c r="D28" s="3105"/>
      <c r="E28" s="3106">
        <v>1</v>
      </c>
      <c r="F28" s="3103" t="s">
        <v>2455</v>
      </c>
      <c r="G28" s="3103"/>
    </row>
    <row r="29" spans="1:13" ht="19.5" customHeight="1">
      <c r="A29" s="3790"/>
      <c r="B29" s="3787"/>
      <c r="C29" s="3104" t="s">
        <v>2456</v>
      </c>
      <c r="D29" s="3105"/>
      <c r="E29" s="3106">
        <v>0.8</v>
      </c>
      <c r="F29" s="3103" t="s">
        <v>2457</v>
      </c>
      <c r="G29" s="3103"/>
    </row>
    <row r="30" spans="1:13" ht="19.5" customHeight="1">
      <c r="A30" s="3790"/>
      <c r="B30" s="3787"/>
      <c r="C30" s="3104" t="s">
        <v>2458</v>
      </c>
      <c r="D30" s="3105"/>
      <c r="E30" s="3106">
        <v>0.8</v>
      </c>
      <c r="F30" s="3103" t="s">
        <v>2459</v>
      </c>
      <c r="G30" s="3103"/>
    </row>
    <row r="31" spans="1:13" ht="19.5" customHeight="1">
      <c r="A31" s="3790"/>
      <c r="B31" s="3787"/>
      <c r="C31" s="3104" t="s">
        <v>2460</v>
      </c>
      <c r="D31" s="3105"/>
      <c r="E31" s="3106">
        <v>0.8</v>
      </c>
      <c r="F31" s="3103" t="s">
        <v>2461</v>
      </c>
      <c r="G31" s="3103"/>
    </row>
    <row r="32" spans="1:13" ht="19.5" customHeight="1">
      <c r="A32" s="3790"/>
      <c r="B32" s="3787"/>
      <c r="C32" s="3104" t="s">
        <v>2462</v>
      </c>
      <c r="D32" s="3105"/>
      <c r="E32" s="3106">
        <v>0.7</v>
      </c>
      <c r="F32" s="3103" t="s">
        <v>2463</v>
      </c>
      <c r="G32" s="3103"/>
    </row>
    <row r="33" spans="1:7" ht="19.5" customHeight="1">
      <c r="A33" s="3790"/>
      <c r="B33" s="3787"/>
      <c r="C33" s="3104" t="s">
        <v>2464</v>
      </c>
      <c r="D33" s="3105"/>
      <c r="E33" s="3106">
        <v>0.8</v>
      </c>
      <c r="F33" s="3103" t="s">
        <v>2465</v>
      </c>
      <c r="G33" s="3103"/>
    </row>
    <row r="34" spans="1:7" ht="19.5" customHeight="1">
      <c r="A34" s="3790"/>
      <c r="B34" s="3787"/>
      <c r="C34" s="3104" t="s">
        <v>2466</v>
      </c>
      <c r="D34" s="3105"/>
      <c r="E34" s="3106">
        <v>0.6</v>
      </c>
      <c r="F34" s="3103" t="s">
        <v>2467</v>
      </c>
      <c r="G34" s="3103"/>
    </row>
    <row r="35" spans="1:7" ht="19.5" customHeight="1">
      <c r="A35" s="3790"/>
      <c r="B35" s="3787"/>
      <c r="C35" s="3104" t="s">
        <v>2468</v>
      </c>
      <c r="D35" s="3105"/>
      <c r="E35" s="3106">
        <v>0.2</v>
      </c>
      <c r="F35" s="3103" t="s">
        <v>2469</v>
      </c>
      <c r="G35" s="3103"/>
    </row>
    <row r="36" spans="1:7" ht="19.5" customHeight="1">
      <c r="A36" s="3790"/>
      <c r="B36" s="3787"/>
      <c r="C36" s="3104" t="s">
        <v>2470</v>
      </c>
      <c r="D36" s="3105"/>
      <c r="E36" s="3106">
        <v>0.2</v>
      </c>
      <c r="F36" s="3103" t="s">
        <v>2471</v>
      </c>
      <c r="G36" s="3103"/>
    </row>
    <row r="37" spans="1:7" ht="19.5" customHeight="1">
      <c r="A37" s="3790"/>
      <c r="B37" s="3792" t="s">
        <v>2632</v>
      </c>
      <c r="C37" s="3104" t="s">
        <v>2472</v>
      </c>
      <c r="D37" s="3105"/>
      <c r="E37" s="3106">
        <v>0.6</v>
      </c>
      <c r="F37" s="3103" t="s">
        <v>2473</v>
      </c>
      <c r="G37" s="3103"/>
    </row>
    <row r="38" spans="1:7" ht="19.5" customHeight="1">
      <c r="A38" s="3790"/>
      <c r="B38" s="3787"/>
      <c r="C38" s="3104" t="s">
        <v>2474</v>
      </c>
      <c r="D38" s="3105"/>
      <c r="E38" s="3106">
        <v>0.6</v>
      </c>
      <c r="F38" s="3103" t="s">
        <v>2475</v>
      </c>
      <c r="G38" s="3103"/>
    </row>
    <row r="39" spans="1:7" ht="19.5" customHeight="1" thickBot="1">
      <c r="A39" s="3791"/>
      <c r="B39" s="3788"/>
      <c r="C39" s="3107" t="s">
        <v>2476</v>
      </c>
      <c r="D39" s="3108"/>
      <c r="E39" s="3109">
        <v>0.6</v>
      </c>
      <c r="F39" s="3103" t="s">
        <v>2477</v>
      </c>
      <c r="G39" s="3103"/>
    </row>
    <row r="40" spans="1:7" ht="19.5" customHeight="1" thickBot="1">
      <c r="A40" s="3110" t="s">
        <v>2609</v>
      </c>
      <c r="B40" s="3111" t="s">
        <v>2609</v>
      </c>
      <c r="C40" s="3112" t="s">
        <v>2633</v>
      </c>
      <c r="D40" s="3113"/>
      <c r="E40" s="3114">
        <v>1</v>
      </c>
      <c r="F40" s="3103" t="s">
        <v>2478</v>
      </c>
      <c r="G40" s="3103"/>
    </row>
    <row r="41" spans="1:7" ht="19.5" customHeight="1">
      <c r="A41" s="3793" t="s">
        <v>2610</v>
      </c>
      <c r="B41" s="3786" t="s">
        <v>2634</v>
      </c>
      <c r="C41" s="3100" t="s">
        <v>2479</v>
      </c>
      <c r="D41" s="3101"/>
      <c r="E41" s="3102">
        <v>1</v>
      </c>
      <c r="F41" s="3103" t="s">
        <v>2480</v>
      </c>
      <c r="G41" s="3103"/>
    </row>
    <row r="42" spans="1:7" ht="19.5" customHeight="1">
      <c r="A42" s="3794"/>
      <c r="B42" s="3787"/>
      <c r="C42" s="3104" t="s">
        <v>2481</v>
      </c>
      <c r="D42" s="3105"/>
      <c r="E42" s="3106">
        <v>1</v>
      </c>
      <c r="F42" s="3103" t="s">
        <v>2482</v>
      </c>
      <c r="G42" s="3103"/>
    </row>
    <row r="43" spans="1:7" ht="19.5" customHeight="1">
      <c r="A43" s="3794"/>
      <c r="B43" s="3796"/>
      <c r="C43" s="3104" t="s">
        <v>2483</v>
      </c>
      <c r="D43" s="3105"/>
      <c r="E43" s="3106">
        <v>1.5</v>
      </c>
      <c r="F43" s="3103" t="s">
        <v>2484</v>
      </c>
      <c r="G43" s="3103"/>
    </row>
    <row r="44" spans="1:7" ht="19.5" customHeight="1">
      <c r="A44" s="3794"/>
      <c r="B44" s="3115" t="s">
        <v>2635</v>
      </c>
      <c r="C44" s="3104" t="s">
        <v>2636</v>
      </c>
      <c r="D44" s="3105"/>
      <c r="E44" s="3106">
        <v>2</v>
      </c>
      <c r="F44" s="3103" t="s">
        <v>2485</v>
      </c>
      <c r="G44" s="3103"/>
    </row>
    <row r="45" spans="1:7" ht="19.5" customHeight="1">
      <c r="A45" s="3794"/>
      <c r="B45" s="3792" t="s">
        <v>2637</v>
      </c>
      <c r="C45" s="3104" t="s">
        <v>2486</v>
      </c>
      <c r="D45" s="3105"/>
      <c r="E45" s="3106">
        <v>1</v>
      </c>
      <c r="F45" s="3103" t="s">
        <v>2487</v>
      </c>
      <c r="G45" s="3103"/>
    </row>
    <row r="46" spans="1:7" ht="19.5" customHeight="1">
      <c r="A46" s="3794"/>
      <c r="B46" s="3787"/>
      <c r="C46" s="3104" t="s">
        <v>2488</v>
      </c>
      <c r="D46" s="3105"/>
      <c r="E46" s="3106">
        <v>1</v>
      </c>
      <c r="F46" s="3103" t="s">
        <v>2489</v>
      </c>
      <c r="G46" s="3103"/>
    </row>
    <row r="47" spans="1:7" ht="19.5" customHeight="1">
      <c r="A47" s="3794"/>
      <c r="B47" s="3787"/>
      <c r="C47" s="3104" t="s">
        <v>2490</v>
      </c>
      <c r="D47" s="3105"/>
      <c r="E47" s="3106">
        <v>1</v>
      </c>
      <c r="F47" s="3103" t="s">
        <v>2491</v>
      </c>
      <c r="G47" s="3103"/>
    </row>
    <row r="48" spans="1:7" ht="19.5" customHeight="1">
      <c r="A48" s="3794"/>
      <c r="B48" s="3787"/>
      <c r="C48" s="3104" t="s">
        <v>2492</v>
      </c>
      <c r="D48" s="3105"/>
      <c r="E48" s="3106">
        <v>1</v>
      </c>
      <c r="F48" s="3103" t="s">
        <v>2493</v>
      </c>
      <c r="G48" s="3103"/>
    </row>
    <row r="49" spans="1:7" ht="19.5" customHeight="1">
      <c r="A49" s="3794"/>
      <c r="B49" s="3787"/>
      <c r="C49" s="3104" t="s">
        <v>2494</v>
      </c>
      <c r="D49" s="3105"/>
      <c r="E49" s="3106">
        <v>1</v>
      </c>
      <c r="F49" s="3103" t="s">
        <v>2495</v>
      </c>
      <c r="G49" s="3103"/>
    </row>
    <row r="50" spans="1:7" ht="19.5" customHeight="1">
      <c r="A50" s="3794"/>
      <c r="B50" s="3787"/>
      <c r="C50" s="3104" t="s">
        <v>2496</v>
      </c>
      <c r="D50" s="3105"/>
      <c r="E50" s="3106">
        <v>1</v>
      </c>
      <c r="F50" s="3103" t="s">
        <v>2497</v>
      </c>
      <c r="G50" s="3103"/>
    </row>
    <row r="51" spans="1:7" ht="19.5" customHeight="1" thickBot="1">
      <c r="A51" s="3795"/>
      <c r="B51" s="3788"/>
      <c r="C51" s="3107" t="s">
        <v>2498</v>
      </c>
      <c r="D51" s="3108"/>
      <c r="E51" s="3109">
        <v>1</v>
      </c>
      <c r="F51" s="3103" t="s">
        <v>2499</v>
      </c>
      <c r="G51" s="3103"/>
    </row>
    <row r="52" spans="1:7" ht="19.5" customHeight="1">
      <c r="A52" s="3116"/>
      <c r="B52" s="3116"/>
      <c r="C52" s="3116"/>
      <c r="D52" s="3116"/>
      <c r="E52" s="3116"/>
      <c r="F52" s="3116"/>
      <c r="G52" s="3116"/>
    </row>
    <row r="54" spans="1:7" ht="19.5" customHeight="1">
      <c r="A54" s="3117"/>
      <c r="B54" s="3089" t="s">
        <v>2638</v>
      </c>
      <c r="C54" s="3089" t="s">
        <v>2638</v>
      </c>
      <c r="D54" s="3089" t="s">
        <v>2638</v>
      </c>
      <c r="E54" s="3092" t="s">
        <v>2638</v>
      </c>
      <c r="F54" s="3092" t="s">
        <v>2639</v>
      </c>
      <c r="G54" s="3092" t="s">
        <v>2640</v>
      </c>
    </row>
    <row r="55" spans="1:7" ht="19.5" customHeight="1">
      <c r="A55" s="3118"/>
      <c r="B55" s="3092" t="s">
        <v>2607</v>
      </c>
      <c r="C55" s="3092" t="s">
        <v>2607</v>
      </c>
      <c r="D55" s="3092" t="s">
        <v>2607</v>
      </c>
      <c r="E55" s="3089" t="s">
        <v>2608</v>
      </c>
      <c r="F55" s="3089" t="s">
        <v>2610</v>
      </c>
      <c r="G55" s="3089" t="s">
        <v>2641</v>
      </c>
    </row>
    <row r="56" spans="1:7" ht="19.5" customHeight="1">
      <c r="A56" s="3119"/>
      <c r="B56" s="3089">
        <v>1</v>
      </c>
      <c r="C56" s="3089">
        <v>2</v>
      </c>
      <c r="D56" s="3089">
        <v>3</v>
      </c>
      <c r="E56" s="3120" t="s">
        <v>2642</v>
      </c>
      <c r="F56" s="3120" t="s">
        <v>2642</v>
      </c>
      <c r="G56" s="3120" t="s">
        <v>2642</v>
      </c>
    </row>
    <row r="57" spans="1:7" ht="19.5" customHeight="1">
      <c r="A57" s="3121" t="s">
        <v>2595</v>
      </c>
      <c r="B57" s="3089">
        <v>0.7</v>
      </c>
      <c r="C57" s="3089">
        <v>0.4</v>
      </c>
      <c r="D57" s="3089">
        <v>0.3</v>
      </c>
      <c r="E57" s="3120">
        <v>0.3</v>
      </c>
      <c r="F57" s="3089">
        <v>0.3</v>
      </c>
      <c r="G57" s="3089">
        <v>0.2</v>
      </c>
    </row>
    <row r="58" spans="1:7" ht="19.5" customHeight="1">
      <c r="A58" s="3121" t="s">
        <v>2596</v>
      </c>
      <c r="B58" s="3089">
        <v>0.7</v>
      </c>
      <c r="C58" s="3089">
        <v>0.4</v>
      </c>
      <c r="D58" s="3089">
        <v>0.3</v>
      </c>
      <c r="E58" s="3089">
        <v>0.3</v>
      </c>
      <c r="F58" s="3089">
        <v>0.3</v>
      </c>
      <c r="G58" s="3089">
        <v>0.2</v>
      </c>
    </row>
    <row r="59" spans="1:7" ht="19.5" customHeight="1">
      <c r="A59" s="3121" t="s">
        <v>2597</v>
      </c>
      <c r="B59" s="3089">
        <v>0.6</v>
      </c>
      <c r="C59" s="3089">
        <v>0.3</v>
      </c>
      <c r="D59" s="3089">
        <v>0.25</v>
      </c>
      <c r="E59" s="3089">
        <v>0.25</v>
      </c>
      <c r="F59" s="3089">
        <v>0.25</v>
      </c>
      <c r="G59" s="3089">
        <v>0.15</v>
      </c>
    </row>
    <row r="60" spans="1:7" ht="19.5" customHeight="1">
      <c r="A60" s="3121" t="s">
        <v>2598</v>
      </c>
      <c r="B60" s="3089">
        <v>0.6</v>
      </c>
      <c r="C60" s="3089">
        <v>0.3</v>
      </c>
      <c r="D60" s="3089">
        <v>0.25</v>
      </c>
      <c r="E60" s="3089">
        <v>0.25</v>
      </c>
      <c r="F60" s="3089">
        <v>0.25</v>
      </c>
      <c r="G60" s="3089">
        <v>0.15</v>
      </c>
    </row>
    <row r="61" spans="1:7" ht="19.5" customHeight="1">
      <c r="A61" s="3121" t="s">
        <v>2599</v>
      </c>
      <c r="B61" s="3089">
        <v>0.6</v>
      </c>
      <c r="C61" s="3089">
        <v>0.3</v>
      </c>
      <c r="D61" s="3089">
        <v>0.25</v>
      </c>
      <c r="E61" s="3089">
        <v>0.25</v>
      </c>
      <c r="F61" s="3089">
        <v>0.25</v>
      </c>
      <c r="G61" s="3089">
        <v>0.15</v>
      </c>
    </row>
    <row r="62" spans="1:7" ht="19.5" customHeight="1">
      <c r="A62" s="3121" t="s">
        <v>2600</v>
      </c>
      <c r="B62" s="3089">
        <v>0.6</v>
      </c>
      <c r="C62" s="3089">
        <v>0.3</v>
      </c>
      <c r="D62" s="3089">
        <v>0.25</v>
      </c>
      <c r="E62" s="3089">
        <v>0.25</v>
      </c>
      <c r="F62" s="3089">
        <v>0.25</v>
      </c>
      <c r="G62" s="3089">
        <v>0.15</v>
      </c>
    </row>
    <row r="63" spans="1:7" ht="19.5" customHeight="1">
      <c r="A63" s="3121" t="s">
        <v>2601</v>
      </c>
      <c r="B63" s="3089">
        <v>0.6</v>
      </c>
      <c r="C63" s="3089">
        <v>0.3</v>
      </c>
      <c r="D63" s="3089">
        <v>0.25</v>
      </c>
      <c r="E63" s="3089">
        <v>0.25</v>
      </c>
      <c r="F63" s="3089">
        <v>0.25</v>
      </c>
      <c r="G63" s="3089">
        <v>0.15</v>
      </c>
    </row>
    <row r="64" spans="1:7" ht="19.5" customHeight="1">
      <c r="A64" s="3121" t="s">
        <v>2602</v>
      </c>
      <c r="B64" s="3089">
        <v>0.5</v>
      </c>
      <c r="C64" s="3089">
        <v>0.2</v>
      </c>
      <c r="D64" s="3089">
        <v>0.2</v>
      </c>
      <c r="E64" s="3089">
        <v>0.2</v>
      </c>
      <c r="F64" s="3089">
        <v>0.2</v>
      </c>
      <c r="G64" s="3089">
        <v>0.1</v>
      </c>
    </row>
    <row r="65" spans="1:7" ht="19.5" customHeight="1">
      <c r="A65" s="3121" t="s">
        <v>2603</v>
      </c>
      <c r="B65" s="3089">
        <v>0.5</v>
      </c>
      <c r="C65" s="3089">
        <v>0.2</v>
      </c>
      <c r="D65" s="3089">
        <v>0.2</v>
      </c>
      <c r="E65" s="3089">
        <v>0.2</v>
      </c>
      <c r="F65" s="3089">
        <v>0.2</v>
      </c>
      <c r="G65" s="3089">
        <v>0.1</v>
      </c>
    </row>
    <row r="66" spans="1:7" ht="19.5" customHeight="1">
      <c r="A66" s="3121" t="s">
        <v>2604</v>
      </c>
      <c r="B66" s="3089">
        <v>0.5</v>
      </c>
      <c r="C66" s="3089">
        <v>0.2</v>
      </c>
      <c r="D66" s="3089">
        <v>0.2</v>
      </c>
      <c r="E66" s="3089">
        <v>0.2</v>
      </c>
      <c r="F66" s="3089">
        <v>0.2</v>
      </c>
      <c r="G66" s="3089">
        <v>0.1</v>
      </c>
    </row>
    <row r="67" spans="1:7" ht="19.5" customHeight="1">
      <c r="A67" s="3121" t="s">
        <v>2605</v>
      </c>
      <c r="B67" s="3089">
        <v>0.5</v>
      </c>
      <c r="C67" s="3089">
        <v>0.2</v>
      </c>
      <c r="D67" s="3089">
        <v>0.2</v>
      </c>
      <c r="E67" s="3089">
        <v>0.2</v>
      </c>
      <c r="F67" s="3089">
        <v>0.2</v>
      </c>
      <c r="G67" s="3089">
        <v>0.1</v>
      </c>
    </row>
    <row r="68" spans="1:7" ht="19.5" customHeight="1">
      <c r="A68" s="3121" t="s">
        <v>2606</v>
      </c>
      <c r="B68" s="3089">
        <v>0.5</v>
      </c>
      <c r="C68" s="3089">
        <v>0.2</v>
      </c>
      <c r="D68" s="3089">
        <v>0.2</v>
      </c>
      <c r="E68" s="3089">
        <v>0.2</v>
      </c>
      <c r="F68" s="3089">
        <v>0.2</v>
      </c>
      <c r="G68" s="3089">
        <v>0.1</v>
      </c>
    </row>
    <row r="70" spans="1:7" ht="19.5" customHeight="1">
      <c r="A70" s="3122"/>
      <c r="B70" s="3123"/>
      <c r="C70" s="3123"/>
      <c r="D70" s="3123" t="s">
        <v>2643</v>
      </c>
      <c r="E70" s="3123"/>
      <c r="F70" s="3123"/>
    </row>
    <row r="71" spans="1:7" ht="19.5" customHeight="1">
      <c r="A71" s="3115" t="s">
        <v>2644</v>
      </c>
      <c r="B71" s="3115" t="s">
        <v>2645</v>
      </c>
      <c r="C71" s="3115" t="s">
        <v>2646</v>
      </c>
      <c r="D71" s="3115" t="s">
        <v>2647</v>
      </c>
      <c r="E71" s="3115" t="s">
        <v>2648</v>
      </c>
      <c r="F71" s="3115" t="s">
        <v>2649</v>
      </c>
    </row>
    <row r="72" spans="1:7" ht="14.4">
      <c r="A72" s="3115"/>
      <c r="B72" s="3115"/>
      <c r="C72" s="3115" t="s">
        <v>2650</v>
      </c>
      <c r="D72" s="3115"/>
      <c r="E72" s="3115" t="s">
        <v>2621</v>
      </c>
      <c r="F72" s="3115" t="s">
        <v>2621</v>
      </c>
    </row>
    <row r="73" spans="1:7" ht="14.4">
      <c r="A73" s="3115">
        <v>1</v>
      </c>
      <c r="B73" s="3792" t="s">
        <v>2651</v>
      </c>
      <c r="C73" s="3089" t="s">
        <v>2652</v>
      </c>
      <c r="D73" s="3089" t="s">
        <v>2653</v>
      </c>
      <c r="E73" s="3115">
        <v>0.2</v>
      </c>
      <c r="F73" s="3115">
        <v>25</v>
      </c>
    </row>
    <row r="74" spans="1:7" ht="24">
      <c r="A74" s="3115">
        <v>2</v>
      </c>
      <c r="B74" s="3787"/>
      <c r="C74" s="3089" t="s">
        <v>2654</v>
      </c>
      <c r="D74" s="3089" t="s">
        <v>2655</v>
      </c>
      <c r="E74" s="3115">
        <v>0.2</v>
      </c>
      <c r="F74" s="3115">
        <v>25</v>
      </c>
    </row>
    <row r="75" spans="1:7" ht="24">
      <c r="A75" s="3115">
        <v>3</v>
      </c>
      <c r="B75" s="3787"/>
      <c r="C75" s="3089" t="s">
        <v>2656</v>
      </c>
      <c r="D75" s="3089" t="s">
        <v>2657</v>
      </c>
      <c r="E75" s="3115">
        <v>0.2</v>
      </c>
      <c r="F75" s="3115">
        <v>25</v>
      </c>
    </row>
    <row r="76" spans="1:7" ht="14.4">
      <c r="A76" s="3115">
        <v>4</v>
      </c>
      <c r="B76" s="3787"/>
      <c r="C76" s="3089" t="s">
        <v>2658</v>
      </c>
      <c r="D76" s="3089" t="s">
        <v>2659</v>
      </c>
      <c r="E76" s="3115">
        <v>0.15</v>
      </c>
      <c r="F76" s="3115">
        <v>20</v>
      </c>
    </row>
    <row r="77" spans="1:7" ht="24">
      <c r="A77" s="3115">
        <v>5</v>
      </c>
      <c r="B77" s="3787"/>
      <c r="C77" s="3089" t="s">
        <v>2660</v>
      </c>
      <c r="D77" s="3089" t="s">
        <v>2661</v>
      </c>
      <c r="E77" s="3115">
        <v>0.15</v>
      </c>
      <c r="F77" s="3115">
        <v>20</v>
      </c>
    </row>
    <row r="78" spans="1:7" ht="24">
      <c r="A78" s="3115">
        <v>6</v>
      </c>
      <c r="B78" s="3787"/>
      <c r="C78" s="3089" t="s">
        <v>2662</v>
      </c>
      <c r="D78" s="3089" t="s">
        <v>2663</v>
      </c>
      <c r="E78" s="3115">
        <v>0.15</v>
      </c>
      <c r="F78" s="3115">
        <v>20</v>
      </c>
    </row>
    <row r="79" spans="1:7" ht="24">
      <c r="A79" s="3115">
        <v>7</v>
      </c>
      <c r="B79" s="3787"/>
      <c r="C79" s="3089" t="s">
        <v>2664</v>
      </c>
      <c r="D79" s="3089" t="s">
        <v>2665</v>
      </c>
      <c r="E79" s="3115">
        <v>0.15</v>
      </c>
      <c r="F79" s="3115">
        <v>20</v>
      </c>
    </row>
    <row r="80" spans="1:7" ht="24">
      <c r="A80" s="3115">
        <v>8</v>
      </c>
      <c r="B80" s="3787"/>
      <c r="C80" s="3089" t="s">
        <v>2666</v>
      </c>
      <c r="D80" s="3089" t="s">
        <v>2667</v>
      </c>
      <c r="E80" s="3115">
        <v>0.1</v>
      </c>
      <c r="F80" s="3115">
        <v>15</v>
      </c>
    </row>
    <row r="81" spans="1:6" ht="24">
      <c r="A81" s="3115">
        <v>9</v>
      </c>
      <c r="B81" s="3787"/>
      <c r="C81" s="3089" t="s">
        <v>2668</v>
      </c>
      <c r="D81" s="3089" t="s">
        <v>2669</v>
      </c>
      <c r="E81" s="3115">
        <v>0.1</v>
      </c>
      <c r="F81" s="3115">
        <v>15</v>
      </c>
    </row>
    <row r="82" spans="1:6" ht="24">
      <c r="A82" s="3115">
        <v>10</v>
      </c>
      <c r="B82" s="3787"/>
      <c r="C82" s="3089" t="s">
        <v>2670</v>
      </c>
      <c r="D82" s="3089" t="s">
        <v>2671</v>
      </c>
      <c r="E82" s="3115">
        <v>0.1</v>
      </c>
      <c r="F82" s="3115">
        <v>15</v>
      </c>
    </row>
    <row r="83" spans="1:6" ht="24">
      <c r="A83" s="3115">
        <v>11</v>
      </c>
      <c r="B83" s="3787"/>
      <c r="C83" s="3089" t="s">
        <v>2672</v>
      </c>
      <c r="D83" s="3089" t="s">
        <v>2673</v>
      </c>
      <c r="E83" s="3115">
        <v>0.1</v>
      </c>
      <c r="F83" s="3115">
        <v>15</v>
      </c>
    </row>
    <row r="84" spans="1:6" ht="24">
      <c r="A84" s="3115">
        <v>12</v>
      </c>
      <c r="B84" s="3787"/>
      <c r="C84" s="3089" t="s">
        <v>2674</v>
      </c>
      <c r="D84" s="3089" t="s">
        <v>2675</v>
      </c>
      <c r="E84" s="3115">
        <v>0.1</v>
      </c>
      <c r="F84" s="3115">
        <v>15</v>
      </c>
    </row>
    <row r="85" spans="1:6" ht="24">
      <c r="A85" s="3115">
        <v>13</v>
      </c>
      <c r="B85" s="3787"/>
      <c r="C85" s="3089" t="s">
        <v>2676</v>
      </c>
      <c r="D85" s="3089" t="s">
        <v>2677</v>
      </c>
      <c r="E85" s="3115">
        <v>0.1</v>
      </c>
      <c r="F85" s="3115">
        <v>15</v>
      </c>
    </row>
    <row r="86" spans="1:6" ht="24">
      <c r="A86" s="3115">
        <v>14</v>
      </c>
      <c r="B86" s="3787"/>
      <c r="C86" s="3089" t="s">
        <v>2678</v>
      </c>
      <c r="D86" s="3089" t="s">
        <v>2679</v>
      </c>
      <c r="E86" s="3115">
        <v>0.1</v>
      </c>
      <c r="F86" s="3115">
        <v>15</v>
      </c>
    </row>
    <row r="87" spans="1:6" ht="24">
      <c r="A87" s="3115">
        <v>15</v>
      </c>
      <c r="B87" s="3787"/>
      <c r="C87" s="3089" t="s">
        <v>2680</v>
      </c>
      <c r="D87" s="3089" t="s">
        <v>2681</v>
      </c>
      <c r="E87" s="3115">
        <v>0.1</v>
      </c>
      <c r="F87" s="3115">
        <v>15</v>
      </c>
    </row>
    <row r="88" spans="1:6" ht="24">
      <c r="A88" s="3115">
        <v>16</v>
      </c>
      <c r="B88" s="3787"/>
      <c r="C88" s="3089" t="s">
        <v>2682</v>
      </c>
      <c r="D88" s="3089" t="s">
        <v>2683</v>
      </c>
      <c r="E88" s="3115">
        <v>0.1</v>
      </c>
      <c r="F88" s="3115">
        <v>15</v>
      </c>
    </row>
    <row r="89" spans="1:6" ht="24">
      <c r="A89" s="3115">
        <v>17</v>
      </c>
      <c r="B89" s="3796"/>
      <c r="C89" s="3089" t="s">
        <v>2684</v>
      </c>
      <c r="D89" s="3089" t="s">
        <v>2685</v>
      </c>
      <c r="E89" s="3115">
        <v>0.1</v>
      </c>
      <c r="F89" s="3115">
        <v>15</v>
      </c>
    </row>
    <row r="90" spans="1:6" ht="14.4">
      <c r="A90" s="3115">
        <v>18</v>
      </c>
      <c r="B90" s="3792" t="s">
        <v>2686</v>
      </c>
      <c r="C90" s="3089" t="s">
        <v>2687</v>
      </c>
      <c r="D90" s="3089" t="s">
        <v>2688</v>
      </c>
      <c r="E90" s="3115">
        <v>0.2</v>
      </c>
      <c r="F90" s="3115">
        <v>25</v>
      </c>
    </row>
    <row r="91" spans="1:6" ht="24">
      <c r="A91" s="3115">
        <v>19</v>
      </c>
      <c r="B91" s="3787"/>
      <c r="C91" s="3089" t="s">
        <v>2689</v>
      </c>
      <c r="D91" s="3089" t="s">
        <v>2690</v>
      </c>
      <c r="E91" s="3115">
        <v>0.2</v>
      </c>
      <c r="F91" s="3115">
        <v>25</v>
      </c>
    </row>
    <row r="92" spans="1:6" ht="14.4">
      <c r="A92" s="3115">
        <v>20</v>
      </c>
      <c r="B92" s="3787"/>
      <c r="C92" s="3089" t="s">
        <v>2691</v>
      </c>
      <c r="D92" s="3089" t="s">
        <v>2692</v>
      </c>
      <c r="E92" s="3115">
        <v>0.15</v>
      </c>
      <c r="F92" s="3115">
        <v>20</v>
      </c>
    </row>
    <row r="93" spans="1:6" ht="24">
      <c r="A93" s="3115">
        <v>21</v>
      </c>
      <c r="B93" s="3787"/>
      <c r="C93" s="3089" t="s">
        <v>2693</v>
      </c>
      <c r="D93" s="3089" t="s">
        <v>2694</v>
      </c>
      <c r="E93" s="3115">
        <v>0.15</v>
      </c>
      <c r="F93" s="3115">
        <v>20</v>
      </c>
    </row>
    <row r="94" spans="1:6" ht="24">
      <c r="A94" s="3115">
        <v>22</v>
      </c>
      <c r="B94" s="3787"/>
      <c r="C94" s="3089" t="s">
        <v>2695</v>
      </c>
      <c r="D94" s="3089" t="s">
        <v>2696</v>
      </c>
      <c r="E94" s="3115">
        <v>0.15</v>
      </c>
      <c r="F94" s="3115">
        <v>20</v>
      </c>
    </row>
    <row r="95" spans="1:6" ht="36">
      <c r="A95" s="3115">
        <v>23</v>
      </c>
      <c r="B95" s="3787"/>
      <c r="C95" s="3089" t="s">
        <v>2697</v>
      </c>
      <c r="D95" s="3089" t="s">
        <v>2698</v>
      </c>
      <c r="E95" s="3115">
        <v>0.15</v>
      </c>
      <c r="F95" s="3115">
        <v>20</v>
      </c>
    </row>
    <row r="96" spans="1:6" ht="24">
      <c r="A96" s="3115">
        <v>24</v>
      </c>
      <c r="B96" s="3787"/>
      <c r="C96" s="3089" t="s">
        <v>2699</v>
      </c>
      <c r="D96" s="3089" t="s">
        <v>2700</v>
      </c>
      <c r="E96" s="3115">
        <v>0.1</v>
      </c>
      <c r="F96" s="3115">
        <v>15</v>
      </c>
    </row>
    <row r="97" spans="1:6" ht="24">
      <c r="A97" s="3115">
        <v>25</v>
      </c>
      <c r="B97" s="3787"/>
      <c r="C97" s="3089" t="s">
        <v>2701</v>
      </c>
      <c r="D97" s="3089" t="s">
        <v>2702</v>
      </c>
      <c r="E97" s="3115">
        <v>0.1</v>
      </c>
      <c r="F97" s="3115">
        <v>15</v>
      </c>
    </row>
    <row r="98" spans="1:6" ht="24">
      <c r="A98" s="3115">
        <v>26</v>
      </c>
      <c r="B98" s="3787"/>
      <c r="C98" s="3089" t="s">
        <v>2703</v>
      </c>
      <c r="D98" s="3089" t="s">
        <v>2704</v>
      </c>
      <c r="E98" s="3115">
        <v>0.1</v>
      </c>
      <c r="F98" s="3115">
        <v>15</v>
      </c>
    </row>
    <row r="99" spans="1:6" ht="24">
      <c r="A99" s="3115">
        <v>27</v>
      </c>
      <c r="B99" s="3787"/>
      <c r="C99" s="3089" t="s">
        <v>2705</v>
      </c>
      <c r="D99" s="3089" t="s">
        <v>2706</v>
      </c>
      <c r="E99" s="3115">
        <v>0.1</v>
      </c>
      <c r="F99" s="3115">
        <v>15</v>
      </c>
    </row>
    <row r="100" spans="1:6" ht="24">
      <c r="A100" s="3115">
        <v>28</v>
      </c>
      <c r="B100" s="3787"/>
      <c r="C100" s="3089" t="s">
        <v>2707</v>
      </c>
      <c r="D100" s="3089" t="s">
        <v>2708</v>
      </c>
      <c r="E100" s="3115">
        <v>0.1</v>
      </c>
      <c r="F100" s="3115">
        <v>15</v>
      </c>
    </row>
    <row r="101" spans="1:6" ht="24">
      <c r="A101" s="3115">
        <v>29</v>
      </c>
      <c r="B101" s="3787"/>
      <c r="C101" s="3089" t="s">
        <v>2709</v>
      </c>
      <c r="D101" s="3089" t="s">
        <v>2710</v>
      </c>
      <c r="E101" s="3115">
        <v>0.1</v>
      </c>
      <c r="F101" s="3115">
        <v>15</v>
      </c>
    </row>
    <row r="102" spans="1:6" ht="24">
      <c r="A102" s="3115">
        <v>30</v>
      </c>
      <c r="B102" s="3787"/>
      <c r="C102" s="3089" t="s">
        <v>2711</v>
      </c>
      <c r="D102" s="3089" t="s">
        <v>2712</v>
      </c>
      <c r="E102" s="3115">
        <v>0.1</v>
      </c>
      <c r="F102" s="3115">
        <v>15</v>
      </c>
    </row>
    <row r="103" spans="1:6" ht="24">
      <c r="A103" s="3115">
        <v>31</v>
      </c>
      <c r="B103" s="3787"/>
      <c r="C103" s="3089" t="s">
        <v>2713</v>
      </c>
      <c r="D103" s="3089" t="s">
        <v>2714</v>
      </c>
      <c r="E103" s="3115">
        <v>0.1</v>
      </c>
      <c r="F103" s="3115">
        <v>15</v>
      </c>
    </row>
    <row r="104" spans="1:6" ht="24">
      <c r="A104" s="3115">
        <v>32</v>
      </c>
      <c r="B104" s="3787"/>
      <c r="C104" s="3089" t="s">
        <v>2715</v>
      </c>
      <c r="D104" s="3089" t="s">
        <v>2716</v>
      </c>
      <c r="E104" s="3115">
        <v>0.1</v>
      </c>
      <c r="F104" s="3115">
        <v>15</v>
      </c>
    </row>
    <row r="105" spans="1:6" ht="24">
      <c r="A105" s="3115">
        <v>33</v>
      </c>
      <c r="B105" s="3787"/>
      <c r="C105" s="3089" t="s">
        <v>2717</v>
      </c>
      <c r="D105" s="3089" t="s">
        <v>2718</v>
      </c>
      <c r="E105" s="3115">
        <v>0.1</v>
      </c>
      <c r="F105" s="3115">
        <v>15</v>
      </c>
    </row>
    <row r="106" spans="1:6" ht="24">
      <c r="A106" s="3115">
        <v>34</v>
      </c>
      <c r="B106" s="3796"/>
      <c r="C106" s="3089" t="s">
        <v>2719</v>
      </c>
      <c r="D106" s="3089" t="s">
        <v>2720</v>
      </c>
      <c r="E106" s="3115">
        <v>0.1</v>
      </c>
      <c r="F106" s="3115">
        <v>15</v>
      </c>
    </row>
    <row r="107" spans="1:6" ht="36">
      <c r="A107" s="3115">
        <v>35</v>
      </c>
      <c r="B107" s="3792" t="s">
        <v>2721</v>
      </c>
      <c r="C107" s="3115" t="s">
        <v>2722</v>
      </c>
      <c r="D107" s="3089" t="s">
        <v>2723</v>
      </c>
      <c r="E107" s="3115">
        <v>0.15</v>
      </c>
      <c r="F107" s="3115">
        <v>20</v>
      </c>
    </row>
    <row r="108" spans="1:6" ht="24">
      <c r="A108" s="3115">
        <v>36</v>
      </c>
      <c r="B108" s="3787"/>
      <c r="C108" s="3115" t="s">
        <v>2724</v>
      </c>
      <c r="D108" s="3089" t="s">
        <v>2725</v>
      </c>
      <c r="E108" s="3115">
        <v>0.15</v>
      </c>
      <c r="F108" s="3115">
        <v>20</v>
      </c>
    </row>
    <row r="109" spans="1:6" ht="24">
      <c r="A109" s="3115">
        <v>37</v>
      </c>
      <c r="B109" s="3787"/>
      <c r="C109" s="3115" t="s">
        <v>2726</v>
      </c>
      <c r="D109" s="3089" t="s">
        <v>2727</v>
      </c>
      <c r="E109" s="3115">
        <v>0.15</v>
      </c>
      <c r="F109" s="3115">
        <v>20</v>
      </c>
    </row>
    <row r="110" spans="1:6" ht="24">
      <c r="A110" s="3115">
        <v>38</v>
      </c>
      <c r="B110" s="3787"/>
      <c r="C110" s="3115" t="s">
        <v>2728</v>
      </c>
      <c r="D110" s="3089" t="s">
        <v>2729</v>
      </c>
      <c r="E110" s="3115">
        <v>0.1</v>
      </c>
      <c r="F110" s="3115">
        <v>15</v>
      </c>
    </row>
    <row r="111" spans="1:6" ht="24">
      <c r="A111" s="3115">
        <v>39</v>
      </c>
      <c r="B111" s="3787"/>
      <c r="C111" s="3115" t="s">
        <v>2730</v>
      </c>
      <c r="D111" s="3089" t="s">
        <v>2731</v>
      </c>
      <c r="E111" s="3115">
        <v>0.1</v>
      </c>
      <c r="F111" s="3115">
        <v>15</v>
      </c>
    </row>
    <row r="112" spans="1:6" ht="24">
      <c r="A112" s="3115">
        <v>40</v>
      </c>
      <c r="B112" s="3796"/>
      <c r="C112" s="3115" t="s">
        <v>2732</v>
      </c>
      <c r="D112" s="3089" t="s">
        <v>2733</v>
      </c>
      <c r="E112" s="3115">
        <v>0.1</v>
      </c>
      <c r="F112" s="3115">
        <v>15</v>
      </c>
    </row>
    <row r="113" spans="1:6" ht="24">
      <c r="A113" s="3115">
        <v>41</v>
      </c>
      <c r="B113" s="3797" t="s">
        <v>2734</v>
      </c>
      <c r="C113" s="3115" t="s">
        <v>2735</v>
      </c>
      <c r="D113" s="3089" t="s">
        <v>2736</v>
      </c>
      <c r="E113" s="3115">
        <v>0.1</v>
      </c>
      <c r="F113" s="3115">
        <v>15</v>
      </c>
    </row>
    <row r="114" spans="1:6" ht="24">
      <c r="A114" s="3115">
        <v>42</v>
      </c>
      <c r="B114" s="3797"/>
      <c r="C114" s="3115" t="s">
        <v>2737</v>
      </c>
      <c r="D114" s="3089" t="s">
        <v>2738</v>
      </c>
      <c r="E114" s="3115">
        <v>0.1</v>
      </c>
      <c r="F114" s="3115">
        <v>15</v>
      </c>
    </row>
    <row r="115" spans="1:6" ht="24">
      <c r="A115" s="3115">
        <v>43</v>
      </c>
      <c r="B115" s="3797"/>
      <c r="C115" s="3115" t="s">
        <v>2739</v>
      </c>
      <c r="D115" s="3089" t="s">
        <v>2740</v>
      </c>
      <c r="E115" s="3115">
        <v>0.1</v>
      </c>
      <c r="F115" s="3115">
        <v>15</v>
      </c>
    </row>
    <row r="116" spans="1:6" ht="24">
      <c r="A116" s="3115">
        <v>44</v>
      </c>
      <c r="B116" s="3792" t="s">
        <v>2741</v>
      </c>
      <c r="C116" s="3115" t="s">
        <v>2742</v>
      </c>
      <c r="D116" s="3089" t="s">
        <v>2743</v>
      </c>
      <c r="E116" s="3115">
        <v>0.1</v>
      </c>
      <c r="F116" s="3115">
        <v>15</v>
      </c>
    </row>
    <row r="117" spans="1:6" ht="24">
      <c r="A117" s="3115">
        <v>45</v>
      </c>
      <c r="B117" s="3796"/>
      <c r="C117" s="3089" t="s">
        <v>2744</v>
      </c>
      <c r="D117" s="3089" t="s">
        <v>2745</v>
      </c>
      <c r="E117" s="3115">
        <v>0.1</v>
      </c>
      <c r="F117" s="3115">
        <v>15</v>
      </c>
    </row>
    <row r="118" spans="1:6" ht="24">
      <c r="A118" s="3115">
        <v>46</v>
      </c>
      <c r="B118" s="3792" t="s">
        <v>2746</v>
      </c>
      <c r="C118" s="3115" t="s">
        <v>2747</v>
      </c>
      <c r="D118" s="3089" t="s">
        <v>2748</v>
      </c>
      <c r="E118" s="3115">
        <v>0.1</v>
      </c>
      <c r="F118" s="3115">
        <v>15</v>
      </c>
    </row>
    <row r="119" spans="1:6" ht="24">
      <c r="A119" s="3115">
        <v>47</v>
      </c>
      <c r="B119" s="3796"/>
      <c r="C119" s="3115" t="s">
        <v>2749</v>
      </c>
      <c r="D119" s="3089" t="s">
        <v>2750</v>
      </c>
      <c r="E119" s="3115">
        <v>0.1</v>
      </c>
      <c r="F119" s="3115">
        <v>15</v>
      </c>
    </row>
    <row r="120" spans="1:6" ht="24">
      <c r="A120" s="3115">
        <v>48</v>
      </c>
      <c r="B120" s="3792" t="s">
        <v>2751</v>
      </c>
      <c r="C120" s="3115" t="s">
        <v>2752</v>
      </c>
      <c r="D120" s="3089" t="s">
        <v>2753</v>
      </c>
      <c r="E120" s="3115">
        <v>0.1</v>
      </c>
      <c r="F120" s="3115">
        <v>15</v>
      </c>
    </row>
    <row r="121" spans="1:6" ht="24">
      <c r="A121" s="3115">
        <v>49</v>
      </c>
      <c r="B121" s="3796"/>
      <c r="C121" s="3115" t="s">
        <v>2754</v>
      </c>
      <c r="D121" s="3089" t="s">
        <v>2755</v>
      </c>
      <c r="E121" s="3115">
        <v>0.1</v>
      </c>
      <c r="F121" s="3115">
        <v>15</v>
      </c>
    </row>
    <row r="122" spans="1:6" ht="24">
      <c r="A122" s="3115">
        <v>50</v>
      </c>
      <c r="B122" s="3797" t="s">
        <v>2756</v>
      </c>
      <c r="C122" s="3115" t="s">
        <v>2757</v>
      </c>
      <c r="D122" s="3089" t="s">
        <v>2758</v>
      </c>
      <c r="E122" s="3115">
        <v>0.1</v>
      </c>
      <c r="F122" s="3115">
        <v>15</v>
      </c>
    </row>
    <row r="123" spans="1:6" ht="24">
      <c r="A123" s="3115">
        <v>51</v>
      </c>
      <c r="B123" s="3797"/>
      <c r="C123" s="3115" t="s">
        <v>2759</v>
      </c>
      <c r="D123" s="3089" t="s">
        <v>2760</v>
      </c>
      <c r="E123" s="3115">
        <v>0.1</v>
      </c>
      <c r="F123" s="3115">
        <v>15</v>
      </c>
    </row>
    <row r="124" spans="1:6" ht="24">
      <c r="A124" s="3115">
        <v>52</v>
      </c>
      <c r="B124" s="3797" t="s">
        <v>2761</v>
      </c>
      <c r="C124" s="3115" t="s">
        <v>2762</v>
      </c>
      <c r="D124" s="3089" t="s">
        <v>2763</v>
      </c>
      <c r="E124" s="3115">
        <v>0.1</v>
      </c>
      <c r="F124" s="3115">
        <v>15</v>
      </c>
    </row>
    <row r="125" spans="1:6" ht="24">
      <c r="A125" s="3115">
        <v>53</v>
      </c>
      <c r="B125" s="3797"/>
      <c r="C125" s="3115" t="s">
        <v>2764</v>
      </c>
      <c r="D125" s="3089" t="s">
        <v>2765</v>
      </c>
      <c r="E125" s="3115">
        <v>0.1</v>
      </c>
      <c r="F125" s="3115">
        <v>15</v>
      </c>
    </row>
    <row r="126" spans="1:6" ht="24">
      <c r="A126" s="3115">
        <v>54</v>
      </c>
      <c r="B126" s="3115" t="s">
        <v>2766</v>
      </c>
      <c r="C126" s="3115" t="s">
        <v>2767</v>
      </c>
      <c r="D126" s="3089" t="s">
        <v>2768</v>
      </c>
      <c r="E126" s="3115">
        <v>0.1</v>
      </c>
      <c r="F126" s="3115">
        <v>15</v>
      </c>
    </row>
    <row r="127" spans="1:6" ht="24">
      <c r="A127" s="3115">
        <v>55</v>
      </c>
      <c r="B127" s="3797" t="s">
        <v>2769</v>
      </c>
      <c r="C127" s="3115" t="s">
        <v>2770</v>
      </c>
      <c r="D127" s="3089" t="s">
        <v>2771</v>
      </c>
      <c r="E127" s="3115">
        <v>0.1</v>
      </c>
      <c r="F127" s="3115">
        <v>15</v>
      </c>
    </row>
    <row r="128" spans="1:6" ht="24">
      <c r="A128" s="3115">
        <v>56</v>
      </c>
      <c r="B128" s="3797"/>
      <c r="C128" s="3115" t="s">
        <v>2772</v>
      </c>
      <c r="D128" s="3089" t="s">
        <v>2773</v>
      </c>
      <c r="E128" s="3115">
        <v>0.1</v>
      </c>
      <c r="F128" s="3115">
        <v>15</v>
      </c>
    </row>
    <row r="129" spans="1:6" ht="24">
      <c r="A129" s="3115">
        <v>57</v>
      </c>
      <c r="B129" s="3797"/>
      <c r="C129" s="3115" t="s">
        <v>2774</v>
      </c>
      <c r="D129" s="3089" t="s">
        <v>2775</v>
      </c>
      <c r="E129" s="3115">
        <v>0.1</v>
      </c>
      <c r="F129" s="3115">
        <v>15</v>
      </c>
    </row>
    <row r="130" spans="1:6" ht="24">
      <c r="A130" s="3115">
        <v>58</v>
      </c>
      <c r="B130" s="3797" t="s">
        <v>2776</v>
      </c>
      <c r="C130" s="3115" t="s">
        <v>2777</v>
      </c>
      <c r="D130" s="3089" t="s">
        <v>2778</v>
      </c>
      <c r="E130" s="3115">
        <v>0.1</v>
      </c>
      <c r="F130" s="3115">
        <v>15</v>
      </c>
    </row>
    <row r="131" spans="1:6" ht="24">
      <c r="A131" s="3115">
        <v>59</v>
      </c>
      <c r="B131" s="3797"/>
      <c r="C131" s="3115" t="s">
        <v>2779</v>
      </c>
      <c r="D131" s="3089" t="s">
        <v>2780</v>
      </c>
      <c r="E131" s="3115">
        <v>0.1</v>
      </c>
      <c r="F131" s="3115">
        <v>15</v>
      </c>
    </row>
    <row r="132" spans="1:6" ht="24">
      <c r="A132" s="3115">
        <v>60</v>
      </c>
      <c r="B132" s="3792" t="s">
        <v>2781</v>
      </c>
      <c r="C132" s="3115" t="s">
        <v>2782</v>
      </c>
      <c r="D132" s="3089" t="s">
        <v>2783</v>
      </c>
      <c r="E132" s="3115">
        <v>0.1</v>
      </c>
      <c r="F132" s="3115">
        <v>15</v>
      </c>
    </row>
    <row r="133" spans="1:6" ht="24">
      <c r="A133" s="3115">
        <v>61</v>
      </c>
      <c r="B133" s="3796"/>
      <c r="C133" s="3115" t="s">
        <v>2784</v>
      </c>
      <c r="D133" s="3089" t="s">
        <v>2785</v>
      </c>
      <c r="E133" s="3115">
        <v>0.1</v>
      </c>
      <c r="F133" s="3115">
        <v>15</v>
      </c>
    </row>
    <row r="134" spans="1:6" ht="24">
      <c r="A134" s="3115">
        <v>62</v>
      </c>
      <c r="B134" s="3115" t="s">
        <v>2786</v>
      </c>
      <c r="C134" s="3115" t="s">
        <v>2787</v>
      </c>
      <c r="D134" s="3089" t="s">
        <v>2788</v>
      </c>
      <c r="E134" s="3115">
        <v>0.1</v>
      </c>
      <c r="F134" s="3115">
        <v>15</v>
      </c>
    </row>
    <row r="135" spans="1:6" ht="24">
      <c r="A135" s="3115">
        <v>63</v>
      </c>
      <c r="B135" s="3797" t="s">
        <v>2789</v>
      </c>
      <c r="C135" s="3115" t="s">
        <v>2790</v>
      </c>
      <c r="D135" s="3089" t="s">
        <v>2791</v>
      </c>
      <c r="E135" s="3115">
        <v>0.1</v>
      </c>
      <c r="F135" s="3115">
        <v>15</v>
      </c>
    </row>
    <row r="136" spans="1:6" ht="24">
      <c r="A136" s="3115">
        <v>64</v>
      </c>
      <c r="B136" s="3797"/>
      <c r="C136" s="3115" t="s">
        <v>2792</v>
      </c>
      <c r="D136" s="3089" t="s">
        <v>2793</v>
      </c>
      <c r="E136" s="3115">
        <v>0.1</v>
      </c>
      <c r="F136" s="3115">
        <v>15</v>
      </c>
    </row>
    <row r="137" spans="1:6" ht="24">
      <c r="A137" s="3115">
        <v>65</v>
      </c>
      <c r="B137" s="3115" t="s">
        <v>2794</v>
      </c>
      <c r="C137" s="3115" t="s">
        <v>2795</v>
      </c>
      <c r="D137" s="3089" t="s">
        <v>2796</v>
      </c>
      <c r="E137" s="3115">
        <v>0.1</v>
      </c>
      <c r="F137" s="3115">
        <v>15</v>
      </c>
    </row>
    <row r="138" spans="1:6" ht="14.4">
      <c r="A138" s="3115"/>
      <c r="B138" s="3115"/>
      <c r="C138" s="3115"/>
      <c r="D138" s="3115"/>
      <c r="E138" s="3115" t="s">
        <v>2797</v>
      </c>
      <c r="F138" s="311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48"/>
  </cols>
  <sheetData>
    <row r="1" spans="1:20" ht="16.2" thickBot="1">
      <c r="A1" s="3124" t="s">
        <v>2798</v>
      </c>
      <c r="B1" s="3124"/>
      <c r="C1" s="3124"/>
      <c r="D1" s="3124"/>
      <c r="E1" s="3124"/>
      <c r="F1" s="3124"/>
      <c r="G1" s="3124"/>
      <c r="H1" s="3124"/>
      <c r="I1" s="3124"/>
      <c r="J1" s="3124"/>
      <c r="K1" s="3124"/>
      <c r="L1" s="3124"/>
      <c r="M1" s="3124"/>
      <c r="N1" s="747"/>
    </row>
    <row r="2" spans="1:20">
      <c r="A2" s="3125" t="s">
        <v>2799</v>
      </c>
      <c r="B2" s="3126" t="s">
        <v>2595</v>
      </c>
      <c r="C2" s="3126" t="s">
        <v>2596</v>
      </c>
      <c r="D2" s="3126" t="s">
        <v>2597</v>
      </c>
      <c r="E2" s="3126" t="s">
        <v>2598</v>
      </c>
      <c r="F2" s="3126" t="s">
        <v>2599</v>
      </c>
      <c r="G2" s="3126" t="s">
        <v>2600</v>
      </c>
      <c r="H2" s="3127" t="s">
        <v>2601</v>
      </c>
      <c r="I2" s="3127" t="s">
        <v>2602</v>
      </c>
      <c r="J2" s="3128" t="s">
        <v>2603</v>
      </c>
      <c r="K2" s="3128" t="s">
        <v>2604</v>
      </c>
      <c r="L2" s="3128" t="s">
        <v>2605</v>
      </c>
      <c r="M2" s="3129" t="s">
        <v>2606</v>
      </c>
      <c r="Q2" s="3139" t="s">
        <v>2804</v>
      </c>
      <c r="R2" s="3139" t="s">
        <v>2805</v>
      </c>
      <c r="S2" s="3139" t="s">
        <v>2806</v>
      </c>
      <c r="T2" s="3139" t="s">
        <v>2807</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2800</v>
      </c>
      <c r="B93" s="3124"/>
      <c r="C93" s="3124"/>
      <c r="D93" s="3124"/>
      <c r="E93" s="3124"/>
      <c r="F93" s="3124"/>
      <c r="G93" s="3124"/>
      <c r="H93" s="3124"/>
      <c r="I93" s="3124"/>
      <c r="J93" s="3124"/>
      <c r="K93" s="3124"/>
      <c r="L93" s="3124"/>
      <c r="M93" s="3124"/>
    </row>
    <row r="94" spans="1:20">
      <c r="A94" s="3125" t="s">
        <v>2799</v>
      </c>
      <c r="B94" s="3126" t="s">
        <v>2595</v>
      </c>
      <c r="C94" s="3126" t="s">
        <v>2596</v>
      </c>
      <c r="D94" s="3126" t="s">
        <v>2597</v>
      </c>
      <c r="E94" s="3126" t="s">
        <v>2598</v>
      </c>
      <c r="F94" s="3126" t="s">
        <v>2599</v>
      </c>
      <c r="G94" s="3126" t="s">
        <v>2600</v>
      </c>
      <c r="H94" s="3127" t="s">
        <v>2601</v>
      </c>
      <c r="I94" s="3127" t="s">
        <v>2602</v>
      </c>
      <c r="J94" s="3128" t="s">
        <v>2603</v>
      </c>
      <c r="K94" s="3128" t="s">
        <v>2604</v>
      </c>
      <c r="L94" s="3128" t="s">
        <v>2605</v>
      </c>
      <c r="M94" s="3129" t="s">
        <v>2606</v>
      </c>
      <c r="N94" s="748">
        <f>SUMPRODUCT((A95:A184=ROUNDDOWN(基准地价修正!G3,1))*(B94:M94=基准地价修正!G2)*(B95:M184))</f>
        <v>1.1947000000000001</v>
      </c>
      <c r="Q94" s="3139" t="s">
        <v>2804</v>
      </c>
      <c r="R94" s="3139" t="s">
        <v>2805</v>
      </c>
      <c r="S94" s="3139" t="s">
        <v>2806</v>
      </c>
      <c r="T94" s="3139" t="s">
        <v>2807</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2801</v>
      </c>
      <c r="B185" s="3124"/>
      <c r="C185" s="3124"/>
      <c r="D185" s="3124"/>
      <c r="E185" s="3124"/>
      <c r="F185" s="3124"/>
      <c r="G185" s="3124"/>
      <c r="H185" s="3124"/>
      <c r="I185" s="3124"/>
      <c r="J185" s="3124"/>
      <c r="K185" s="3124"/>
      <c r="L185" s="3124"/>
      <c r="M185" s="3124"/>
    </row>
    <row r="186" spans="1:20">
      <c r="A186" s="3125" t="s">
        <v>2799</v>
      </c>
      <c r="B186" s="3126" t="s">
        <v>2595</v>
      </c>
      <c r="C186" s="3126" t="s">
        <v>2596</v>
      </c>
      <c r="D186" s="3126" t="s">
        <v>2597</v>
      </c>
      <c r="E186" s="3126" t="s">
        <v>2598</v>
      </c>
      <c r="F186" s="3126" t="s">
        <v>2599</v>
      </c>
      <c r="G186" s="3126" t="s">
        <v>2600</v>
      </c>
      <c r="H186" s="3127" t="s">
        <v>2601</v>
      </c>
      <c r="I186" s="3127" t="s">
        <v>2602</v>
      </c>
      <c r="J186" s="3128" t="s">
        <v>2603</v>
      </c>
      <c r="K186" s="3128" t="s">
        <v>2604</v>
      </c>
      <c r="L186" s="3128" t="s">
        <v>2605</v>
      </c>
      <c r="M186" s="3129" t="s">
        <v>2606</v>
      </c>
      <c r="Q186" s="3139" t="s">
        <v>2804</v>
      </c>
      <c r="R186" s="3139" t="s">
        <v>2805</v>
      </c>
      <c r="S186" s="3139" t="s">
        <v>2806</v>
      </c>
      <c r="T186" s="3139" t="s">
        <v>2807</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2802</v>
      </c>
      <c r="B277" s="3124"/>
      <c r="C277" s="3124"/>
      <c r="D277" s="3124"/>
      <c r="E277" s="3124"/>
      <c r="F277" s="3124"/>
      <c r="G277" s="3124"/>
      <c r="H277" s="3124"/>
      <c r="I277" s="3124"/>
      <c r="J277" s="3124"/>
      <c r="K277" s="3124"/>
      <c r="L277" s="3124"/>
      <c r="M277" s="3124"/>
    </row>
    <row r="278" spans="1:21">
      <c r="A278" s="3125" t="s">
        <v>2799</v>
      </c>
      <c r="B278" s="3126" t="s">
        <v>2595</v>
      </c>
      <c r="C278" s="3126" t="s">
        <v>2596</v>
      </c>
      <c r="D278" s="3126" t="s">
        <v>2597</v>
      </c>
      <c r="E278" s="3126" t="s">
        <v>2598</v>
      </c>
      <c r="F278" s="3126" t="s">
        <v>2599</v>
      </c>
      <c r="G278" s="3126" t="s">
        <v>2600</v>
      </c>
      <c r="H278" s="3127" t="s">
        <v>2601</v>
      </c>
      <c r="I278" s="3127" t="s">
        <v>2602</v>
      </c>
      <c r="J278" s="3128" t="s">
        <v>2603</v>
      </c>
      <c r="K278" s="3128" t="s">
        <v>2604</v>
      </c>
      <c r="L278" s="3128" t="s">
        <v>2605</v>
      </c>
      <c r="M278" s="3129" t="s">
        <v>2606</v>
      </c>
      <c r="Q278" s="3139" t="s">
        <v>2804</v>
      </c>
      <c r="R278" s="3139" t="s">
        <v>2805</v>
      </c>
      <c r="S278" s="3139" t="s">
        <v>2808</v>
      </c>
      <c r="T278" s="3139" t="s">
        <v>2809</v>
      </c>
      <c r="U278" s="3139" t="s">
        <v>2807</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2803</v>
      </c>
      <c r="B369" s="3137"/>
      <c r="C369" s="3137"/>
      <c r="D369" s="3137"/>
      <c r="E369" s="3137"/>
      <c r="F369" s="3137"/>
      <c r="G369" s="3137"/>
      <c r="H369" s="3137"/>
      <c r="I369" s="3137"/>
      <c r="J369" s="3137"/>
      <c r="K369" s="3137"/>
      <c r="L369" s="3137"/>
      <c r="M369" s="3137"/>
    </row>
    <row r="370" spans="1:20">
      <c r="A370" s="3125" t="s">
        <v>2799</v>
      </c>
      <c r="B370" s="3126" t="s">
        <v>2595</v>
      </c>
      <c r="C370" s="3126" t="s">
        <v>2596</v>
      </c>
      <c r="D370" s="3126" t="s">
        <v>2597</v>
      </c>
      <c r="E370" s="3126" t="s">
        <v>2598</v>
      </c>
      <c r="F370" s="3126" t="s">
        <v>2599</v>
      </c>
      <c r="G370" s="3126" t="s">
        <v>2600</v>
      </c>
      <c r="H370" s="3127" t="s">
        <v>2601</v>
      </c>
      <c r="I370" s="3127" t="s">
        <v>2602</v>
      </c>
      <c r="J370" s="3128" t="s">
        <v>2603</v>
      </c>
      <c r="K370" s="3128" t="s">
        <v>2604</v>
      </c>
      <c r="L370" s="3128" t="s">
        <v>2605</v>
      </c>
      <c r="M370" s="3129" t="s">
        <v>2606</v>
      </c>
      <c r="N370" s="748">
        <f>SUMPRODUCT((A371:A460=ROUNDDOWN(基准地价修正!G3,1))*(B370:M370=基准地价修正!G2)*(B371:M460))</f>
        <v>1.1364000000000001</v>
      </c>
      <c r="Q370" s="3139" t="s">
        <v>2804</v>
      </c>
      <c r="R370" s="3139" t="s">
        <v>2805</v>
      </c>
      <c r="S370" s="3139" t="s">
        <v>2806</v>
      </c>
      <c r="T370" s="3139" t="s">
        <v>2807</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30818</v>
      </c>
      <c r="C2" s="2" t="s">
        <v>106</v>
      </c>
      <c r="D2" s="199"/>
      <c r="E2" s="199"/>
      <c r="F2" s="199"/>
      <c r="G2" s="199"/>
    </row>
    <row r="3" spans="1:7" s="200" customFormat="1" ht="18" customHeight="1" thickBot="1">
      <c r="A3" s="203" t="s">
        <v>58</v>
      </c>
      <c r="B3" s="204">
        <f ca="1">ROUND(B2*10000/'数据-汇总表'!E3,0)</f>
        <v>2419945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127.35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127.35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2024</v>
      </c>
      <c r="D22" s="235">
        <f ca="1">C26</f>
        <v>1E-3</v>
      </c>
      <c r="E22" s="236" t="s">
        <v>99</v>
      </c>
      <c r="F22" s="237">
        <f ca="1">'数据-取费表'!B40</f>
        <v>4.7500000000000001E-2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2004</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20</v>
      </c>
      <c r="D25" s="238"/>
      <c r="E25" s="241"/>
      <c r="F25" s="239"/>
      <c r="G25" s="242" t="s">
        <v>83</v>
      </c>
    </row>
    <row r="26" spans="1:7" s="214" customFormat="1">
      <c r="A26" s="778" t="s">
        <v>350</v>
      </c>
      <c r="B26" s="215" t="s">
        <v>422</v>
      </c>
      <c r="C26" s="238">
        <f ca="1">ROUND(IF('数据-取费表'!B22&lt;=1,F21*F22*'数据-取费表'!B23/2,F21*(POWER((1+F22),'数据-取费表'!B23/2)-1)),4)</f>
        <v>1E-3</v>
      </c>
      <c r="D26" s="238"/>
      <c r="E26" s="241"/>
      <c r="F26" s="239"/>
      <c r="G26" s="243"/>
    </row>
    <row r="27" spans="1:7" s="214" customFormat="1" ht="26.4">
      <c r="A27" s="775" t="s">
        <v>342</v>
      </c>
      <c r="B27" s="244" t="s">
        <v>85</v>
      </c>
      <c r="C27" s="245">
        <f>C28</f>
        <v>5256</v>
      </c>
      <c r="D27" s="235">
        <f>C29</f>
        <v>5.0000000000000001E-3</v>
      </c>
      <c r="E27" s="236" t="s">
        <v>99</v>
      </c>
      <c r="F27" s="246">
        <f>'数据-取费表'!Q16</f>
        <v>0.25</v>
      </c>
      <c r="G27" s="247" t="s">
        <v>431</v>
      </c>
    </row>
    <row r="28" spans="1:7" s="214" customFormat="1" ht="13.5" customHeight="1">
      <c r="A28" s="778" t="s">
        <v>349</v>
      </c>
      <c r="B28" s="248" t="s">
        <v>424</v>
      </c>
      <c r="C28" s="249">
        <f>ROUND((C5+C19+C20)*F27*'数据-取费表'!B21/'数据-取费表'!B20,0)</f>
        <v>5256</v>
      </c>
      <c r="D28" s="235"/>
      <c r="E28" s="236"/>
      <c r="F28" s="246"/>
      <c r="G28" s="247"/>
    </row>
    <row r="29" spans="1:7" s="214" customFormat="1" ht="13.5" customHeight="1">
      <c r="A29" s="778" t="s">
        <v>347</v>
      </c>
      <c r="B29" s="248" t="s">
        <v>425</v>
      </c>
      <c r="C29" s="238">
        <f>ROUND(C21*F27*'数据-取费表'!B21/'数据-取费表'!B20,4)</f>
        <v>5.0000000000000001E-3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61</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127.35</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1E-3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60" t="s">
        <v>94</v>
      </c>
    </row>
    <row r="43" spans="1:7" ht="13.5" customHeight="1">
      <c r="A43" s="778" t="s">
        <v>347</v>
      </c>
      <c r="B43" s="215" t="s">
        <v>426</v>
      </c>
      <c r="C43" s="238">
        <f ca="1">ROUND(IF('数据-取费表'!B22&lt;=1,C39*F22*'数据-取费表'!B21/2,C39*(POWER((1+F22),'数据-取费表'!B21/2)-1)),0)</f>
        <v>0</v>
      </c>
      <c r="D43" s="238"/>
      <c r="E43" s="238"/>
      <c r="F43" s="239"/>
      <c r="G43" s="3661"/>
    </row>
    <row r="44" spans="1:7" ht="13.5" customHeight="1">
      <c r="A44" s="778" t="s">
        <v>348</v>
      </c>
      <c r="B44" s="215" t="s">
        <v>428</v>
      </c>
      <c r="C44" s="238">
        <f ca="1">ROUND(IF('数据-取费表'!B22&lt;=1,C40*F22*'数据-取费表'!B21/2,C40*(POWER((1+F22),'数据-取费表'!B21/2)-1)),4)</f>
        <v>1E-3</v>
      </c>
      <c r="D44" s="238"/>
      <c r="E44" s="238"/>
      <c r="F44" s="239"/>
      <c r="G44" s="3662"/>
    </row>
    <row r="45" spans="1:7" s="214" customFormat="1" ht="13.5" customHeight="1">
      <c r="A45" s="775" t="s">
        <v>341</v>
      </c>
      <c r="B45" s="244" t="s">
        <v>85</v>
      </c>
      <c r="C45" s="245">
        <f>C46</f>
        <v>17</v>
      </c>
      <c r="D45" s="235">
        <f>C47</f>
        <v>5.0000000000000001E-3</v>
      </c>
      <c r="E45" s="236" t="s">
        <v>102</v>
      </c>
      <c r="F45" s="246"/>
      <c r="G45" s="247" t="s">
        <v>434</v>
      </c>
    </row>
    <row r="46" spans="1:7" s="214" customFormat="1" ht="13.5" customHeight="1">
      <c r="A46" s="778" t="s">
        <v>349</v>
      </c>
      <c r="B46" s="248" t="s">
        <v>427</v>
      </c>
      <c r="C46" s="249">
        <f>ROUND((C33+C39)*F27,0)</f>
        <v>17</v>
      </c>
      <c r="D46" s="263"/>
      <c r="E46" s="236"/>
      <c r="F46" s="246"/>
      <c r="G46" s="247"/>
    </row>
    <row r="47" spans="1:7" s="214" customFormat="1" ht="13.5" customHeight="1">
      <c r="A47" s="778" t="s">
        <v>347</v>
      </c>
      <c r="B47" s="248" t="s">
        <v>429</v>
      </c>
      <c r="C47" s="238">
        <f>ROUND(C40*F27,4)</f>
        <v>5.0000000000000001E-3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96</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74</v>
      </c>
      <c r="D51" s="232"/>
      <c r="E51" s="232"/>
      <c r="F51" s="264"/>
      <c r="G51" s="234" t="s">
        <v>37</v>
      </c>
    </row>
    <row r="52" spans="1:7" s="208" customFormat="1" ht="16.8" thickBot="1">
      <c r="A52" s="265" t="s">
        <v>38</v>
      </c>
      <c r="B52" s="266"/>
      <c r="C52" s="267">
        <f ca="1">C31+C51</f>
        <v>30818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40" zoomScale="80" zoomScaleNormal="80" workbookViewId="0">
      <selection activeCell="A125" sqref="A125:G126"/>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00" t="s">
        <v>2839</v>
      </c>
      <c r="B1" s="3800"/>
      <c r="C1" s="3800"/>
      <c r="D1" s="3800"/>
      <c r="E1" s="3800"/>
      <c r="F1" s="3800"/>
      <c r="G1" s="3801"/>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1.4"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798" t="s">
        <v>2866</v>
      </c>
      <c r="B3" s="3227"/>
      <c r="C3" s="3228" t="s">
        <v>2811</v>
      </c>
      <c r="D3" s="3228" t="s">
        <v>2867</v>
      </c>
      <c r="E3" s="3228" t="s">
        <v>2813</v>
      </c>
      <c r="F3" s="3228" t="s">
        <v>2868</v>
      </c>
      <c r="G3" s="3228" t="s">
        <v>2631</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1.4" thickBot="1">
      <c r="A4" s="3799"/>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1.4"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1.4"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1.4"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1.4"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00" workbookViewId="0">
      <selection activeCell="A121" sqref="A121:G12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02" t="s">
        <v>3181</v>
      </c>
      <c r="B1" s="3802"/>
    </row>
    <row r="2" spans="1:7" ht="15" thickBot="1">
      <c r="A2" s="3252"/>
      <c r="B2" s="3252"/>
    </row>
    <row r="3" spans="1:7" ht="15" thickBot="1">
      <c r="A3" s="3252"/>
      <c r="B3" s="3252"/>
      <c r="C3" s="3253" t="s">
        <v>2811</v>
      </c>
      <c r="D3" s="3253" t="s">
        <v>2867</v>
      </c>
      <c r="E3" s="3253" t="s">
        <v>2813</v>
      </c>
      <c r="F3" s="3253" t="s">
        <v>2868</v>
      </c>
      <c r="G3" s="3253" t="s">
        <v>2631</v>
      </c>
    </row>
    <row r="4" spans="1:7" ht="1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03" t="s">
        <v>3232</v>
      </c>
      <c r="B1" s="3803"/>
      <c r="C1" s="3803"/>
      <c r="D1" s="3803"/>
      <c r="E1" s="3803"/>
      <c r="F1" s="3804"/>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1" sqref="E1:E1048576"/>
    </sheetView>
  </sheetViews>
  <sheetFormatPr defaultRowHeight="14.4"/>
  <cols>
    <col min="1" max="1" width="13.88671875" customWidth="1"/>
    <col min="5" max="5" width="8.88671875" style="3450"/>
    <col min="11" max="17" width="0" hidden="1" customWidth="1"/>
    <col min="25" max="30" width="0" hidden="1" customWidth="1"/>
  </cols>
  <sheetData>
    <row r="1" spans="1:30">
      <c r="A1" s="3218">
        <f>基准地价修正!G23</f>
        <v>45491</v>
      </c>
      <c r="B1" s="3207" t="s">
        <v>3370</v>
      </c>
      <c r="C1" s="3208"/>
      <c r="D1" s="3208"/>
      <c r="E1" s="3468"/>
      <c r="F1" s="3208"/>
      <c r="G1" s="3208"/>
      <c r="H1" s="3208"/>
      <c r="I1" s="3208"/>
      <c r="J1" s="3162"/>
      <c r="K1" s="3208" t="s">
        <v>454</v>
      </c>
      <c r="L1" s="3208"/>
      <c r="M1" s="3208"/>
      <c r="N1" s="3208"/>
      <c r="O1" s="3208"/>
      <c r="P1" s="3208"/>
      <c r="Q1" s="3162"/>
      <c r="R1" s="3805" t="s">
        <v>456</v>
      </c>
      <c r="S1" s="3806"/>
      <c r="T1" s="3806"/>
      <c r="U1" s="3806"/>
      <c r="V1" s="3806"/>
      <c r="W1" s="3806"/>
      <c r="X1" s="3162"/>
      <c r="Y1" s="3805" t="s">
        <v>457</v>
      </c>
      <c r="Z1" s="3806"/>
      <c r="AA1" s="3806"/>
      <c r="AB1" s="3806"/>
      <c r="AC1" s="3806"/>
      <c r="AD1" s="3806"/>
    </row>
    <row r="2" spans="1:30" s="3140" customFormat="1" ht="15" thickBot="1">
      <c r="B2" s="3141"/>
      <c r="C2" s="3142"/>
      <c r="D2" s="3143" t="s">
        <v>2810</v>
      </c>
      <c r="E2" s="3469" t="s">
        <v>2811</v>
      </c>
      <c r="F2" s="3144" t="s">
        <v>2812</v>
      </c>
      <c r="G2" s="3144" t="s">
        <v>2813</v>
      </c>
      <c r="H2" s="3144" t="s">
        <v>2814</v>
      </c>
      <c r="I2" s="3144" t="s">
        <v>2631</v>
      </c>
      <c r="J2" s="3145"/>
      <c r="K2" s="3143" t="s">
        <v>2810</v>
      </c>
      <c r="L2" s="3144" t="s">
        <v>2811</v>
      </c>
      <c r="M2" s="3144" t="s">
        <v>2812</v>
      </c>
      <c r="N2" s="3144" t="s">
        <v>2813</v>
      </c>
      <c r="O2" s="3144" t="s">
        <v>2815</v>
      </c>
      <c r="P2" s="3144" t="s">
        <v>2631</v>
      </c>
      <c r="Q2" s="3145"/>
      <c r="R2" s="3143" t="s">
        <v>2810</v>
      </c>
      <c r="S2" s="3144" t="s">
        <v>2811</v>
      </c>
      <c r="T2" s="3144" t="s">
        <v>2812</v>
      </c>
      <c r="U2" s="3144" t="s">
        <v>2816</v>
      </c>
      <c r="V2" s="3144" t="s">
        <v>2817</v>
      </c>
      <c r="W2" s="3144" t="s">
        <v>2631</v>
      </c>
      <c r="X2" s="3145"/>
      <c r="Y2" s="3143" t="s">
        <v>2810</v>
      </c>
      <c r="Z2" s="3144" t="s">
        <v>2811</v>
      </c>
      <c r="AA2" s="3144" t="s">
        <v>2812</v>
      </c>
      <c r="AB2" s="3144" t="s">
        <v>2818</v>
      </c>
      <c r="AC2" s="3144" t="s">
        <v>2817</v>
      </c>
      <c r="AD2" s="3144" t="s">
        <v>2631</v>
      </c>
    </row>
    <row r="3" spans="1:30" s="3158" customFormat="1" ht="13.2">
      <c r="A3" s="3146" t="s">
        <v>2819</v>
      </c>
      <c r="B3" s="3147"/>
      <c r="C3" s="3148"/>
      <c r="D3" s="3148">
        <f>ROUND(AVERAGEIF(D4:D19,"&lt;&gt;0"),2)</f>
        <v>0.59</v>
      </c>
      <c r="E3" s="3470">
        <f t="shared" ref="E3:H3" si="0">ROUND(AVERAGEIF(E4:E19,"&lt;&gt;0"),2)</f>
        <v>0.36</v>
      </c>
      <c r="F3" s="3148">
        <f t="shared" si="0"/>
        <v>0.06</v>
      </c>
      <c r="G3" s="3148">
        <f t="shared" si="0"/>
        <v>0.6</v>
      </c>
      <c r="H3" s="3148">
        <f t="shared" si="0"/>
        <v>0.6</v>
      </c>
      <c r="I3" s="3148">
        <f>F3</f>
        <v>0.06</v>
      </c>
      <c r="J3" s="3149"/>
      <c r="K3" s="3150">
        <f>ROUND(AVERAGEIF(K4:K19,"&lt;&gt;0"),4)</f>
        <v>5.8999999999999999E-3</v>
      </c>
      <c r="L3" s="3151">
        <f t="shared" ref="L3:O3" si="1">ROUND(AVERAGEIF(L4:L19,"&lt;&gt;0"),4)</f>
        <v>3.5999999999999999E-3</v>
      </c>
      <c r="M3" s="3151">
        <f t="shared" si="1"/>
        <v>5.9999999999999995E-4</v>
      </c>
      <c r="N3" s="3151">
        <f t="shared" si="1"/>
        <v>6.0000000000000001E-3</v>
      </c>
      <c r="O3" s="3151">
        <f t="shared" si="1"/>
        <v>6.0000000000000001E-3</v>
      </c>
      <c r="P3" s="3151">
        <f>M3</f>
        <v>5.9999999999999995E-4</v>
      </c>
      <c r="Q3" s="3149"/>
      <c r="R3" s="3152">
        <f>ROUND(SUMPRODUCT(PRODUCT(1+K4:K19)),4)</f>
        <v>1.0852999999999999</v>
      </c>
      <c r="S3" s="3153">
        <f t="shared" ref="S3:V3" si="2">ROUND(SUMPRODUCT(PRODUCT(1+L4:L19)),4)</f>
        <v>1.0513999999999999</v>
      </c>
      <c r="T3" s="3153">
        <f t="shared" si="2"/>
        <v>1.0083</v>
      </c>
      <c r="U3" s="3153">
        <f t="shared" si="2"/>
        <v>1.0871999999999999</v>
      </c>
      <c r="V3" s="3153">
        <f t="shared" si="2"/>
        <v>1.0880000000000001</v>
      </c>
      <c r="W3" s="3152">
        <f>T3</f>
        <v>1.0083</v>
      </c>
      <c r="X3" s="3149"/>
      <c r="Y3" s="3154">
        <f>ROUND(AVERAGEIF(Y6:Y19,"&lt;&gt;0"),4)</f>
        <v>8.3999999999999995E-3</v>
      </c>
      <c r="Z3" s="3155">
        <f t="shared" ref="Z3:AC3" si="3">ROUND(AVERAGEIF(Z6:Z19,"&lt;&gt;0"),4)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47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3376</v>
      </c>
      <c r="B5" s="3174">
        <v>2024</v>
      </c>
      <c r="C5" s="3175">
        <v>3</v>
      </c>
      <c r="D5" s="3176">
        <v>0</v>
      </c>
      <c r="E5" s="3472">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ROUND(IF(项目基本情况!$B$8="出让",SUMPRODUCT(PRODUCT(1+K5:$K$19)),SUMPRODUCT(PRODUCT(1+K5:$K$18))),4)</f>
        <v>1.0748</v>
      </c>
      <c r="S5" s="3180">
        <f>ROUND(IF(项目基本情况!$B$8="出让",SUMPRODUCT(PRODUCT(1+L5:$L$19)),SUMPRODUCT(PRODUCT(1+L5:$L$18))),4)</f>
        <v>1.0498000000000001</v>
      </c>
      <c r="T5" s="3180">
        <f>ROUND(IF(项目基本情况!$B$8="出让",SUMPRODUCT(PRODUCT(1+M5:$M$19)),SUMPRODUCT(PRODUCT(1+M5:$M$18))),4)</f>
        <v>1.0107999999999999</v>
      </c>
      <c r="U5" s="3180">
        <f>ROUND(IF(项目基本情况!$B$8="出让",SUMPRODUCT(PRODUCT(1+N5:$N$19)),SUMPRODUCT(PRODUCT(1+N5:$N$18))),4)</f>
        <v>1.0752999999999999</v>
      </c>
      <c r="V5" s="3180">
        <f>ROUND(IF(项目基本情况!$B$8="出让",SUMPRODUCT(PRODUCT(1+O5:$O$19)),SUMPRODUCT(PRODUCT(1+O5:$O$18))),4)</f>
        <v>1.0841000000000001</v>
      </c>
      <c r="W5" s="3180">
        <f>T5</f>
        <v>1.0107999999999999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3377</v>
      </c>
      <c r="B6" s="3184">
        <v>2024</v>
      </c>
      <c r="C6" s="3185">
        <v>2</v>
      </c>
      <c r="D6" s="3186">
        <v>-0.59</v>
      </c>
      <c r="E6" s="3473">
        <v>-0.21</v>
      </c>
      <c r="F6" s="3186">
        <v>-1.38</v>
      </c>
      <c r="G6" s="3186">
        <v>-1.24</v>
      </c>
      <c r="H6" s="3187">
        <v>0.34</v>
      </c>
      <c r="I6" s="3188">
        <f t="shared" ref="I6:I19" si="15">F6</f>
        <v>-1.38</v>
      </c>
      <c r="J6" s="3189"/>
      <c r="K6" s="3190">
        <f t="shared" ref="K6:O19" si="16">D6/100</f>
        <v>-5.8999999999999999E-3</v>
      </c>
      <c r="L6" s="3191">
        <f t="shared" si="16"/>
        <v>-2.0999999999999999E-3</v>
      </c>
      <c r="M6" s="3191">
        <f t="shared" si="16"/>
        <v>-1.38E-2</v>
      </c>
      <c r="N6" s="3191">
        <f t="shared" si="16"/>
        <v>-1.24E-2</v>
      </c>
      <c r="O6" s="3191">
        <f t="shared" si="16"/>
        <v>3.4000000000000002E-3</v>
      </c>
      <c r="P6" s="3191">
        <f>M6</f>
        <v>-1.38E-2</v>
      </c>
      <c r="Q6" s="3189"/>
      <c r="R6" s="3189">
        <f>ROUND(IF(项目基本情况!$B$8="出让",SUMPRODUCT(PRODUCT(1+K6:$K$19)),SUMPRODUCT(PRODUCT(1+K6:$K$18))),4)</f>
        <v>1.0748</v>
      </c>
      <c r="S6" s="3189">
        <f>ROUND(IF(项目基本情况!$B$8="出让",SUMPRODUCT(PRODUCT(1+L6:$L$19)),SUMPRODUCT(PRODUCT(1+L6:$L$18))),4)</f>
        <v>1.0498000000000001</v>
      </c>
      <c r="T6" s="3189">
        <f>ROUND(IF(项目基本情况!$B$8="出让",SUMPRODUCT(PRODUCT(1+M6:$M$19)),SUMPRODUCT(PRODUCT(1+M6:$M$18))),4)</f>
        <v>1.0107999999999999</v>
      </c>
      <c r="U6" s="3189">
        <f>ROUND(IF(项目基本情况!$B$8="出让",SUMPRODUCT(PRODUCT(1+N6:$N$19)),SUMPRODUCT(PRODUCT(1+N6:$N$18))),4)</f>
        <v>1.0752999999999999</v>
      </c>
      <c r="V6" s="3189">
        <f>ROUND(IF(项目基本情况!$B$8="出让",SUMPRODUCT(PRODUCT(1+O6:$O$19)),SUMPRODUCT(PRODUCT(1+O6:$O$18))),4)</f>
        <v>1.0841000000000001</v>
      </c>
      <c r="W6" s="3189">
        <f>T6</f>
        <v>1.0107999999999999</v>
      </c>
      <c r="X6" s="3189"/>
      <c r="Y6" s="3191">
        <f>IF(D6=0,0,ROUND(AVERAGE(D6:D19)/100,4))</f>
        <v>5.8999999999999999E-3</v>
      </c>
      <c r="Z6" s="3191">
        <f t="shared" ref="Z6:AC6" si="17">IF(E6=0,0,ROUND(AVERAGE(E6:E19)/100,4))</f>
        <v>3.5999999999999999E-3</v>
      </c>
      <c r="AA6" s="3191">
        <f t="shared" si="17"/>
        <v>5.9999999999999995E-4</v>
      </c>
      <c r="AB6" s="3191">
        <f t="shared" si="17"/>
        <v>6.0000000000000001E-3</v>
      </c>
      <c r="AC6" s="3191">
        <f t="shared" si="17"/>
        <v>6.0000000000000001E-3</v>
      </c>
      <c r="AD6" s="3191">
        <f t="shared" ref="AD6:AD18" si="18">AA6</f>
        <v>5.9999999999999995E-4</v>
      </c>
    </row>
    <row r="7" spans="1:30" s="3182" customFormat="1" ht="13.2">
      <c r="A7" s="3173" t="s">
        <v>3379</v>
      </c>
      <c r="B7" s="3174">
        <v>2024</v>
      </c>
      <c r="C7" s="3175">
        <v>1</v>
      </c>
      <c r="D7" s="3176">
        <v>0.08</v>
      </c>
      <c r="E7" s="3472">
        <v>0.46</v>
      </c>
      <c r="F7" s="3176">
        <v>-0.16</v>
      </c>
      <c r="G7" s="3176">
        <v>0.26</v>
      </c>
      <c r="H7" s="3193">
        <v>0.59</v>
      </c>
      <c r="I7" s="3177">
        <v>0</v>
      </c>
      <c r="J7" s="3178"/>
      <c r="K7" s="3179">
        <f t="shared" ref="K7" si="19">D7/100</f>
        <v>8.0000000000000004E-4</v>
      </c>
      <c r="L7" s="3169">
        <f t="shared" ref="L7" si="20">E7/100</f>
        <v>4.5999999999999999E-3</v>
      </c>
      <c r="M7" s="3169">
        <f t="shared" ref="M7" si="21">F7/100</f>
        <v>-1.6000000000000001E-3</v>
      </c>
      <c r="N7" s="3169">
        <f t="shared" ref="N7" si="22">G7/100</f>
        <v>2.5999999999999999E-3</v>
      </c>
      <c r="O7" s="3169">
        <f t="shared" ref="O7" si="23">H7/100</f>
        <v>5.8999999999999999E-3</v>
      </c>
      <c r="P7" s="3169">
        <f t="shared" ref="P7" si="24">M7</f>
        <v>-1.6000000000000001E-3</v>
      </c>
      <c r="Q7" s="3178"/>
      <c r="R7" s="3180">
        <f>ROUND(IF(项目基本情况!$B$8="出让",SUMPRODUCT(PRODUCT(1+K7:$K$19)),SUMPRODUCT(PRODUCT(1+K7:$K$18))),4)</f>
        <v>1.0811999999999999</v>
      </c>
      <c r="S7" s="3180">
        <f>ROUND(IF(项目基本情况!$B$8="出让",SUMPRODUCT(PRODUCT(1+L7:$L$19)),SUMPRODUCT(PRODUCT(1+L7:$L$18))),4)</f>
        <v>1.052</v>
      </c>
      <c r="T7" s="3180">
        <f>ROUND(IF(项目基本情况!$B$8="出让",SUMPRODUCT(PRODUCT(1+M7:$M$19)),SUMPRODUCT(PRODUCT(1+M7:$M$18))),4)</f>
        <v>1.0249999999999999</v>
      </c>
      <c r="U7" s="3180">
        <f>ROUND(IF(项目基本情况!$B$8="出让",SUMPRODUCT(PRODUCT(1+N7:$N$19)),SUMPRODUCT(PRODUCT(1+N7:$N$18))),4)</f>
        <v>1.0888</v>
      </c>
      <c r="V7" s="3180">
        <f>ROUND(IF(项目基本情况!$B$8="出让",SUMPRODUCT(PRODUCT(1+O7:$O$19)),SUMPRODUCT(PRODUCT(1+O7:$O$18))),4)</f>
        <v>1.0804</v>
      </c>
      <c r="W7" s="3180">
        <f t="shared" ref="W7" si="25">T7</f>
        <v>1.0249999999999999</v>
      </c>
      <c r="X7" s="3178"/>
      <c r="Y7" s="3181"/>
      <c r="Z7" s="3181"/>
      <c r="AA7" s="3181"/>
      <c r="AB7" s="3181"/>
      <c r="AC7" s="3181"/>
      <c r="AD7" s="3181"/>
    </row>
    <row r="8" spans="1:30" s="3182" customFormat="1" ht="13.2">
      <c r="A8" s="3173" t="s">
        <v>3374</v>
      </c>
      <c r="B8" s="3174">
        <v>2023</v>
      </c>
      <c r="C8" s="3175">
        <v>4</v>
      </c>
      <c r="D8" s="3176">
        <v>0.19</v>
      </c>
      <c r="E8" s="3472">
        <v>0.24</v>
      </c>
      <c r="F8" s="3176">
        <v>-0.16</v>
      </c>
      <c r="G8" s="3176">
        <v>0.17</v>
      </c>
      <c r="H8" s="3193">
        <v>0.61</v>
      </c>
      <c r="I8" s="3177">
        <f>F8</f>
        <v>-0.16</v>
      </c>
      <c r="J8" s="3178"/>
      <c r="K8" s="3179">
        <f t="shared" si="16"/>
        <v>1.9E-3</v>
      </c>
      <c r="L8" s="3169">
        <f t="shared" si="16"/>
        <v>2.3999999999999998E-3</v>
      </c>
      <c r="M8" s="3169">
        <f t="shared" si="16"/>
        <v>-1.6000000000000001E-3</v>
      </c>
      <c r="N8" s="3169">
        <f t="shared" si="16"/>
        <v>1.7000000000000001E-3</v>
      </c>
      <c r="O8" s="3169">
        <f t="shared" si="16"/>
        <v>6.0999999999999995E-3</v>
      </c>
      <c r="P8" s="3169">
        <f t="shared" ref="P8" si="26">M8</f>
        <v>-1.6000000000000001E-3</v>
      </c>
      <c r="Q8" s="3178"/>
      <c r="R8" s="3180">
        <f>ROUND(IF(项目基本情况!$B$8="出让",SUMPRODUCT(PRODUCT(1+K8:$K$19)),SUMPRODUCT(PRODUCT(1+K8:$K$18))),4)</f>
        <v>1.0804</v>
      </c>
      <c r="S8" s="3180">
        <f>ROUND(IF(项目基本情况!$B$8="出让",SUMPRODUCT(PRODUCT(1+L8:$L$19)),SUMPRODUCT(PRODUCT(1+L8:$L$18))),4)</f>
        <v>1.0471999999999999</v>
      </c>
      <c r="T8" s="3180">
        <f>ROUND(IF(项目基本情况!$B$8="出让",SUMPRODUCT(PRODUCT(1+M8:$M$19)),SUMPRODUCT(PRODUCT(1+M8:$M$18))),4)</f>
        <v>1.0266</v>
      </c>
      <c r="U8" s="3180">
        <f>ROUND(IF(项目基本情况!$B$8="出让",SUMPRODUCT(PRODUCT(1+N8:$N$19)),SUMPRODUCT(PRODUCT(1+N8:$N$18))),4)</f>
        <v>1.0859000000000001</v>
      </c>
      <c r="V8" s="3180">
        <f>ROUND(IF(项目基本情况!$B$8="出让",SUMPRODUCT(PRODUCT(1+O8:$O$19)),SUMPRODUCT(PRODUCT(1+O8:$O$18))),4)</f>
        <v>1.0741000000000001</v>
      </c>
      <c r="W8" s="3180">
        <f t="shared" ref="W8" si="27">T8</f>
        <v>1.0266</v>
      </c>
      <c r="X8" s="3178"/>
      <c r="Y8" s="3181"/>
      <c r="Z8" s="3181"/>
      <c r="AA8" s="3181"/>
      <c r="AB8" s="3181"/>
      <c r="AC8" s="3181"/>
      <c r="AD8" s="3181"/>
    </row>
    <row r="9" spans="1:30" s="3182" customFormat="1" ht="13.2">
      <c r="A9" s="3173" t="s">
        <v>3373</v>
      </c>
      <c r="B9" s="3174">
        <v>2023</v>
      </c>
      <c r="C9" s="3175">
        <v>3</v>
      </c>
      <c r="D9" s="3176">
        <v>0.25</v>
      </c>
      <c r="E9" s="3472">
        <v>0.5</v>
      </c>
      <c r="F9" s="3176">
        <v>0.31</v>
      </c>
      <c r="G9" s="3176">
        <v>0.21</v>
      </c>
      <c r="H9" s="3193">
        <v>0.43</v>
      </c>
      <c r="I9" s="3177">
        <f t="shared" si="15"/>
        <v>0.31</v>
      </c>
      <c r="J9" s="3178"/>
      <c r="K9" s="3179">
        <f t="shared" ref="K9:K11" si="28">D9/100</f>
        <v>2.5000000000000001E-3</v>
      </c>
      <c r="L9" s="3169">
        <f t="shared" ref="L9:L11" si="29">E9/100</f>
        <v>5.0000000000000001E-3</v>
      </c>
      <c r="M9" s="3169">
        <f t="shared" ref="M9:M11" si="30">F9/100</f>
        <v>3.0999999999999999E-3</v>
      </c>
      <c r="N9" s="3169">
        <f t="shared" ref="N9:N11" si="31">G9/100</f>
        <v>2.0999999999999999E-3</v>
      </c>
      <c r="O9" s="3169">
        <f t="shared" ref="O9:O11" si="32">H9/100</f>
        <v>4.3E-3</v>
      </c>
      <c r="P9" s="3169">
        <f t="shared" ref="P9:P11" si="33">M9</f>
        <v>3.0999999999999999E-3</v>
      </c>
      <c r="Q9" s="3178"/>
      <c r="R9" s="3180">
        <f>ROUND(IF(项目基本情况!$B$8="出让",SUMPRODUCT(PRODUCT(1+K9:$K$19)),SUMPRODUCT(PRODUCT(1+K9:$K$18))),4)</f>
        <v>1.0783</v>
      </c>
      <c r="S9" s="3180">
        <f>ROUND(IF(项目基本情况!$B$8="出让",SUMPRODUCT(PRODUCT(1+L9:$L$19)),SUMPRODUCT(PRODUCT(1+L9:$L$18))),4)</f>
        <v>1.0447</v>
      </c>
      <c r="T9" s="3180">
        <f>ROUND(IF(项目基本情况!$B$8="出让",SUMPRODUCT(PRODUCT(1+M9:$M$19)),SUMPRODUCT(PRODUCT(1+M9:$M$18))),4)</f>
        <v>1.0282</v>
      </c>
      <c r="U9" s="3180">
        <f>ROUND(IF(项目基本情况!$B$8="出让",SUMPRODUCT(PRODUCT(1+N9:$N$19)),SUMPRODUCT(PRODUCT(1+N9:$N$18))),4)</f>
        <v>1.0841000000000001</v>
      </c>
      <c r="V9" s="3180">
        <f>ROUND(IF(项目基本情况!$B$8="出让",SUMPRODUCT(PRODUCT(1+O9:$O$19)),SUMPRODUCT(PRODUCT(1+O9:$O$18))),4)</f>
        <v>1.0674999999999999</v>
      </c>
      <c r="W9" s="3180">
        <f t="shared" ref="W9:W10" si="34">T9</f>
        <v>1.0282</v>
      </c>
      <c r="X9" s="3178"/>
      <c r="Y9" s="3181"/>
      <c r="Z9" s="3181"/>
      <c r="AA9" s="3181"/>
      <c r="AB9" s="3181"/>
      <c r="AC9" s="3181"/>
      <c r="AD9" s="3181"/>
    </row>
    <row r="10" spans="1:30" s="3182" customFormat="1" ht="13.2">
      <c r="A10" s="3173" t="s">
        <v>3369</v>
      </c>
      <c r="B10" s="3174">
        <v>2023</v>
      </c>
      <c r="C10" s="3175">
        <v>2</v>
      </c>
      <c r="D10" s="3176">
        <v>0.91</v>
      </c>
      <c r="E10" s="3472">
        <v>0.66</v>
      </c>
      <c r="F10" s="3176">
        <v>0.47</v>
      </c>
      <c r="G10" s="3176">
        <v>0.96</v>
      </c>
      <c r="H10" s="3193">
        <v>0.71</v>
      </c>
      <c r="I10" s="3177">
        <f t="shared" si="15"/>
        <v>0.47</v>
      </c>
      <c r="J10" s="3178"/>
      <c r="K10" s="3179">
        <f t="shared" si="28"/>
        <v>9.1000000000000004E-3</v>
      </c>
      <c r="L10" s="3169">
        <f t="shared" si="29"/>
        <v>6.6E-3</v>
      </c>
      <c r="M10" s="3169">
        <f t="shared" si="30"/>
        <v>4.6999999999999993E-3</v>
      </c>
      <c r="N10" s="3169">
        <f t="shared" si="31"/>
        <v>9.5999999999999992E-3</v>
      </c>
      <c r="O10" s="3169">
        <f t="shared" si="32"/>
        <v>7.0999999999999995E-3</v>
      </c>
      <c r="P10" s="3169">
        <f t="shared" si="33"/>
        <v>4.6999999999999993E-3</v>
      </c>
      <c r="Q10" s="3178"/>
      <c r="R10" s="3180">
        <f>ROUND(IF(项目基本情况!$B$8="出让",SUMPRODUCT(PRODUCT(1+K10:$K$19)),SUMPRODUCT(PRODUCT(1+K10:$K$18))),4)</f>
        <v>1.0755999999999999</v>
      </c>
      <c r="S10" s="3180">
        <f>ROUND(IF(项目基本情况!$B$8="出让",SUMPRODUCT(PRODUCT(1+L10:$L$19)),SUMPRODUCT(PRODUCT(1+L10:$L$18))),4)</f>
        <v>1.0395000000000001</v>
      </c>
      <c r="T10" s="3180">
        <f>ROUND(IF(项目基本情况!$B$8="出让",SUMPRODUCT(PRODUCT(1+M10:$M$19)),SUMPRODUCT(PRODUCT(1+M10:$M$18))),4)</f>
        <v>1.0250999999999999</v>
      </c>
      <c r="U10" s="3180">
        <f>ROUND(IF(项目基本情况!$B$8="出让",SUMPRODUCT(PRODUCT(1+N10:$N$19)),SUMPRODUCT(PRODUCT(1+N10:$N$18))),4)</f>
        <v>1.0818000000000001</v>
      </c>
      <c r="V10" s="3180">
        <f>ROUND(IF(项目基本情况!$B$8="出让",SUMPRODUCT(PRODUCT(1+O10:$O$19)),SUMPRODUCT(PRODUCT(1+O10:$O$18))),4)</f>
        <v>1.0629999999999999</v>
      </c>
      <c r="W10" s="3180">
        <f t="shared" si="34"/>
        <v>1.0250999999999999</v>
      </c>
      <c r="X10" s="3178"/>
      <c r="Y10" s="3181"/>
      <c r="Z10" s="3181"/>
      <c r="AA10" s="3181"/>
      <c r="AB10" s="3181"/>
      <c r="AC10" s="3181"/>
      <c r="AD10" s="3181"/>
    </row>
    <row r="11" spans="1:30" s="3182" customFormat="1" ht="13.2">
      <c r="A11" s="3173" t="s">
        <v>3368</v>
      </c>
      <c r="B11" s="3174">
        <v>2023</v>
      </c>
      <c r="C11" s="3175">
        <v>1</v>
      </c>
      <c r="D11" s="3176">
        <v>0.89</v>
      </c>
      <c r="E11" s="3472">
        <v>0.74</v>
      </c>
      <c r="F11" s="3176">
        <v>0.56999999999999995</v>
      </c>
      <c r="G11" s="3176">
        <v>0.92</v>
      </c>
      <c r="H11" s="3193">
        <v>0.5</v>
      </c>
      <c r="I11" s="3177">
        <f t="shared" si="15"/>
        <v>0.56999999999999995</v>
      </c>
      <c r="J11" s="3178"/>
      <c r="K11" s="3179">
        <f t="shared" si="28"/>
        <v>8.8999999999999999E-3</v>
      </c>
      <c r="L11" s="3169">
        <f t="shared" si="29"/>
        <v>7.4000000000000003E-3</v>
      </c>
      <c r="M11" s="3169">
        <f t="shared" si="30"/>
        <v>5.6999999999999993E-3</v>
      </c>
      <c r="N11" s="3169">
        <f t="shared" si="31"/>
        <v>9.1999999999999998E-3</v>
      </c>
      <c r="O11" s="3169">
        <f t="shared" si="32"/>
        <v>5.0000000000000001E-3</v>
      </c>
      <c r="P11" s="3169">
        <f t="shared" si="33"/>
        <v>5.6999999999999993E-3</v>
      </c>
      <c r="Q11" s="3178"/>
      <c r="R11" s="3180">
        <f>ROUND(IF(项目基本情况!$B$8="出让",SUMPRODUCT(PRODUCT(1+K11:$K$19)),SUMPRODUCT(PRODUCT(1+K11:$K$18))),4)</f>
        <v>1.0659000000000001</v>
      </c>
      <c r="S11" s="3180">
        <f>ROUND(IF(项目基本情况!$B$8="出让",SUMPRODUCT(PRODUCT(1+L11:$L$19)),SUMPRODUCT(PRODUCT(1+L11:$L$18))),4)</f>
        <v>1.0326</v>
      </c>
      <c r="T11" s="3180">
        <f>ROUND(IF(项目基本情况!$B$8="出让",SUMPRODUCT(PRODUCT(1+M11:$M$19)),SUMPRODUCT(PRODUCT(1+M11:$M$18))),4)</f>
        <v>1.0203</v>
      </c>
      <c r="U11" s="3180">
        <f>ROUND(IF(项目基本情况!$B$8="出让",SUMPRODUCT(PRODUCT(1+N11:$N$19)),SUMPRODUCT(PRODUCT(1+N11:$N$18))),4)</f>
        <v>1.0714999999999999</v>
      </c>
      <c r="V11" s="3180">
        <f>ROUND(IF(项目基本情况!$B$8="出让",SUMPRODUCT(PRODUCT(1+O11:$O$19)),SUMPRODUCT(PRODUCT(1+O11:$O$18))),4)</f>
        <v>1.0555000000000001</v>
      </c>
      <c r="W11" s="3180">
        <f t="shared" ref="W11:W18" si="35">T11</f>
        <v>1.0203</v>
      </c>
      <c r="X11" s="3178"/>
      <c r="Y11" s="3181"/>
      <c r="Z11" s="3181"/>
      <c r="AA11" s="3181"/>
      <c r="AB11" s="3181"/>
      <c r="AC11" s="3181"/>
      <c r="AD11" s="3181"/>
    </row>
    <row r="12" spans="1:30" s="3182" customFormat="1" ht="13.2">
      <c r="A12" s="3173" t="s">
        <v>3367</v>
      </c>
      <c r="B12" s="3174">
        <v>2022</v>
      </c>
      <c r="C12" s="3175">
        <v>4</v>
      </c>
      <c r="D12" s="3176">
        <v>0.62</v>
      </c>
      <c r="E12" s="3472">
        <v>0.2</v>
      </c>
      <c r="F12" s="3176">
        <v>0.11</v>
      </c>
      <c r="G12" s="3176">
        <v>0.69</v>
      </c>
      <c r="H12" s="3193">
        <v>0.53</v>
      </c>
      <c r="I12" s="3177">
        <f t="shared" si="15"/>
        <v>0.11</v>
      </c>
      <c r="J12" s="3178"/>
      <c r="K12" s="3179">
        <f t="shared" si="16"/>
        <v>6.1999999999999998E-3</v>
      </c>
      <c r="L12" s="3169">
        <f t="shared" si="16"/>
        <v>2E-3</v>
      </c>
      <c r="M12" s="3169">
        <f t="shared" si="16"/>
        <v>1.1000000000000001E-3</v>
      </c>
      <c r="N12" s="3169">
        <f t="shared" si="16"/>
        <v>6.8999999999999999E-3</v>
      </c>
      <c r="O12" s="3169">
        <f t="shared" si="16"/>
        <v>5.3E-3</v>
      </c>
      <c r="P12" s="3169">
        <f t="shared" ref="P12:P19" si="36">M12</f>
        <v>1.1000000000000001E-3</v>
      </c>
      <c r="Q12" s="3178"/>
      <c r="R12" s="3180">
        <f>ROUND(IF(项目基本情况!$B$8="出让",SUMPRODUCT(PRODUCT(1+K12:$K$19)),SUMPRODUCT(PRODUCT(1+K12:$K$18))),4)</f>
        <v>1.0565</v>
      </c>
      <c r="S12" s="3180">
        <f>ROUND(IF(项目基本情况!$B$8="出让",SUMPRODUCT(PRODUCT(1+L12:$L$19)),SUMPRODUCT(PRODUCT(1+L12:$L$18))),4)</f>
        <v>1.0250999999999999</v>
      </c>
      <c r="T12" s="3180">
        <f>ROUND(IF(项目基本情况!$B$8="出让",SUMPRODUCT(PRODUCT(1+M12:$M$19)),SUMPRODUCT(PRODUCT(1+M12:$M$18))),4)</f>
        <v>1.0145</v>
      </c>
      <c r="U12" s="3180">
        <f>ROUND(IF(项目基本情况!$B$8="出让",SUMPRODUCT(PRODUCT(1+N12:$N$19)),SUMPRODUCT(PRODUCT(1+N12:$N$18))),4)</f>
        <v>1.0618000000000001</v>
      </c>
      <c r="V12" s="3180">
        <f>ROUND(IF(项目基本情况!$B$8="出让",SUMPRODUCT(PRODUCT(1+O12:$O$19)),SUMPRODUCT(PRODUCT(1+O12:$O$18))),4)</f>
        <v>1.0502</v>
      </c>
      <c r="W12" s="3180">
        <f t="shared" si="35"/>
        <v>1.0145</v>
      </c>
      <c r="X12" s="3178"/>
      <c r="Y12" s="3181">
        <f>IF(D12=0,0,ROUND(AVERAGE(D12:D20)/100,4))</f>
        <v>8.0999999999999996E-3</v>
      </c>
      <c r="Z12" s="3181">
        <f t="shared" ref="Z12:AC12" si="37">IF(E12=0,0,ROUND(AVERAGE(E12:E19)/100,4))</f>
        <v>3.3E-3</v>
      </c>
      <c r="AA12" s="3181">
        <f t="shared" si="37"/>
        <v>1.5E-3</v>
      </c>
      <c r="AB12" s="3181">
        <f t="shared" si="37"/>
        <v>8.8999999999999999E-3</v>
      </c>
      <c r="AC12" s="3181">
        <f t="shared" si="37"/>
        <v>6.6E-3</v>
      </c>
      <c r="AD12" s="3181">
        <f t="shared" si="18"/>
        <v>1.5E-3</v>
      </c>
    </row>
    <row r="13" spans="1:30" s="3182" customFormat="1" ht="13.2">
      <c r="A13" s="3173" t="s">
        <v>3363</v>
      </c>
      <c r="B13" s="3174">
        <v>2022</v>
      </c>
      <c r="C13" s="3175">
        <v>3</v>
      </c>
      <c r="D13" s="3176">
        <v>0.66</v>
      </c>
      <c r="E13" s="3472">
        <v>0.32</v>
      </c>
      <c r="F13" s="3176">
        <v>0.23</v>
      </c>
      <c r="G13" s="3176">
        <v>0.72</v>
      </c>
      <c r="H13" s="3193">
        <v>0.63</v>
      </c>
      <c r="I13" s="3177">
        <f t="shared" si="15"/>
        <v>0.23</v>
      </c>
      <c r="J13" s="3178"/>
      <c r="K13" s="3179">
        <f t="shared" si="16"/>
        <v>6.6E-3</v>
      </c>
      <c r="L13" s="3169">
        <f t="shared" si="16"/>
        <v>3.2000000000000002E-3</v>
      </c>
      <c r="M13" s="3169">
        <f t="shared" si="16"/>
        <v>2.3E-3</v>
      </c>
      <c r="N13" s="3169">
        <f t="shared" si="16"/>
        <v>7.1999999999999998E-3</v>
      </c>
      <c r="O13" s="3169">
        <f t="shared" si="16"/>
        <v>6.3E-3</v>
      </c>
      <c r="P13" s="3169">
        <f t="shared" si="36"/>
        <v>2.3E-3</v>
      </c>
      <c r="Q13" s="3178"/>
      <c r="R13" s="3180">
        <f>ROUND(IF(项目基本情况!$B$8="出让",SUMPRODUCT(PRODUCT(1+K13:$K$19)),SUMPRODUCT(PRODUCT(1+K13:$K$18))),4)</f>
        <v>1.05</v>
      </c>
      <c r="S13" s="3180">
        <f>ROUND(IF(项目基本情况!$B$8="出让",SUMPRODUCT(PRODUCT(1+L13:$L$19)),SUMPRODUCT(PRODUCT(1+L13:$L$18))),4)</f>
        <v>1.0229999999999999</v>
      </c>
      <c r="T13" s="3180">
        <f>ROUND(IF(项目基本情况!$B$8="出让",SUMPRODUCT(PRODUCT(1+M13:$M$19)),SUMPRODUCT(PRODUCT(1+M13:$M$18))),4)</f>
        <v>1.0134000000000001</v>
      </c>
      <c r="U13" s="3180">
        <f>ROUND(IF(项目基本情况!$B$8="出让",SUMPRODUCT(PRODUCT(1+N13:$N$19)),SUMPRODUCT(PRODUCT(1+N13:$N$18))),4)</f>
        <v>1.0545</v>
      </c>
      <c r="V13" s="3180">
        <f>ROUND(IF(项目基本情况!$B$8="出让",SUMPRODUCT(PRODUCT(1+O13:$O$19)),SUMPRODUCT(PRODUCT(1+O13:$O$18))),4)</f>
        <v>1.0447</v>
      </c>
      <c r="W13" s="3180">
        <f t="shared" si="35"/>
        <v>1.0134000000000001</v>
      </c>
      <c r="X13" s="3178"/>
      <c r="Y13" s="3181">
        <f>IF(D13=0,0,ROUND(AVERAGE(D13:D19)/100,4))</f>
        <v>8.3999999999999995E-3</v>
      </c>
      <c r="Z13" s="3181">
        <f t="shared" ref="Z13:AC13" si="38">IF(E13=0,0,ROUND(AVERAGE(E13:E19)/100,4))</f>
        <v>3.5000000000000001E-3</v>
      </c>
      <c r="AA13" s="3181">
        <f t="shared" si="38"/>
        <v>1.5E-3</v>
      </c>
      <c r="AB13" s="3181">
        <f t="shared" si="38"/>
        <v>9.1999999999999998E-3</v>
      </c>
      <c r="AC13" s="3181">
        <f t="shared" si="38"/>
        <v>6.7999999999999996E-3</v>
      </c>
      <c r="AD13" s="3181">
        <f t="shared" si="18"/>
        <v>1.5E-3</v>
      </c>
    </row>
    <row r="14" spans="1:30" s="3182" customFormat="1" ht="13.2">
      <c r="A14" s="3173" t="s">
        <v>3354</v>
      </c>
      <c r="B14" s="3174">
        <v>2022</v>
      </c>
      <c r="C14" s="3175">
        <v>2</v>
      </c>
      <c r="D14" s="3176">
        <v>0.93</v>
      </c>
      <c r="E14" s="3472">
        <v>0.15</v>
      </c>
      <c r="F14" s="3176">
        <v>0.01</v>
      </c>
      <c r="G14" s="3176">
        <v>1.05</v>
      </c>
      <c r="H14" s="3193">
        <v>1.08</v>
      </c>
      <c r="I14" s="3177">
        <f t="shared" si="15"/>
        <v>0.01</v>
      </c>
      <c r="J14" s="3178"/>
      <c r="K14" s="3179">
        <f t="shared" si="16"/>
        <v>9.300000000000001E-3</v>
      </c>
      <c r="L14" s="3169">
        <f t="shared" si="16"/>
        <v>1.5E-3</v>
      </c>
      <c r="M14" s="3169">
        <f t="shared" si="16"/>
        <v>1E-4</v>
      </c>
      <c r="N14" s="3169">
        <f t="shared" si="16"/>
        <v>1.0500000000000001E-2</v>
      </c>
      <c r="O14" s="3169">
        <f t="shared" si="16"/>
        <v>1.0800000000000001E-2</v>
      </c>
      <c r="P14" s="3169">
        <f t="shared" si="36"/>
        <v>1E-4</v>
      </c>
      <c r="Q14" s="3178"/>
      <c r="R14" s="3180">
        <f>ROUND(IF(项目基本情况!$B$8="出让",SUMPRODUCT(PRODUCT(1+K14:$K$19)),SUMPRODUCT(PRODUCT(1+K14:$K$18))),4)</f>
        <v>1.0430999999999999</v>
      </c>
      <c r="S14" s="3180">
        <f>ROUND(IF(项目基本情况!$B$8="出让",SUMPRODUCT(PRODUCT(1+L14:$L$19)),SUMPRODUCT(PRODUCT(1+L14:$L$18))),4)</f>
        <v>1.0197000000000001</v>
      </c>
      <c r="T14" s="3180">
        <f>ROUND(IF(项目基本情况!$B$8="出让",SUMPRODUCT(PRODUCT(1+M14:$M$19)),SUMPRODUCT(PRODUCT(1+M14:$M$18))),4)</f>
        <v>1.0109999999999999</v>
      </c>
      <c r="U14" s="3180">
        <f>ROUND(IF(项目基本情况!$B$8="出让",SUMPRODUCT(PRODUCT(1+N14:$N$19)),SUMPRODUCT(PRODUCT(1+N14:$N$18))),4)</f>
        <v>1.0468999999999999</v>
      </c>
      <c r="V14" s="3180">
        <f>ROUND(IF(项目基本情况!$B$8="出让",SUMPRODUCT(PRODUCT(1+O14:$O$19)),SUMPRODUCT(PRODUCT(1+O14:$O$18))),4)</f>
        <v>1.0382</v>
      </c>
      <c r="W14" s="3180">
        <f t="shared" si="35"/>
        <v>1.0109999999999999</v>
      </c>
      <c r="X14" s="3178"/>
      <c r="Y14" s="3181">
        <f>IF(D14=0,0,ROUND(AVERAGE(D14:D19)/100,4))</f>
        <v>8.6999999999999994E-3</v>
      </c>
      <c r="Z14" s="3181">
        <f t="shared" ref="Z14:AC14" si="39">IF(E14=0,0,ROUND(AVERAGE(E14:E19)/100,4))</f>
        <v>3.5000000000000001E-3</v>
      </c>
      <c r="AA14" s="3181">
        <f t="shared" si="39"/>
        <v>1.4E-3</v>
      </c>
      <c r="AB14" s="3181">
        <f t="shared" si="39"/>
        <v>9.4999999999999998E-3</v>
      </c>
      <c r="AC14" s="3181">
        <f t="shared" si="39"/>
        <v>6.8999999999999999E-3</v>
      </c>
      <c r="AD14" s="3181">
        <f t="shared" si="18"/>
        <v>1.4E-3</v>
      </c>
    </row>
    <row r="15" spans="1:30" s="3182" customFormat="1" ht="13.2">
      <c r="A15" s="3173" t="s">
        <v>2820</v>
      </c>
      <c r="B15" s="3174">
        <v>2022</v>
      </c>
      <c r="C15" s="3175">
        <v>1</v>
      </c>
      <c r="D15" s="3176">
        <v>0.89</v>
      </c>
      <c r="E15" s="3472">
        <v>0.44</v>
      </c>
      <c r="F15" s="3176">
        <v>0.37</v>
      </c>
      <c r="G15" s="3176">
        <v>0.96</v>
      </c>
      <c r="H15" s="3193">
        <v>0.64</v>
      </c>
      <c r="I15" s="3177">
        <f t="shared" si="15"/>
        <v>0.37</v>
      </c>
      <c r="J15" s="3178"/>
      <c r="K15" s="3179">
        <f t="shared" si="16"/>
        <v>8.8999999999999999E-3</v>
      </c>
      <c r="L15" s="3169">
        <f t="shared" si="16"/>
        <v>4.4000000000000003E-3</v>
      </c>
      <c r="M15" s="3169">
        <f t="shared" si="16"/>
        <v>3.7000000000000002E-3</v>
      </c>
      <c r="N15" s="3169">
        <f t="shared" si="16"/>
        <v>9.5999999999999992E-3</v>
      </c>
      <c r="O15" s="3169">
        <f t="shared" si="16"/>
        <v>6.4000000000000003E-3</v>
      </c>
      <c r="P15" s="3169">
        <f t="shared" si="36"/>
        <v>3.7000000000000002E-3</v>
      </c>
      <c r="Q15" s="3178"/>
      <c r="R15" s="3180">
        <f>ROUND(IF(项目基本情况!$B$8="出让",SUMPRODUCT(PRODUCT(1+K15:$K$19)),SUMPRODUCT(PRODUCT(1+K15:$K$18))),4)</f>
        <v>1.0335000000000001</v>
      </c>
      <c r="S15" s="3180">
        <f>ROUND(IF(项目基本情况!$B$8="出让",SUMPRODUCT(PRODUCT(1+L15:$L$19)),SUMPRODUCT(PRODUCT(1+L15:$L$18))),4)</f>
        <v>1.0182</v>
      </c>
      <c r="T15" s="3180">
        <f>ROUND(IF(项目基本情况!$B$8="出让",SUMPRODUCT(PRODUCT(1+M15:$M$19)),SUMPRODUCT(PRODUCT(1+M15:$M$18))),4)</f>
        <v>1.0108999999999999</v>
      </c>
      <c r="U15" s="3180">
        <f>ROUND(IF(项目基本情况!$B$8="出让",SUMPRODUCT(PRODUCT(1+N15:$N$19)),SUMPRODUCT(PRODUCT(1+N15:$N$18))),4)</f>
        <v>1.0361</v>
      </c>
      <c r="V15" s="3180">
        <f>ROUND(IF(项目基本情况!$B$8="出让",SUMPRODUCT(PRODUCT(1+O15:$O$19)),SUMPRODUCT(PRODUCT(1+O15:$O$18))),4)</f>
        <v>1.0270999999999999</v>
      </c>
      <c r="W15" s="3180">
        <f t="shared" si="35"/>
        <v>1.0108999999999999</v>
      </c>
      <c r="X15" s="3178"/>
      <c r="Y15" s="3181">
        <f>IF(D15=0,0,ROUND(AVERAGE(D15:D19)/100,4))</f>
        <v>8.6E-3</v>
      </c>
      <c r="Z15" s="3181">
        <f t="shared" ref="Z15:AC15" si="40">IF(E15=0,0,ROUND(AVERAGE(E15:E19)/100,4))</f>
        <v>3.8999999999999998E-3</v>
      </c>
      <c r="AA15" s="3181">
        <f t="shared" si="40"/>
        <v>1.6999999999999999E-3</v>
      </c>
      <c r="AB15" s="3181">
        <f t="shared" si="40"/>
        <v>9.2999999999999992E-3</v>
      </c>
      <c r="AC15" s="3181">
        <f t="shared" si="40"/>
        <v>6.1000000000000004E-3</v>
      </c>
      <c r="AD15" s="3181">
        <f t="shared" si="18"/>
        <v>1.6999999999999999E-3</v>
      </c>
    </row>
    <row r="16" spans="1:30" s="3182" customFormat="1" ht="13.2">
      <c r="A16" s="3173" t="s">
        <v>2821</v>
      </c>
      <c r="B16" s="3174">
        <v>2021</v>
      </c>
      <c r="C16" s="3175">
        <v>4</v>
      </c>
      <c r="D16" s="3176">
        <v>1.03</v>
      </c>
      <c r="E16" s="3472">
        <v>0.24</v>
      </c>
      <c r="F16" s="3176">
        <v>7.0000000000000007E-2</v>
      </c>
      <c r="G16" s="3176">
        <v>1.17</v>
      </c>
      <c r="H16" s="3193">
        <v>0.55000000000000004</v>
      </c>
      <c r="I16" s="3177">
        <f t="shared" si="15"/>
        <v>7.0000000000000007E-2</v>
      </c>
      <c r="J16" s="3178"/>
      <c r="K16" s="3179">
        <f t="shared" si="16"/>
        <v>1.03E-2</v>
      </c>
      <c r="L16" s="3169">
        <f t="shared" si="16"/>
        <v>2.3999999999999998E-3</v>
      </c>
      <c r="M16" s="3169">
        <f t="shared" si="16"/>
        <v>7.000000000000001E-4</v>
      </c>
      <c r="N16" s="3169">
        <f t="shared" si="16"/>
        <v>1.1699999999999999E-2</v>
      </c>
      <c r="O16" s="3169">
        <f t="shared" si="16"/>
        <v>5.5000000000000005E-3</v>
      </c>
      <c r="P16" s="3169">
        <f t="shared" si="36"/>
        <v>7.000000000000001E-4</v>
      </c>
      <c r="Q16" s="3178"/>
      <c r="R16" s="3180">
        <f>ROUND(IF(项目基本情况!$B$8="出让",SUMPRODUCT(PRODUCT(1+K16:$K$19)),SUMPRODUCT(PRODUCT(1+K16:$K$18))),4)</f>
        <v>1.0244</v>
      </c>
      <c r="S16" s="3180">
        <f>ROUND(IF(项目基本情况!$B$8="出让",SUMPRODUCT(PRODUCT(1+L16:$L$19)),SUMPRODUCT(PRODUCT(1+L16:$L$18))),4)</f>
        <v>1.0138</v>
      </c>
      <c r="T16" s="3180">
        <f>ROUND(IF(项目基本情况!$B$8="出让",SUMPRODUCT(PRODUCT(1+M16:$M$19)),SUMPRODUCT(PRODUCT(1+M16:$M$18))),4)</f>
        <v>1.0072000000000001</v>
      </c>
      <c r="U16" s="3180">
        <f>ROUND(IF(项目基本情况!$B$8="出让",SUMPRODUCT(PRODUCT(1+N16:$N$19)),SUMPRODUCT(PRODUCT(1+N16:$N$18))),4)</f>
        <v>1.0262</v>
      </c>
      <c r="V16" s="3180">
        <f>ROUND(IF(项目基本情况!$B$8="出让",SUMPRODUCT(PRODUCT(1+O16:$O$19)),SUMPRODUCT(PRODUCT(1+O16:$O$18))),4)</f>
        <v>1.0205</v>
      </c>
      <c r="W16" s="3180">
        <f t="shared" si="35"/>
        <v>1.0072000000000001</v>
      </c>
      <c r="X16" s="3178"/>
      <c r="Y16" s="3181">
        <f>IF(D16=0,0,ROUND(AVERAGE(D16:D19)/100,4))</f>
        <v>8.5000000000000006E-3</v>
      </c>
      <c r="Z16" s="3181">
        <f t="shared" ref="Z16:AC16" si="41">IF(E16=0,0,ROUND(AVERAGE(E16:E19)/100,4))</f>
        <v>3.8E-3</v>
      </c>
      <c r="AA16" s="3181">
        <f t="shared" si="41"/>
        <v>1.1999999999999999E-3</v>
      </c>
      <c r="AB16" s="3181">
        <f t="shared" si="41"/>
        <v>9.2999999999999992E-3</v>
      </c>
      <c r="AC16" s="3181">
        <f t="shared" si="41"/>
        <v>6.0000000000000001E-3</v>
      </c>
      <c r="AD16" s="3181">
        <f t="shared" si="18"/>
        <v>1.1999999999999999E-3</v>
      </c>
    </row>
    <row r="17" spans="1:30" s="3182" customFormat="1" ht="13.2">
      <c r="A17" s="3173" t="s">
        <v>2822</v>
      </c>
      <c r="B17" s="3174">
        <v>2021</v>
      </c>
      <c r="C17" s="3175">
        <v>3</v>
      </c>
      <c r="D17" s="3176">
        <v>0.47</v>
      </c>
      <c r="E17" s="3472">
        <v>0.41</v>
      </c>
      <c r="F17" s="3176">
        <v>0.24</v>
      </c>
      <c r="G17" s="3176">
        <v>0.48</v>
      </c>
      <c r="H17" s="3193">
        <v>0.48</v>
      </c>
      <c r="I17" s="3177">
        <f t="shared" si="15"/>
        <v>0.24</v>
      </c>
      <c r="J17" s="3178"/>
      <c r="K17" s="3179">
        <f t="shared" si="16"/>
        <v>4.6999999999999993E-3</v>
      </c>
      <c r="L17" s="3169">
        <f t="shared" si="16"/>
        <v>4.0999999999999995E-3</v>
      </c>
      <c r="M17" s="3169">
        <f t="shared" si="16"/>
        <v>2.3999999999999998E-3</v>
      </c>
      <c r="N17" s="3169">
        <f t="shared" si="16"/>
        <v>4.7999999999999996E-3</v>
      </c>
      <c r="O17" s="3169">
        <f t="shared" si="16"/>
        <v>4.7999999999999996E-3</v>
      </c>
      <c r="P17" s="3169">
        <f t="shared" si="36"/>
        <v>2.3999999999999998E-3</v>
      </c>
      <c r="Q17" s="3178"/>
      <c r="R17" s="3180">
        <f>ROUND(IF(项目基本情况!$B$8="出让",SUMPRODUCT(PRODUCT(1+K17:$K$19)),SUMPRODUCT(PRODUCT(1+K17:$K$18))),4)</f>
        <v>1.0139</v>
      </c>
      <c r="S17" s="3180">
        <f>ROUND(IF(项目基本情况!$B$8="出让",SUMPRODUCT(PRODUCT(1+L17:$L$19)),SUMPRODUCT(PRODUCT(1+L17:$L$18))),4)</f>
        <v>1.0113000000000001</v>
      </c>
      <c r="T17" s="3180">
        <f>ROUND(IF(项目基本情况!$B$8="出让",SUMPRODUCT(PRODUCT(1+M17:$M$19)),SUMPRODUCT(PRODUCT(1+M17:$M$18))),4)</f>
        <v>1.0065</v>
      </c>
      <c r="U17" s="3180">
        <f>ROUND(IF(项目基本情况!$B$8="出让",SUMPRODUCT(PRODUCT(1+N17:$N$19)),SUMPRODUCT(PRODUCT(1+N17:$N$18))),4)</f>
        <v>1.0143</v>
      </c>
      <c r="V17" s="3180">
        <f>ROUND(IF(项目基本情况!$B$8="出让",SUMPRODUCT(PRODUCT(1+O17:$O$19)),SUMPRODUCT(PRODUCT(1+O17:$O$18))),4)</f>
        <v>1.0148999999999999</v>
      </c>
      <c r="W17" s="3180">
        <f t="shared" si="35"/>
        <v>1.0065</v>
      </c>
      <c r="X17" s="3178"/>
      <c r="Y17" s="3181">
        <f>IF(D17=0,0,ROUND(AVERAGE(D17:D19)/100,4))</f>
        <v>7.9000000000000008E-3</v>
      </c>
      <c r="Z17" s="3181">
        <f>IF(E17=0,0,ROUND(AVERAGE(E17:E19)/100,4))</f>
        <v>4.3E-3</v>
      </c>
      <c r="AA17" s="3181">
        <f>IF(F17=0,0,ROUND(AVERAGE(F17:F19)/100,4))</f>
        <v>1.2999999999999999E-3</v>
      </c>
      <c r="AB17" s="3181">
        <f>IF(G17=0,0,ROUND(AVERAGE(G17:G19)/100,4))</f>
        <v>8.5000000000000006E-3</v>
      </c>
      <c r="AC17" s="3181">
        <f>IF(H17=0,0,ROUND(AVERAGE(H17:H19)/100,4))</f>
        <v>6.1999999999999998E-3</v>
      </c>
      <c r="AD17" s="3181">
        <f t="shared" si="18"/>
        <v>1.2999999999999999E-3</v>
      </c>
    </row>
    <row r="18" spans="1:30" s="3182" customFormat="1" ht="13.2">
      <c r="A18" s="3173" t="s">
        <v>2823</v>
      </c>
      <c r="B18" s="3174">
        <v>2021</v>
      </c>
      <c r="C18" s="3175">
        <v>2</v>
      </c>
      <c r="D18" s="3176">
        <v>0.92</v>
      </c>
      <c r="E18" s="3472">
        <v>0.72</v>
      </c>
      <c r="F18" s="3176">
        <v>0.41</v>
      </c>
      <c r="G18" s="3176">
        <v>0.95</v>
      </c>
      <c r="H18" s="3193">
        <v>1.01</v>
      </c>
      <c r="I18" s="3177">
        <f t="shared" si="15"/>
        <v>0.41</v>
      </c>
      <c r="J18" s="3178"/>
      <c r="K18" s="3179">
        <f t="shared" si="16"/>
        <v>9.1999999999999998E-3</v>
      </c>
      <c r="L18" s="3169">
        <f t="shared" si="16"/>
        <v>7.1999999999999998E-3</v>
      </c>
      <c r="M18" s="3169">
        <f t="shared" si="16"/>
        <v>4.0999999999999995E-3</v>
      </c>
      <c r="N18" s="3169">
        <f t="shared" si="16"/>
        <v>9.4999999999999998E-3</v>
      </c>
      <c r="O18" s="3169">
        <f t="shared" si="16"/>
        <v>1.01E-2</v>
      </c>
      <c r="P18" s="3169">
        <f t="shared" si="36"/>
        <v>4.0999999999999995E-3</v>
      </c>
      <c r="Q18" s="3178"/>
      <c r="R18" s="3180">
        <f>ROUND(IF(项目基本情况!$B$8="出让",SUMPRODUCT(PRODUCT(1+K18:$K$19)),SUMPRODUCT(PRODUCT(1+K18:$K$18))),4)</f>
        <v>1.0092000000000001</v>
      </c>
      <c r="S18" s="3180">
        <f>ROUND(IF(项目基本情况!$B$8="出让",SUMPRODUCT(PRODUCT(1+L18:$L$19)),SUMPRODUCT(PRODUCT(1+L18:$L$18))),4)</f>
        <v>1.0072000000000001</v>
      </c>
      <c r="T18" s="3180">
        <f>ROUND(IF(项目基本情况!$B$8="出让",SUMPRODUCT(PRODUCT(1+M18:$M$19)),SUMPRODUCT(PRODUCT(1+M18:$M$18))),4)</f>
        <v>1.0041</v>
      </c>
      <c r="U18" s="3180">
        <f>ROUND(IF(项目基本情况!$B$8="出让",SUMPRODUCT(PRODUCT(1+N18:$N$19)),SUMPRODUCT(PRODUCT(1+N18:$N$18))),4)</f>
        <v>1.0095000000000001</v>
      </c>
      <c r="V18" s="3180">
        <f>ROUND(IF(项目基本情况!$B$8="出让",SUMPRODUCT(PRODUCT(1+O18:$O$19)),SUMPRODUCT(PRODUCT(1+O18:$O$18))),4)</f>
        <v>1.0101</v>
      </c>
      <c r="W18" s="3180">
        <f t="shared" si="35"/>
        <v>1.0041</v>
      </c>
      <c r="X18" s="3178"/>
      <c r="Y18" s="3181">
        <f>IF(D18=0,0,ROUND(AVERAGE(D18:D19)/100,4))</f>
        <v>9.4999999999999998E-3</v>
      </c>
      <c r="Z18" s="3181">
        <f>IF(E18=0,0,ROUND(AVERAGE(E18:E19)/100,4))</f>
        <v>4.4000000000000003E-3</v>
      </c>
      <c r="AA18" s="3181">
        <f>IF(F18=0,0,ROUND(AVERAGE(F18:F19)/100,4))</f>
        <v>8.0000000000000004E-4</v>
      </c>
      <c r="AB18" s="3181">
        <f>IF(G18=0,0,ROUND(AVERAGE(G18:G19)/100,4))</f>
        <v>1.03E-2</v>
      </c>
      <c r="AC18" s="3181">
        <f>IF(H18=0,0,ROUND(AVERAGE(H18:H19)/100,4))</f>
        <v>6.8999999999999999E-3</v>
      </c>
      <c r="AD18" s="3181">
        <f t="shared" si="18"/>
        <v>8.0000000000000004E-4</v>
      </c>
    </row>
    <row r="19" spans="1:30" s="3204" customFormat="1" ht="13.8" thickBot="1">
      <c r="A19" s="3194" t="s">
        <v>2824</v>
      </c>
      <c r="B19" s="3195">
        <v>2021</v>
      </c>
      <c r="C19" s="3196">
        <v>1</v>
      </c>
      <c r="D19" s="3197">
        <v>0.97</v>
      </c>
      <c r="E19" s="3474">
        <v>0.16</v>
      </c>
      <c r="F19" s="3197">
        <v>-0.25</v>
      </c>
      <c r="G19" s="3197">
        <v>1.1100000000000001</v>
      </c>
      <c r="H19" s="3198">
        <v>0.36</v>
      </c>
      <c r="I19" s="3199">
        <f t="shared" si="15"/>
        <v>-0.25</v>
      </c>
      <c r="J19" s="3200"/>
      <c r="K19" s="3201">
        <f t="shared" si="16"/>
        <v>9.7000000000000003E-3</v>
      </c>
      <c r="L19" s="3202">
        <f t="shared" si="16"/>
        <v>1.6000000000000001E-3</v>
      </c>
      <c r="M19" s="3202">
        <f>F19/100</f>
        <v>-2.5000000000000001E-3</v>
      </c>
      <c r="N19" s="3202">
        <f t="shared" si="16"/>
        <v>1.11E-2</v>
      </c>
      <c r="O19" s="3202">
        <f t="shared" si="16"/>
        <v>3.5999999999999999E-3</v>
      </c>
      <c r="P19" s="3202">
        <f t="shared" si="36"/>
        <v>-2.5000000000000001E-3</v>
      </c>
      <c r="Q19" s="3200"/>
      <c r="R19" s="3203">
        <v>1</v>
      </c>
      <c r="S19" s="3203">
        <v>1</v>
      </c>
      <c r="T19" s="3203">
        <v>1</v>
      </c>
      <c r="U19" s="3203">
        <v>1</v>
      </c>
      <c r="V19" s="3203">
        <v>1</v>
      </c>
      <c r="W19" s="3203">
        <f t="shared" ref="W19" si="42">T19</f>
        <v>1</v>
      </c>
      <c r="X19" s="3200"/>
      <c r="Y19" s="3202">
        <f>IF(D19=0,0,ROUND(AVERAGE(D19:D19)/100,4))</f>
        <v>9.7000000000000003E-3</v>
      </c>
      <c r="Z19" s="3202">
        <f>IF(E19=0,0,ROUND(AVERAGE(E19:E19)/100,4))</f>
        <v>1.6000000000000001E-3</v>
      </c>
      <c r="AA19" s="3202">
        <f>IF(F19=0,0,ROUND(AVERAGE(F19:F19)/100,4))</f>
        <v>-2.5000000000000001E-3</v>
      </c>
      <c r="AB19" s="3202">
        <f>IF(G19=0,0,ROUND(AVERAGE(G19:G19)/100,4))</f>
        <v>1.11E-2</v>
      </c>
      <c r="AC19" s="3202">
        <f>IF(H19=0,0,ROUND(AVERAGE(H19:H19)/100,4))</f>
        <v>3.5999999999999999E-3</v>
      </c>
      <c r="AD19" s="3202">
        <f>AA19</f>
        <v>-2.5000000000000001E-3</v>
      </c>
    </row>
    <row r="20" spans="1:30" s="3006" customFormat="1" ht="15" thickTop="1">
      <c r="E20" s="3475"/>
    </row>
    <row r="21" spans="1:30" s="3006" customFormat="1">
      <c r="A21" s="3445" t="s">
        <v>3365</v>
      </c>
      <c r="E21" s="3475"/>
    </row>
    <row r="22" spans="1:30" s="3006" customFormat="1">
      <c r="E22" s="3475"/>
      <c r="I22" s="3205" t="s">
        <v>2825</v>
      </c>
    </row>
    <row r="23" spans="1:30" s="3006" customFormat="1">
      <c r="E23" s="3475"/>
    </row>
    <row r="24" spans="1:30" s="3206" customFormat="1" ht="13.2">
      <c r="B24" s="3207" t="s">
        <v>3371</v>
      </c>
      <c r="C24" s="3208"/>
      <c r="D24" s="3208"/>
      <c r="E24" s="3468"/>
      <c r="F24" s="3208"/>
      <c r="G24" s="3208"/>
      <c r="H24" s="3208"/>
      <c r="I24" s="3208"/>
      <c r="J24" s="3162"/>
      <c r="K24" s="3208" t="s">
        <v>2826</v>
      </c>
      <c r="L24" s="3208"/>
      <c r="M24" s="3208"/>
      <c r="N24" s="3208"/>
      <c r="O24" s="3208"/>
      <c r="P24" s="3208"/>
      <c r="Q24" s="3162"/>
      <c r="R24" s="3805" t="s">
        <v>2827</v>
      </c>
      <c r="S24" s="3806"/>
      <c r="T24" s="3806"/>
      <c r="U24" s="3806"/>
      <c r="V24" s="3806"/>
      <c r="W24" s="3806"/>
      <c r="X24" s="3162"/>
      <c r="Y24" s="3805" t="s">
        <v>2828</v>
      </c>
      <c r="Z24" s="3806"/>
      <c r="AA24" s="3806"/>
      <c r="AB24" s="3806"/>
      <c r="AC24" s="3806"/>
      <c r="AD24" s="3806"/>
    </row>
    <row r="25" spans="1:30" s="3140" customFormat="1" ht="15" thickBot="1">
      <c r="B25" s="3141"/>
      <c r="C25" s="3142"/>
      <c r="D25" s="3143" t="s">
        <v>2829</v>
      </c>
      <c r="E25" s="3469" t="s">
        <v>2830</v>
      </c>
      <c r="F25" s="3144" t="s">
        <v>2831</v>
      </c>
      <c r="G25" s="3144" t="s">
        <v>2832</v>
      </c>
      <c r="H25" s="3144"/>
      <c r="I25" s="3144" t="s">
        <v>2833</v>
      </c>
      <c r="J25" s="3145"/>
      <c r="K25" s="3143" t="s">
        <v>2829</v>
      </c>
      <c r="L25" s="3144" t="s">
        <v>2830</v>
      </c>
      <c r="M25" s="3144" t="s">
        <v>2831</v>
      </c>
      <c r="N25" s="3144" t="s">
        <v>2832</v>
      </c>
      <c r="O25" s="3144"/>
      <c r="P25" s="3144" t="s">
        <v>2833</v>
      </c>
      <c r="Q25" s="3145"/>
      <c r="R25" s="3143" t="s">
        <v>2829</v>
      </c>
      <c r="S25" s="3144" t="s">
        <v>2830</v>
      </c>
      <c r="T25" s="3144" t="s">
        <v>2831</v>
      </c>
      <c r="U25" s="3144" t="s">
        <v>2832</v>
      </c>
      <c r="V25" s="3144"/>
      <c r="W25" s="3144" t="s">
        <v>2833</v>
      </c>
      <c r="X25" s="3145"/>
      <c r="Y25" s="3143" t="s">
        <v>2829</v>
      </c>
      <c r="Z25" s="3144" t="s">
        <v>2830</v>
      </c>
      <c r="AA25" s="3144" t="s">
        <v>2831</v>
      </c>
      <c r="AB25" s="3144" t="s">
        <v>2832</v>
      </c>
      <c r="AC25" s="3144"/>
      <c r="AD25" s="3144" t="s">
        <v>2833</v>
      </c>
    </row>
    <row r="26" spans="1:30" s="3158" customFormat="1" ht="13.2">
      <c r="A26" s="3146" t="s">
        <v>2834</v>
      </c>
      <c r="B26" s="3147"/>
      <c r="C26" s="3148"/>
      <c r="D26" s="3148"/>
      <c r="E26" s="3470">
        <f t="shared" ref="E26:G26" si="43">ROUND(AVERAGEIF(E27:E42,"&lt;&gt;0"),2)</f>
        <v>0.33</v>
      </c>
      <c r="F26" s="3148">
        <f t="shared" si="43"/>
        <v>0.24</v>
      </c>
      <c r="G26" s="3148">
        <f t="shared" si="43"/>
        <v>0.62</v>
      </c>
      <c r="H26" s="3148"/>
      <c r="I26" s="3148">
        <f>F26</f>
        <v>0.24</v>
      </c>
      <c r="J26" s="3149"/>
      <c r="K26" s="3150"/>
      <c r="L26" s="3151">
        <f t="shared" ref="L26:N26" si="44">ROUND(AVERAGEIF(L27:L42,"&lt;&gt;0"),4)</f>
        <v>3.3E-3</v>
      </c>
      <c r="M26" s="3151">
        <f t="shared" si="44"/>
        <v>2.3999999999999998E-3</v>
      </c>
      <c r="N26" s="3151">
        <f t="shared" si="44"/>
        <v>6.1999999999999998E-3</v>
      </c>
      <c r="O26" s="3151"/>
      <c r="P26" s="3151">
        <f>M26</f>
        <v>2.3999999999999998E-3</v>
      </c>
      <c r="Q26" s="3149"/>
      <c r="R26" s="3152"/>
      <c r="S26" s="3153">
        <f>ROUND(SUMPRODUCT(PRODUCT(1+L27:L42)),4)</f>
        <v>1.0468999999999999</v>
      </c>
      <c r="T26" s="3153">
        <f t="shared" ref="T26:U26" si="45">ROUND(SUMPRODUCT(PRODUCT(1+M27:M42)),4)</f>
        <v>1.0347</v>
      </c>
      <c r="U26" s="3153">
        <f t="shared" si="45"/>
        <v>1.0895999999999999</v>
      </c>
      <c r="V26" s="3153"/>
      <c r="W26" s="3152">
        <f>T26</f>
        <v>1.0347</v>
      </c>
      <c r="X26" s="3149"/>
      <c r="Y26" s="3154"/>
      <c r="Z26" s="3155">
        <f t="shared" ref="Z26:AB26" si="46">ROUND(AVERAGEIF(Z27:Z42,"&lt;&gt;0"),4)</f>
        <v>4.1999999999999997E-3</v>
      </c>
      <c r="AA26" s="3156">
        <f t="shared" si="46"/>
        <v>3.3999999999999998E-3</v>
      </c>
      <c r="AB26" s="3154">
        <f t="shared" si="46"/>
        <v>8.6E-3</v>
      </c>
      <c r="AC26" s="3157"/>
      <c r="AD26" s="3154">
        <f>AA26</f>
        <v>3.3999999999999998E-3</v>
      </c>
    </row>
    <row r="27" spans="1:30" s="3159" customFormat="1" ht="13.2">
      <c r="B27" s="3160"/>
      <c r="C27" s="3161"/>
      <c r="D27" s="3161"/>
      <c r="E27" s="3471"/>
      <c r="F27" s="3161"/>
      <c r="G27" s="3161"/>
      <c r="H27" s="3161"/>
      <c r="I27" s="3161"/>
      <c r="J27" s="3162"/>
      <c r="K27" s="3163"/>
      <c r="L27" s="3164"/>
      <c r="M27" s="3164"/>
      <c r="N27" s="3164"/>
      <c r="O27" s="3164"/>
      <c r="P27" s="3164"/>
      <c r="Q27" s="3162"/>
      <c r="R27" s="3165"/>
      <c r="S27" s="3166"/>
      <c r="T27" s="3167"/>
      <c r="U27" s="3165"/>
      <c r="V27" s="3168"/>
      <c r="W27" s="3165"/>
      <c r="X27" s="3162"/>
      <c r="Y27" s="3169"/>
      <c r="Z27" s="3170"/>
      <c r="AA27" s="3171"/>
      <c r="AB27" s="3169"/>
      <c r="AC27" s="3172"/>
      <c r="AD27" s="3169"/>
    </row>
    <row r="28" spans="1:30" s="3182" customFormat="1" ht="13.2">
      <c r="A28" s="2202" t="s">
        <v>3376</v>
      </c>
      <c r="B28" s="3174">
        <v>2024</v>
      </c>
      <c r="C28" s="3175">
        <v>3</v>
      </c>
      <c r="D28" s="3176"/>
      <c r="E28" s="3472">
        <v>0</v>
      </c>
      <c r="F28" s="3176">
        <v>0</v>
      </c>
      <c r="G28" s="3176">
        <v>0</v>
      </c>
      <c r="H28" s="3176"/>
      <c r="I28" s="3177">
        <f t="shared" ref="I28" si="47">F28</f>
        <v>0</v>
      </c>
      <c r="J28" s="3178"/>
      <c r="K28" s="3179"/>
      <c r="L28" s="3169">
        <f t="shared" ref="L28" si="48">E28/100</f>
        <v>0</v>
      </c>
      <c r="M28" s="3169">
        <f t="shared" ref="M28" si="49">F28/100</f>
        <v>0</v>
      </c>
      <c r="N28" s="3169">
        <f t="shared" ref="N28" si="50">G28/100</f>
        <v>0</v>
      </c>
      <c r="O28" s="3169"/>
      <c r="P28" s="3169">
        <f>M28</f>
        <v>0</v>
      </c>
      <c r="Q28" s="3178"/>
      <c r="R28" s="3180"/>
      <c r="S28" s="3180">
        <f>ROUND(IF(项目基本情况!$B$8="出让",SUMPRODUCT(PRODUCT(1+L28:L$42)),SUMPRODUCT(PRODUCT(1+L28:L$41))),4)</f>
        <v>1.0432999999999999</v>
      </c>
      <c r="T28" s="3180">
        <f>ROUND(IF(项目基本情况!$B$8="出让",SUMPRODUCT(PRODUCT(1+M28:M$42)),SUMPRODUCT(PRODUCT(1+M28:M$41))),4)</f>
        <v>1.0298</v>
      </c>
      <c r="U28" s="3180">
        <f>ROUND(IF(项目基本情况!$B$8="出让",SUMPRODUCT(PRODUCT(1+N28:N$42)),SUMPRODUCT(PRODUCT(1+N28:N$41))),4)</f>
        <v>1.079</v>
      </c>
      <c r="V28" s="3180"/>
      <c r="W28" s="3180">
        <f>T28</f>
        <v>1.0298</v>
      </c>
      <c r="X28" s="3178"/>
      <c r="Y28" s="3181"/>
      <c r="Z28" s="3209">
        <f t="shared" ref="Z28:AB29" si="51">IF(E28=0,0,ROUND(AVERAGE(E28:E41)/100,4))</f>
        <v>0</v>
      </c>
      <c r="AA28" s="3209">
        <f t="shared" si="51"/>
        <v>0</v>
      </c>
      <c r="AB28" s="3209">
        <f t="shared" si="51"/>
        <v>0</v>
      </c>
      <c r="AC28" s="3210"/>
      <c r="AD28" s="3181">
        <f>IF(I28=0,0,ROUND(AVERAGE(I28:I41)/100,4))</f>
        <v>0</v>
      </c>
    </row>
    <row r="29" spans="1:30" s="3192" customFormat="1" ht="13.2">
      <c r="A29" s="3183" t="s">
        <v>3377</v>
      </c>
      <c r="B29" s="3184">
        <v>2024</v>
      </c>
      <c r="C29" s="3185">
        <v>2</v>
      </c>
      <c r="D29" s="3186"/>
      <c r="E29" s="3473">
        <v>-0.31</v>
      </c>
      <c r="F29" s="3186">
        <v>-0.39</v>
      </c>
      <c r="G29" s="3186">
        <v>1.23</v>
      </c>
      <c r="H29" s="3187"/>
      <c r="I29" s="3188">
        <f t="shared" ref="I29:I42" si="52">F29</f>
        <v>-0.39</v>
      </c>
      <c r="J29" s="3189"/>
      <c r="K29" s="3190"/>
      <c r="L29" s="3191">
        <f t="shared" ref="L29:N42" si="53">E29/100</f>
        <v>-3.0999999999999999E-3</v>
      </c>
      <c r="M29" s="3191">
        <f t="shared" si="53"/>
        <v>-3.9000000000000003E-3</v>
      </c>
      <c r="N29" s="3191">
        <f t="shared" si="53"/>
        <v>1.23E-2</v>
      </c>
      <c r="O29" s="3191"/>
      <c r="P29" s="3191">
        <f>M29</f>
        <v>-3.9000000000000003E-3</v>
      </c>
      <c r="Q29" s="3189"/>
      <c r="R29" s="3189"/>
      <c r="S29" s="3189">
        <f>ROUND(IF(项目基本情况!$B$8="出让",SUMPRODUCT(PRODUCT(1+L29:L$42)),SUMPRODUCT(PRODUCT(1+L29:L$41))),4)</f>
        <v>1.0432999999999999</v>
      </c>
      <c r="T29" s="3189">
        <f>ROUND(IF(项目基本情况!$B$8="出让",SUMPRODUCT(PRODUCT(1+M29:M$42)),SUMPRODUCT(PRODUCT(1+M29:M$41))),4)</f>
        <v>1.0298</v>
      </c>
      <c r="U29" s="3189">
        <f>ROUND(IF(项目基本情况!$B$8="出让",SUMPRODUCT(PRODUCT(1+N29:N$42)),SUMPRODUCT(PRODUCT(1+N29:N$41))),4)</f>
        <v>1.079</v>
      </c>
      <c r="V29" s="3189"/>
      <c r="W29" s="3189">
        <f>T29</f>
        <v>1.0298</v>
      </c>
      <c r="X29" s="3189"/>
      <c r="Y29" s="3191"/>
      <c r="Z29" s="3212">
        <f t="shared" si="51"/>
        <v>3.3E-3</v>
      </c>
      <c r="AA29" s="3213">
        <f t="shared" si="51"/>
        <v>2.3999999999999998E-3</v>
      </c>
      <c r="AB29" s="3191">
        <f t="shared" si="51"/>
        <v>6.1999999999999998E-3</v>
      </c>
      <c r="AC29" s="3214"/>
      <c r="AD29" s="3191">
        <f>IF(I29=0,0,ROUND(AVERAGE(I29:I42)/100,4))</f>
        <v>2.3999999999999998E-3</v>
      </c>
    </row>
    <row r="30" spans="1:30" s="3182" customFormat="1" ht="13.2">
      <c r="A30" s="3173" t="s">
        <v>3378</v>
      </c>
      <c r="B30" s="3174">
        <v>2024</v>
      </c>
      <c r="C30" s="3175">
        <v>1</v>
      </c>
      <c r="D30" s="3176"/>
      <c r="E30" s="3472">
        <v>0.25</v>
      </c>
      <c r="F30" s="3176">
        <v>0.4</v>
      </c>
      <c r="G30" s="3176">
        <v>-0.63</v>
      </c>
      <c r="H30" s="3193"/>
      <c r="I30" s="3177">
        <f t="shared" ref="I30:I31" si="54">F30</f>
        <v>0.4</v>
      </c>
      <c r="J30" s="3178"/>
      <c r="K30" s="3179"/>
      <c r="L30" s="3169">
        <f t="shared" ref="L30" si="55">E30/100</f>
        <v>2.5000000000000001E-3</v>
      </c>
      <c r="M30" s="3169">
        <f t="shared" ref="M30" si="56">F30/100</f>
        <v>4.0000000000000001E-3</v>
      </c>
      <c r="N30" s="3169">
        <f t="shared" ref="N30" si="57">G30/100</f>
        <v>-6.3E-3</v>
      </c>
      <c r="O30" s="3169"/>
      <c r="P30" s="3169">
        <f t="shared" ref="P30" si="58">M30</f>
        <v>4.0000000000000001E-3</v>
      </c>
      <c r="Q30" s="3178"/>
      <c r="R30" s="3180"/>
      <c r="S30" s="3180">
        <f>ROUND(IF(项目基本情况!$B$8="出让",SUMPRODUCT(PRODUCT(1+L30:L$42)),SUMPRODUCT(PRODUCT(1+L30:L$41))),4)</f>
        <v>1.0465</v>
      </c>
      <c r="T30" s="3180">
        <f>ROUND(IF(项目基本情况!$B$8="出让",SUMPRODUCT(PRODUCT(1+M30:M$42)),SUMPRODUCT(PRODUCT(1+M30:M$41))),4)</f>
        <v>1.0338000000000001</v>
      </c>
      <c r="U30" s="3180">
        <f>ROUND(IF(项目基本情况!$B$8="出让",SUMPRODUCT(PRODUCT(1+N30:N$42)),SUMPRODUCT(PRODUCT(1+N30:N$41))),4)</f>
        <v>1.0659000000000001</v>
      </c>
      <c r="V30" s="3180"/>
      <c r="W30" s="3180">
        <f t="shared" ref="W30" si="59">T30</f>
        <v>1.0338000000000001</v>
      </c>
      <c r="X30" s="3178"/>
      <c r="Y30" s="3181"/>
      <c r="Z30" s="3209"/>
      <c r="AA30" s="3211"/>
      <c r="AB30" s="3181"/>
      <c r="AC30" s="3210"/>
      <c r="AD30" s="3181"/>
    </row>
    <row r="31" spans="1:30" s="3182" customFormat="1" ht="13.2">
      <c r="A31" s="3173" t="s">
        <v>3375</v>
      </c>
      <c r="B31" s="3174">
        <v>2023</v>
      </c>
      <c r="C31" s="3175">
        <v>4</v>
      </c>
      <c r="D31" s="3176"/>
      <c r="E31" s="3472">
        <v>7.0000000000000007E-2</v>
      </c>
      <c r="F31" s="3176">
        <v>0.09</v>
      </c>
      <c r="G31" s="3176">
        <v>0.03</v>
      </c>
      <c r="H31" s="3193"/>
      <c r="I31" s="3177">
        <f t="shared" si="54"/>
        <v>0.09</v>
      </c>
      <c r="J31" s="3178"/>
      <c r="K31" s="3179"/>
      <c r="L31" s="3169">
        <f t="shared" si="53"/>
        <v>7.000000000000001E-4</v>
      </c>
      <c r="M31" s="3169">
        <f t="shared" si="53"/>
        <v>8.9999999999999998E-4</v>
      </c>
      <c r="N31" s="3169">
        <f t="shared" si="53"/>
        <v>2.9999999999999997E-4</v>
      </c>
      <c r="O31" s="3169"/>
      <c r="P31" s="3169">
        <f t="shared" ref="P31" si="60">M31</f>
        <v>8.9999999999999998E-4</v>
      </c>
      <c r="Q31" s="3178"/>
      <c r="R31" s="3180"/>
      <c r="S31" s="3180">
        <f>ROUND(IF(项目基本情况!$B$8="出让",SUMPRODUCT(PRODUCT(1+L31:L$42)),SUMPRODUCT(PRODUCT(1+L31:L$41))),4)</f>
        <v>1.0439000000000001</v>
      </c>
      <c r="T31" s="3180">
        <f>ROUND(IF(项目基本情况!$B$8="出让",SUMPRODUCT(PRODUCT(1+M31:M$42)),SUMPRODUCT(PRODUCT(1+M31:M$41))),4)</f>
        <v>1.0297000000000001</v>
      </c>
      <c r="U31" s="3180">
        <f>ROUND(IF(项目基本情况!$B$8="出让",SUMPRODUCT(PRODUCT(1+N31:N$42)),SUMPRODUCT(PRODUCT(1+N31:N$41))),4)</f>
        <v>1.0727</v>
      </c>
      <c r="V31" s="3180"/>
      <c r="W31" s="3180">
        <f t="shared" ref="W31" si="61">T31</f>
        <v>1.0297000000000001</v>
      </c>
      <c r="X31" s="3178"/>
      <c r="Y31" s="3181"/>
      <c r="Z31" s="3209"/>
      <c r="AA31" s="3211"/>
      <c r="AB31" s="3181"/>
      <c r="AC31" s="3210"/>
      <c r="AD31" s="3181"/>
    </row>
    <row r="32" spans="1:30" s="3182" customFormat="1" ht="13.2">
      <c r="A32" s="3173" t="s">
        <v>3373</v>
      </c>
      <c r="B32" s="3174">
        <v>2023</v>
      </c>
      <c r="C32" s="3175">
        <v>3</v>
      </c>
      <c r="D32" s="3176"/>
      <c r="E32" s="3472">
        <v>0.35</v>
      </c>
      <c r="F32" s="3176">
        <v>0.17</v>
      </c>
      <c r="G32" s="3176">
        <v>0.52</v>
      </c>
      <c r="H32" s="3193"/>
      <c r="I32" s="3177">
        <f t="shared" si="52"/>
        <v>0.17</v>
      </c>
      <c r="J32" s="3178"/>
      <c r="K32" s="3179"/>
      <c r="L32" s="3169">
        <f t="shared" ref="L32:L34" si="62">E32/100</f>
        <v>3.4999999999999996E-3</v>
      </c>
      <c r="M32" s="3169">
        <f t="shared" ref="M32:M34" si="63">F32/100</f>
        <v>1.7000000000000001E-3</v>
      </c>
      <c r="N32" s="3169">
        <f t="shared" ref="N32:N34" si="64">G32/100</f>
        <v>5.1999999999999998E-3</v>
      </c>
      <c r="O32" s="3169"/>
      <c r="P32" s="3169">
        <f t="shared" ref="P32:P34" si="65">M32</f>
        <v>1.7000000000000001E-3</v>
      </c>
      <c r="Q32" s="3178"/>
      <c r="R32" s="3180"/>
      <c r="S32" s="3180">
        <f>ROUND(IF(项目基本情况!$B$8="出让",SUMPRODUCT(PRODUCT(1+L32:L$42)),SUMPRODUCT(PRODUCT(1+L32:L$41))),4)</f>
        <v>1.0431999999999999</v>
      </c>
      <c r="T32" s="3180">
        <f>ROUND(IF(项目基本情况!$B$8="出让",SUMPRODUCT(PRODUCT(1+M32:M$42)),SUMPRODUCT(PRODUCT(1+M32:M$41))),4)</f>
        <v>1.0286999999999999</v>
      </c>
      <c r="U32" s="3180">
        <f>ROUND(IF(项目基本情况!$B$8="出让",SUMPRODUCT(PRODUCT(1+N32:N$42)),SUMPRODUCT(PRODUCT(1+N32:N$41))),4)</f>
        <v>1.0723</v>
      </c>
      <c r="V32" s="3180"/>
      <c r="W32" s="3180">
        <f t="shared" ref="W32:W34" si="66">T32</f>
        <v>1.0286999999999999</v>
      </c>
      <c r="X32" s="3178"/>
      <c r="Y32" s="3181"/>
      <c r="Z32" s="3209"/>
      <c r="AA32" s="3211"/>
      <c r="AB32" s="3181"/>
      <c r="AC32" s="3210"/>
      <c r="AD32" s="3181"/>
    </row>
    <row r="33" spans="1:30" s="3182" customFormat="1" ht="13.2">
      <c r="A33" s="3173" t="s">
        <v>3372</v>
      </c>
      <c r="B33" s="3174">
        <v>2023</v>
      </c>
      <c r="C33" s="3175">
        <v>2</v>
      </c>
      <c r="D33" s="3176"/>
      <c r="E33" s="3472">
        <v>0.5</v>
      </c>
      <c r="F33" s="3176">
        <v>0.45</v>
      </c>
      <c r="G33" s="3176">
        <v>0.89</v>
      </c>
      <c r="H33" s="3193"/>
      <c r="I33" s="3177">
        <f t="shared" si="52"/>
        <v>0.45</v>
      </c>
      <c r="J33" s="3178"/>
      <c r="K33" s="3179"/>
      <c r="L33" s="3169">
        <f t="shared" si="62"/>
        <v>5.0000000000000001E-3</v>
      </c>
      <c r="M33" s="3169">
        <f t="shared" si="63"/>
        <v>4.5000000000000005E-3</v>
      </c>
      <c r="N33" s="3169">
        <f t="shared" si="64"/>
        <v>8.8999999999999999E-3</v>
      </c>
      <c r="O33" s="3169"/>
      <c r="P33" s="3169">
        <f t="shared" si="65"/>
        <v>4.5000000000000005E-3</v>
      </c>
      <c r="Q33" s="3178"/>
      <c r="R33" s="3180"/>
      <c r="S33" s="3180">
        <f>ROUND(IF(项目基本情况!$B$8="出让",SUMPRODUCT(PRODUCT(1+L33:L$42)),SUMPRODUCT(PRODUCT(1+L33:L$41))),4)</f>
        <v>1.0396000000000001</v>
      </c>
      <c r="T33" s="3180">
        <f>ROUND(IF(项目基本情况!$B$8="出让",SUMPRODUCT(PRODUCT(1+M33:M$42)),SUMPRODUCT(PRODUCT(1+M33:M$41))),4)</f>
        <v>1.0269999999999999</v>
      </c>
      <c r="U33" s="3180">
        <f>ROUND(IF(项目基本情况!$B$8="出让",SUMPRODUCT(PRODUCT(1+N33:N$42)),SUMPRODUCT(PRODUCT(1+N33:N$41))),4)</f>
        <v>1.0668</v>
      </c>
      <c r="V33" s="3180"/>
      <c r="W33" s="3180">
        <f t="shared" si="66"/>
        <v>1.0269999999999999</v>
      </c>
      <c r="X33" s="3178"/>
      <c r="Y33" s="3181"/>
      <c r="Z33" s="3209"/>
      <c r="AA33" s="3211"/>
      <c r="AB33" s="3181"/>
      <c r="AC33" s="3210"/>
      <c r="AD33" s="3181"/>
    </row>
    <row r="34" spans="1:30" s="3182" customFormat="1" ht="13.2">
      <c r="A34" s="3173" t="s">
        <v>3368</v>
      </c>
      <c r="B34" s="3174">
        <v>2023</v>
      </c>
      <c r="C34" s="3175">
        <v>1</v>
      </c>
      <c r="D34" s="3176"/>
      <c r="E34" s="3472">
        <v>0.55000000000000004</v>
      </c>
      <c r="F34" s="3176">
        <v>0.59</v>
      </c>
      <c r="G34" s="3176">
        <v>0.64</v>
      </c>
      <c r="H34" s="3193"/>
      <c r="I34" s="3177">
        <f t="shared" si="52"/>
        <v>0.59</v>
      </c>
      <c r="J34" s="3178"/>
      <c r="K34" s="3179"/>
      <c r="L34" s="3169">
        <f t="shared" si="62"/>
        <v>5.5000000000000005E-3</v>
      </c>
      <c r="M34" s="3169">
        <f t="shared" si="63"/>
        <v>5.8999999999999999E-3</v>
      </c>
      <c r="N34" s="3169">
        <f t="shared" si="64"/>
        <v>6.4000000000000003E-3</v>
      </c>
      <c r="O34" s="3169"/>
      <c r="P34" s="3169">
        <f t="shared" si="65"/>
        <v>5.8999999999999999E-3</v>
      </c>
      <c r="Q34" s="3178"/>
      <c r="R34" s="3180"/>
      <c r="S34" s="3180">
        <f>ROUND(IF(项目基本情况!$B$8="出让",SUMPRODUCT(PRODUCT(1+L34:L$42)),SUMPRODUCT(PRODUCT(1+L34:L$41))),4)</f>
        <v>1.0344</v>
      </c>
      <c r="T34" s="3180">
        <f>ROUND(IF(项目基本情况!$B$8="出让",SUMPRODUCT(PRODUCT(1+M34:M$42)),SUMPRODUCT(PRODUCT(1+M34:M$41))),4)</f>
        <v>1.0224</v>
      </c>
      <c r="U34" s="3180">
        <f>ROUND(IF(项目基本情况!$B$8="出让",SUMPRODUCT(PRODUCT(1+N34:N$42)),SUMPRODUCT(PRODUCT(1+N34:N$41))),4)</f>
        <v>1.0573999999999999</v>
      </c>
      <c r="V34" s="3180"/>
      <c r="W34" s="3180">
        <f t="shared" si="66"/>
        <v>1.0224</v>
      </c>
      <c r="X34" s="3178"/>
      <c r="Y34" s="3181"/>
      <c r="Z34" s="3209"/>
      <c r="AA34" s="3211"/>
      <c r="AB34" s="3181"/>
      <c r="AC34" s="3210"/>
      <c r="AD34" s="3181"/>
    </row>
    <row r="35" spans="1:30" s="3182" customFormat="1" ht="13.2">
      <c r="A35" s="3173" t="s">
        <v>3367</v>
      </c>
      <c r="B35" s="3174">
        <v>2022</v>
      </c>
      <c r="C35" s="3175">
        <v>4</v>
      </c>
      <c r="D35" s="3176"/>
      <c r="E35" s="3472">
        <v>0.45</v>
      </c>
      <c r="F35" s="3176">
        <v>0.2</v>
      </c>
      <c r="G35" s="3176">
        <v>0.38</v>
      </c>
      <c r="H35" s="3193"/>
      <c r="I35" s="3177">
        <f t="shared" si="52"/>
        <v>0.2</v>
      </c>
      <c r="J35" s="3178"/>
      <c r="K35" s="3179"/>
      <c r="L35" s="3169">
        <f t="shared" si="53"/>
        <v>4.5000000000000005E-3</v>
      </c>
      <c r="M35" s="3169">
        <f t="shared" si="53"/>
        <v>2E-3</v>
      </c>
      <c r="N35" s="3169">
        <f t="shared" si="53"/>
        <v>3.8E-3</v>
      </c>
      <c r="O35" s="3169"/>
      <c r="P35" s="3169">
        <f t="shared" ref="P35:P42" si="67">M35</f>
        <v>2E-3</v>
      </c>
      <c r="Q35" s="3178"/>
      <c r="R35" s="3180"/>
      <c r="S35" s="3180">
        <f>ROUND(IF(项目基本情况!$B$8="出让",SUMPRODUCT(PRODUCT(1+L35:L$42)),SUMPRODUCT(PRODUCT(1+L35:L$41))),4)</f>
        <v>1.0286999999999999</v>
      </c>
      <c r="T35" s="3180">
        <f>ROUND(IF(项目基本情况!$B$8="出让",SUMPRODUCT(PRODUCT(1+M35:M$42)),SUMPRODUCT(PRODUCT(1+M35:M$41))),4)</f>
        <v>1.0164</v>
      </c>
      <c r="U35" s="3180">
        <f>ROUND(IF(项目基本情况!$B$8="出让",SUMPRODUCT(PRODUCT(1+N35:N$42)),SUMPRODUCT(PRODUCT(1+N35:N$41))),4)</f>
        <v>1.0506</v>
      </c>
      <c r="V35" s="3180"/>
      <c r="W35" s="3180">
        <f t="shared" ref="W35:W42" si="68">T35</f>
        <v>1.0164</v>
      </c>
      <c r="X35" s="3178"/>
      <c r="Y35" s="3181"/>
      <c r="Z35" s="3209">
        <f t="shared" ref="Z35:AD42" si="69">IF(E35=0,0,ROUND(AVERAGE(E35:E43)/100,4))</f>
        <v>4.0000000000000001E-3</v>
      </c>
      <c r="AA35" s="3211">
        <f t="shared" si="69"/>
        <v>2.5999999999999999E-3</v>
      </c>
      <c r="AB35" s="3181">
        <f t="shared" si="69"/>
        <v>7.4000000000000003E-3</v>
      </c>
      <c r="AC35" s="3210"/>
      <c r="AD35" s="3181">
        <f t="shared" si="69"/>
        <v>2.5999999999999999E-3</v>
      </c>
    </row>
    <row r="36" spans="1:30" s="3182" customFormat="1" ht="13.2">
      <c r="A36" s="3173" t="s">
        <v>3364</v>
      </c>
      <c r="B36" s="3174">
        <v>2022</v>
      </c>
      <c r="C36" s="3175">
        <v>3</v>
      </c>
      <c r="D36" s="3176"/>
      <c r="E36" s="3472">
        <v>0.3</v>
      </c>
      <c r="F36" s="3176">
        <v>0.28999999999999998</v>
      </c>
      <c r="G36" s="3176">
        <v>0.83</v>
      </c>
      <c r="H36" s="3193"/>
      <c r="I36" s="3177">
        <f t="shared" si="52"/>
        <v>0.28999999999999998</v>
      </c>
      <c r="J36" s="3178"/>
      <c r="K36" s="3179"/>
      <c r="L36" s="3169">
        <f t="shared" si="53"/>
        <v>3.0000000000000001E-3</v>
      </c>
      <c r="M36" s="3169">
        <f t="shared" si="53"/>
        <v>2.8999999999999998E-3</v>
      </c>
      <c r="N36" s="3169">
        <f t="shared" si="53"/>
        <v>8.3000000000000001E-3</v>
      </c>
      <c r="O36" s="3169"/>
      <c r="P36" s="3169">
        <f t="shared" si="67"/>
        <v>2.8999999999999998E-3</v>
      </c>
      <c r="Q36" s="3178"/>
      <c r="R36" s="3180"/>
      <c r="S36" s="3180">
        <f>ROUND(IF(项目基本情况!$B$8="出让",SUMPRODUCT(PRODUCT(1+L36:L$42)),SUMPRODUCT(PRODUCT(1+L36:L$41))),4)</f>
        <v>1.0241</v>
      </c>
      <c r="T36" s="3180">
        <f>ROUND(IF(项目基本情况!$B$8="出让",SUMPRODUCT(PRODUCT(1+M36:M$42)),SUMPRODUCT(PRODUCT(1+M36:M$41))),4)</f>
        <v>1.0144</v>
      </c>
      <c r="U36" s="3180">
        <f>ROUND(IF(项目基本情况!$B$8="出让",SUMPRODUCT(PRODUCT(1+N36:N$42)),SUMPRODUCT(PRODUCT(1+N36:N$41))),4)</f>
        <v>1.0467</v>
      </c>
      <c r="V36" s="3180"/>
      <c r="W36" s="3180">
        <f t="shared" si="68"/>
        <v>1.0144</v>
      </c>
      <c r="X36" s="3178"/>
      <c r="Y36" s="3181"/>
      <c r="Z36" s="3209">
        <f t="shared" si="69"/>
        <v>3.8999999999999998E-3</v>
      </c>
      <c r="AA36" s="3211">
        <f t="shared" si="69"/>
        <v>2.7000000000000001E-3</v>
      </c>
      <c r="AB36" s="3181">
        <f t="shared" si="69"/>
        <v>7.9000000000000008E-3</v>
      </c>
      <c r="AC36" s="3210"/>
      <c r="AD36" s="3181">
        <f t="shared" si="69"/>
        <v>2.7000000000000001E-3</v>
      </c>
    </row>
    <row r="37" spans="1:30" s="3182" customFormat="1" ht="13.2">
      <c r="A37" s="3173" t="s">
        <v>3354</v>
      </c>
      <c r="B37" s="3174">
        <v>2022</v>
      </c>
      <c r="C37" s="3175">
        <v>2</v>
      </c>
      <c r="D37" s="3176"/>
      <c r="E37" s="3472">
        <v>-0.11</v>
      </c>
      <c r="F37" s="3176">
        <v>-0.13</v>
      </c>
      <c r="G37" s="3176">
        <v>0.53</v>
      </c>
      <c r="H37" s="3193"/>
      <c r="I37" s="3177">
        <f t="shared" si="52"/>
        <v>-0.13</v>
      </c>
      <c r="J37" s="3178"/>
      <c r="K37" s="3179"/>
      <c r="L37" s="3169">
        <f t="shared" si="53"/>
        <v>-1.1000000000000001E-3</v>
      </c>
      <c r="M37" s="3169">
        <f t="shared" si="53"/>
        <v>-1.2999999999999999E-3</v>
      </c>
      <c r="N37" s="3169">
        <f t="shared" si="53"/>
        <v>5.3E-3</v>
      </c>
      <c r="O37" s="3169"/>
      <c r="P37" s="3169">
        <f t="shared" si="67"/>
        <v>-1.2999999999999999E-3</v>
      </c>
      <c r="Q37" s="3178"/>
      <c r="R37" s="3180"/>
      <c r="S37" s="3180">
        <f>ROUND(IF(项目基本情况!$B$8="出让",SUMPRODUCT(PRODUCT(1+L37:L$42)),SUMPRODUCT(PRODUCT(1+L37:L$41))),4)</f>
        <v>1.0210999999999999</v>
      </c>
      <c r="T37" s="3180">
        <f>ROUND(IF(项目基本情况!$B$8="出让",SUMPRODUCT(PRODUCT(1+M37:M$42)),SUMPRODUCT(PRODUCT(1+M37:M$41))),4)</f>
        <v>1.0114000000000001</v>
      </c>
      <c r="U37" s="3180">
        <f>ROUND(IF(项目基本情况!$B$8="出让",SUMPRODUCT(PRODUCT(1+N37:N$42)),SUMPRODUCT(PRODUCT(1+N37:N$41))),4)</f>
        <v>1.0381</v>
      </c>
      <c r="V37" s="3180"/>
      <c r="W37" s="3180">
        <f t="shared" si="68"/>
        <v>1.0114000000000001</v>
      </c>
      <c r="X37" s="3178"/>
      <c r="Y37" s="3181"/>
      <c r="Z37" s="3209">
        <f t="shared" si="69"/>
        <v>4.1000000000000003E-3</v>
      </c>
      <c r="AA37" s="3211">
        <f t="shared" si="69"/>
        <v>2.7000000000000001E-3</v>
      </c>
      <c r="AB37" s="3181">
        <f t="shared" si="69"/>
        <v>7.9000000000000008E-3</v>
      </c>
      <c r="AC37" s="3210"/>
      <c r="AD37" s="3181">
        <f t="shared" si="69"/>
        <v>2.7000000000000001E-3</v>
      </c>
    </row>
    <row r="38" spans="1:30" s="3182" customFormat="1" ht="13.2">
      <c r="A38" s="3173" t="s">
        <v>2835</v>
      </c>
      <c r="B38" s="3174">
        <v>2022</v>
      </c>
      <c r="C38" s="3175">
        <v>1</v>
      </c>
      <c r="D38" s="3176"/>
      <c r="E38" s="3472">
        <v>0.6</v>
      </c>
      <c r="F38" s="3176">
        <v>0.45</v>
      </c>
      <c r="G38" s="3176">
        <v>0.53</v>
      </c>
      <c r="H38" s="3193"/>
      <c r="I38" s="3177">
        <f t="shared" si="52"/>
        <v>0.45</v>
      </c>
      <c r="J38" s="3178"/>
      <c r="K38" s="3179"/>
      <c r="L38" s="3169">
        <f t="shared" si="53"/>
        <v>6.0000000000000001E-3</v>
      </c>
      <c r="M38" s="3169">
        <f t="shared" si="53"/>
        <v>4.5000000000000005E-3</v>
      </c>
      <c r="N38" s="3169">
        <f t="shared" si="53"/>
        <v>5.3E-3</v>
      </c>
      <c r="O38" s="3169"/>
      <c r="P38" s="3169">
        <f t="shared" si="67"/>
        <v>4.5000000000000005E-3</v>
      </c>
      <c r="Q38" s="3178"/>
      <c r="R38" s="3180"/>
      <c r="S38" s="3180">
        <f>ROUND(IF(项目基本情况!$B$8="出让",SUMPRODUCT(PRODUCT(1+L38:L$42)),SUMPRODUCT(PRODUCT(1+L38:L$41))),4)</f>
        <v>1.0222</v>
      </c>
      <c r="T38" s="3180">
        <f>ROUND(IF(项目基本情况!$B$8="出让",SUMPRODUCT(PRODUCT(1+M38:M$42)),SUMPRODUCT(PRODUCT(1+M38:M$41))),4)</f>
        <v>1.0127999999999999</v>
      </c>
      <c r="U38" s="3180">
        <f>ROUND(IF(项目基本情况!$B$8="出让",SUMPRODUCT(PRODUCT(1+N38:N$42)),SUMPRODUCT(PRODUCT(1+N38:N$41))),4)</f>
        <v>1.0326</v>
      </c>
      <c r="V38" s="3180"/>
      <c r="W38" s="3180">
        <f t="shared" si="68"/>
        <v>1.0127999999999999</v>
      </c>
      <c r="X38" s="3178"/>
      <c r="Y38" s="3181"/>
      <c r="Z38" s="3209">
        <f t="shared" si="69"/>
        <v>5.1000000000000004E-3</v>
      </c>
      <c r="AA38" s="3211">
        <f t="shared" si="69"/>
        <v>3.5000000000000001E-3</v>
      </c>
      <c r="AB38" s="3181">
        <f t="shared" si="69"/>
        <v>8.3999999999999995E-3</v>
      </c>
      <c r="AC38" s="3210"/>
      <c r="AD38" s="3181">
        <f t="shared" si="69"/>
        <v>3.5000000000000001E-3</v>
      </c>
    </row>
    <row r="39" spans="1:30" s="3182" customFormat="1" ht="13.2">
      <c r="A39" s="3173" t="s">
        <v>2836</v>
      </c>
      <c r="B39" s="3174">
        <v>2021</v>
      </c>
      <c r="C39" s="3175">
        <v>4</v>
      </c>
      <c r="D39" s="3176"/>
      <c r="E39" s="3472">
        <v>0.57999999999999996</v>
      </c>
      <c r="F39" s="3176">
        <v>0.08</v>
      </c>
      <c r="G39" s="3176">
        <v>0.68</v>
      </c>
      <c r="H39" s="3193"/>
      <c r="I39" s="3177">
        <f t="shared" si="52"/>
        <v>0.08</v>
      </c>
      <c r="J39" s="3178"/>
      <c r="K39" s="3179"/>
      <c r="L39" s="3169">
        <f t="shared" si="53"/>
        <v>5.7999999999999996E-3</v>
      </c>
      <c r="M39" s="3169">
        <f t="shared" si="53"/>
        <v>8.0000000000000004E-4</v>
      </c>
      <c r="N39" s="3169">
        <f t="shared" si="53"/>
        <v>6.8000000000000005E-3</v>
      </c>
      <c r="O39" s="3169"/>
      <c r="P39" s="3169">
        <f t="shared" si="67"/>
        <v>8.0000000000000004E-4</v>
      </c>
      <c r="Q39" s="3178"/>
      <c r="R39" s="3180"/>
      <c r="S39" s="3180">
        <f>ROUND(IF(项目基本情况!$B$8="出让",SUMPRODUCT(PRODUCT(1+L39:L$42)),SUMPRODUCT(PRODUCT(1+L39:L$41))),4)</f>
        <v>1.0161</v>
      </c>
      <c r="T39" s="3180">
        <f>ROUND(IF(项目基本情况!$B$8="出让",SUMPRODUCT(PRODUCT(1+M39:M$42)),SUMPRODUCT(PRODUCT(1+M39:M$41))),4)</f>
        <v>1.0082</v>
      </c>
      <c r="U39" s="3180">
        <f>ROUND(IF(项目基本情况!$B$8="出让",SUMPRODUCT(PRODUCT(1+N39:N$42)),SUMPRODUCT(PRODUCT(1+N39:N$41))),4)</f>
        <v>1.0270999999999999</v>
      </c>
      <c r="V39" s="3180"/>
      <c r="W39" s="3180">
        <f t="shared" si="68"/>
        <v>1.0082</v>
      </c>
      <c r="X39" s="3178"/>
      <c r="Y39" s="3181"/>
      <c r="Z39" s="3209">
        <f t="shared" si="69"/>
        <v>4.8999999999999998E-3</v>
      </c>
      <c r="AA39" s="3211">
        <f t="shared" si="69"/>
        <v>3.3E-3</v>
      </c>
      <c r="AB39" s="3181">
        <f t="shared" si="69"/>
        <v>9.1999999999999998E-3</v>
      </c>
      <c r="AC39" s="3210"/>
      <c r="AD39" s="3181">
        <f t="shared" si="69"/>
        <v>3.3E-3</v>
      </c>
    </row>
    <row r="40" spans="1:30" s="3182" customFormat="1" ht="13.2">
      <c r="A40" s="3173" t="s">
        <v>2837</v>
      </c>
      <c r="B40" s="3174">
        <v>2021</v>
      </c>
      <c r="C40" s="3175">
        <v>3</v>
      </c>
      <c r="D40" s="3176"/>
      <c r="E40" s="3472">
        <v>0.47</v>
      </c>
      <c r="F40" s="3176">
        <v>0.28000000000000003</v>
      </c>
      <c r="G40" s="3176">
        <v>0.91</v>
      </c>
      <c r="H40" s="3193"/>
      <c r="I40" s="3177">
        <f t="shared" si="52"/>
        <v>0.28000000000000003</v>
      </c>
      <c r="J40" s="3178"/>
      <c r="K40" s="3179"/>
      <c r="L40" s="3169">
        <f t="shared" si="53"/>
        <v>4.6999999999999993E-3</v>
      </c>
      <c r="M40" s="3169">
        <f t="shared" si="53"/>
        <v>2.8000000000000004E-3</v>
      </c>
      <c r="N40" s="3169">
        <f t="shared" si="53"/>
        <v>9.1000000000000004E-3</v>
      </c>
      <c r="O40" s="3169"/>
      <c r="P40" s="3169">
        <f t="shared" si="67"/>
        <v>2.8000000000000004E-3</v>
      </c>
      <c r="Q40" s="3178"/>
      <c r="R40" s="3180"/>
      <c r="S40" s="3180">
        <f>ROUND(IF(项目基本情况!$B$8="出让",SUMPRODUCT(PRODUCT(1+L40:L$42)),SUMPRODUCT(PRODUCT(1+L40:L$41))),4)</f>
        <v>1.0102</v>
      </c>
      <c r="T40" s="3180">
        <f>ROUND(IF(项目基本情况!$B$8="出让",SUMPRODUCT(PRODUCT(1+M40:M$42)),SUMPRODUCT(PRODUCT(1+M40:M$41))),4)</f>
        <v>1.0074000000000001</v>
      </c>
      <c r="U40" s="3180">
        <f>ROUND(IF(项目基本情况!$B$8="出让",SUMPRODUCT(PRODUCT(1+N40:N$42)),SUMPRODUCT(PRODUCT(1+N40:N$41))),4)</f>
        <v>1.0202</v>
      </c>
      <c r="V40" s="3180"/>
      <c r="W40" s="3180">
        <f t="shared" si="68"/>
        <v>1.0074000000000001</v>
      </c>
      <c r="X40" s="3178"/>
      <c r="Y40" s="3181"/>
      <c r="Z40" s="3209">
        <f t="shared" si="69"/>
        <v>4.5999999999999999E-3</v>
      </c>
      <c r="AA40" s="3211">
        <f t="shared" si="69"/>
        <v>4.1000000000000003E-3</v>
      </c>
      <c r="AB40" s="3181">
        <f t="shared" si="69"/>
        <v>0.01</v>
      </c>
      <c r="AC40" s="3210"/>
      <c r="AD40" s="3181">
        <f t="shared" si="69"/>
        <v>4.1000000000000003E-3</v>
      </c>
    </row>
    <row r="41" spans="1:30" s="3182" customFormat="1" ht="13.2">
      <c r="A41" s="3173" t="s">
        <v>2838</v>
      </c>
      <c r="B41" s="3174">
        <v>2021</v>
      </c>
      <c r="C41" s="3175">
        <v>2</v>
      </c>
      <c r="D41" s="3176"/>
      <c r="E41" s="3472">
        <v>0.55000000000000004</v>
      </c>
      <c r="F41" s="3176">
        <v>0.46</v>
      </c>
      <c r="G41" s="3176">
        <v>1.1000000000000001</v>
      </c>
      <c r="H41" s="3193"/>
      <c r="I41" s="3177">
        <f t="shared" si="52"/>
        <v>0.46</v>
      </c>
      <c r="J41" s="3178"/>
      <c r="K41" s="3179"/>
      <c r="L41" s="3169">
        <f t="shared" si="53"/>
        <v>5.5000000000000005E-3</v>
      </c>
      <c r="M41" s="3169">
        <f t="shared" si="53"/>
        <v>4.5999999999999999E-3</v>
      </c>
      <c r="N41" s="3169">
        <f t="shared" si="53"/>
        <v>1.1000000000000001E-2</v>
      </c>
      <c r="O41" s="3169"/>
      <c r="P41" s="3169">
        <f t="shared" si="67"/>
        <v>4.5999999999999999E-3</v>
      </c>
      <c r="Q41" s="3178"/>
      <c r="R41" s="3180"/>
      <c r="S41" s="3180">
        <f>ROUND(IF(项目基本情况!$B$8="出让",SUMPRODUCT(PRODUCT(1+L41:L$42)),SUMPRODUCT(PRODUCT(1+L41:L$41))),4)</f>
        <v>1.0055000000000001</v>
      </c>
      <c r="T41" s="3180">
        <f>ROUND(IF(项目基本情况!$B$8="出让",SUMPRODUCT(PRODUCT(1+M41:M$42)),SUMPRODUCT(PRODUCT(1+M41:M$41))),4)</f>
        <v>1.0045999999999999</v>
      </c>
      <c r="U41" s="3180">
        <f>ROUND(IF(项目基本情况!$B$8="出让",SUMPRODUCT(PRODUCT(1+N41:N$42)),SUMPRODUCT(PRODUCT(1+N41:N$41))),4)</f>
        <v>1.0109999999999999</v>
      </c>
      <c r="V41" s="3180"/>
      <c r="W41" s="3180">
        <f t="shared" si="68"/>
        <v>1.0045999999999999</v>
      </c>
      <c r="X41" s="3178"/>
      <c r="Y41" s="3181"/>
      <c r="Z41" s="3209">
        <f t="shared" si="69"/>
        <v>4.4999999999999997E-3</v>
      </c>
      <c r="AA41" s="3211">
        <f t="shared" si="69"/>
        <v>4.7000000000000002E-3</v>
      </c>
      <c r="AB41" s="3181">
        <f t="shared" si="69"/>
        <v>1.04E-2</v>
      </c>
      <c r="AC41" s="3210"/>
      <c r="AD41" s="3181">
        <f t="shared" si="69"/>
        <v>4.7000000000000002E-3</v>
      </c>
    </row>
    <row r="42" spans="1:30" s="3204" customFormat="1" ht="13.8" thickBot="1">
      <c r="A42" s="3194" t="s">
        <v>2824</v>
      </c>
      <c r="B42" s="3195">
        <v>2021</v>
      </c>
      <c r="C42" s="3196">
        <v>1</v>
      </c>
      <c r="D42" s="3197"/>
      <c r="E42" s="3474">
        <v>0.35</v>
      </c>
      <c r="F42" s="3197">
        <v>0.48</v>
      </c>
      <c r="G42" s="3197">
        <v>0.98</v>
      </c>
      <c r="H42" s="3198"/>
      <c r="I42" s="3199">
        <f t="shared" si="52"/>
        <v>0.48</v>
      </c>
      <c r="J42" s="3200"/>
      <c r="K42" s="3201"/>
      <c r="L42" s="3202">
        <f t="shared" si="53"/>
        <v>3.4999999999999996E-3</v>
      </c>
      <c r="M42" s="3202">
        <f>F42/100</f>
        <v>4.7999999999999996E-3</v>
      </c>
      <c r="N42" s="3202">
        <f t="shared" si="53"/>
        <v>9.7999999999999997E-3</v>
      </c>
      <c r="O42" s="3202"/>
      <c r="P42" s="3202">
        <f t="shared" si="67"/>
        <v>4.7999999999999996E-3</v>
      </c>
      <c r="Q42" s="3200"/>
      <c r="R42" s="3203"/>
      <c r="S42" s="3203">
        <v>1</v>
      </c>
      <c r="T42" s="3203">
        <v>1</v>
      </c>
      <c r="U42" s="3203">
        <v>1</v>
      </c>
      <c r="V42" s="3203"/>
      <c r="W42" s="3203">
        <f t="shared" si="68"/>
        <v>1</v>
      </c>
      <c r="X42" s="3200"/>
      <c r="Y42" s="3202"/>
      <c r="Z42" s="3215">
        <f t="shared" si="69"/>
        <v>3.5000000000000001E-3</v>
      </c>
      <c r="AA42" s="3216">
        <f t="shared" si="69"/>
        <v>4.7999999999999996E-3</v>
      </c>
      <c r="AB42" s="3202">
        <f t="shared" si="69"/>
        <v>9.7999999999999997E-3</v>
      </c>
      <c r="AC42" s="3217"/>
      <c r="AD42" s="3202">
        <f t="shared" si="69"/>
        <v>4.7999999999999996E-3</v>
      </c>
    </row>
    <row r="43" spans="1:30" ht="15" thickTop="1"/>
    <row r="44" spans="1:30">
      <c r="A44" s="3445"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2313</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2312</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2311</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1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0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0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1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0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1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0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0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0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0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0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0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0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0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0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0">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11">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0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0">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11">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6">
      <c r="A3" s="3490"/>
      <c r="B3" s="3490"/>
      <c r="C3" s="3490"/>
      <c r="D3" s="852" t="s">
        <v>925</v>
      </c>
      <c r="E3" s="852" t="s">
        <v>931</v>
      </c>
      <c r="F3" s="852" t="s">
        <v>925</v>
      </c>
      <c r="G3" s="852" t="s">
        <v>926</v>
      </c>
      <c r="H3" s="852" t="s">
        <v>925</v>
      </c>
      <c r="I3" s="852" t="s">
        <v>926</v>
      </c>
    </row>
    <row r="4" spans="1:9" ht="15">
      <c r="A4" s="1503" t="str">
        <f>项目基本情况!S2</f>
        <v>北京市房地产</v>
      </c>
      <c r="B4" s="852">
        <f>项目基本情况!C17</f>
        <v>127.35</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90" t="s">
        <v>927</v>
      </c>
      <c r="B5" s="3490"/>
      <c r="C5" s="3490"/>
      <c r="D5" s="3490" t="e">
        <f ca="1">结果表!D119</f>
        <v>#REF!</v>
      </c>
      <c r="E5" s="3490"/>
      <c r="F5" s="3490" t="e">
        <f ca="1">结果表!F119</f>
        <v>#REF!</v>
      </c>
      <c r="G5" s="3490"/>
      <c r="H5" s="3490" t="e">
        <f ca="1">结果表!H119</f>
        <v>#REF!</v>
      </c>
      <c r="I5" s="3490"/>
    </row>
    <row r="6" spans="1:9" ht="15.6">
      <c r="A6" s="3491" t="str">
        <f>结果表!A120</f>
        <v>估价师知悉的法定优先受偿款</v>
      </c>
      <c r="B6" s="3491"/>
      <c r="C6" s="3491"/>
      <c r="D6" s="3491">
        <f>结果表!D120</f>
        <v>0</v>
      </c>
      <c r="E6" s="3491"/>
      <c r="F6" s="3491"/>
      <c r="G6" s="3491"/>
      <c r="H6" s="3491"/>
      <c r="I6" s="3491"/>
    </row>
    <row r="7" spans="1:9" ht="15">
      <c r="A7" s="3490" t="s">
        <v>927</v>
      </c>
      <c r="B7" s="3490"/>
      <c r="C7" s="3490"/>
      <c r="D7" s="3492" t="str">
        <f>结果表!D121</f>
        <v>零元整</v>
      </c>
      <c r="E7" s="3493"/>
      <c r="F7" s="3493"/>
      <c r="G7" s="3493"/>
      <c r="H7" s="3493"/>
      <c r="I7" s="3494"/>
    </row>
    <row r="8" spans="1:9" ht="15.6">
      <c r="A8" s="3491" t="str">
        <f>结果表!A122</f>
        <v>房地产抵押价值</v>
      </c>
      <c r="B8" s="3491"/>
      <c r="C8" s="3491"/>
      <c r="D8" s="3491" t="e">
        <f ca="1">结果表!D122</f>
        <v>#REF!</v>
      </c>
      <c r="E8" s="3491"/>
      <c r="F8" s="3491"/>
      <c r="G8" s="3491"/>
      <c r="H8" s="3491"/>
      <c r="I8" s="3491"/>
    </row>
    <row r="9" spans="1:9" ht="15">
      <c r="A9" s="3490" t="s">
        <v>927</v>
      </c>
      <c r="B9" s="3490"/>
      <c r="C9" s="3490"/>
      <c r="D9" s="3490" t="e">
        <f ca="1">结果表!D123</f>
        <v>#REF!</v>
      </c>
      <c r="E9" s="3490"/>
      <c r="F9" s="3490"/>
      <c r="G9" s="3490"/>
      <c r="H9" s="3490"/>
      <c r="I9" s="3490"/>
    </row>
    <row r="10" spans="1:9" ht="15.6">
      <c r="A10" s="3491" t="str">
        <f>结果表!A124</f>
        <v/>
      </c>
      <c r="B10" s="3491"/>
      <c r="C10" s="3491"/>
      <c r="D10" s="3491" t="str">
        <f>结果表!D124</f>
        <v>——</v>
      </c>
      <c r="E10" s="3491"/>
      <c r="F10" s="3491"/>
      <c r="G10" s="3491"/>
      <c r="H10" s="3491"/>
      <c r="I10" s="3491"/>
    </row>
    <row r="11" spans="1:9" ht="15">
      <c r="A11" s="3490" t="s">
        <v>927</v>
      </c>
      <c r="B11" s="3490"/>
      <c r="C11" s="3490"/>
      <c r="D11" s="3490" t="e">
        <f>结果表!D125</f>
        <v>#VALUE!</v>
      </c>
      <c r="E11" s="3490"/>
      <c r="F11" s="3490"/>
      <c r="G11" s="3490"/>
      <c r="H11" s="3490"/>
      <c r="I11" s="3490"/>
    </row>
    <row r="12" spans="1:9" ht="15.6">
      <c r="A12" s="3491" t="str">
        <f>结果表!A126</f>
        <v/>
      </c>
      <c r="B12" s="3491"/>
      <c r="C12" s="3491"/>
      <c r="D12" s="3491" t="str">
        <f>结果表!D126</f>
        <v>——</v>
      </c>
      <c r="E12" s="3491"/>
      <c r="F12" s="3491"/>
      <c r="G12" s="3491"/>
      <c r="H12" s="3491"/>
      <c r="I12" s="3491"/>
    </row>
    <row r="13" spans="1:9" ht="15.6" thickBot="1">
      <c r="A13" s="3495" t="s">
        <v>927</v>
      </c>
      <c r="B13" s="3495"/>
      <c r="C13" s="3495"/>
      <c r="D13" s="3495" t="e">
        <f>结果表!D127</f>
        <v>#VALUE!</v>
      </c>
      <c r="E13" s="3495"/>
      <c r="F13" s="3495"/>
      <c r="G13" s="3495"/>
      <c r="H13" s="3495"/>
      <c r="I13" s="3495"/>
    </row>
    <row r="14" spans="1:9" ht="14.4" thickTop="1">
      <c r="A14" s="3496" t="s">
        <v>932</v>
      </c>
      <c r="B14" s="3496"/>
      <c r="C14" s="3496"/>
      <c r="D14" s="3496"/>
      <c r="E14" s="3496"/>
      <c r="F14" s="3496"/>
      <c r="G14" s="3496"/>
      <c r="H14" s="3496"/>
      <c r="I14" s="3496"/>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45491</v>
      </c>
      <c r="D1" s="1300" t="s">
        <v>603</v>
      </c>
      <c r="E1" s="1295">
        <f>'数据-取费表'!B22</f>
        <v>2</v>
      </c>
      <c r="F1" s="1300" t="s">
        <v>604</v>
      </c>
      <c r="G1" s="1296">
        <f ca="1">INDIRECT("d"&amp;$K$1)/100</f>
        <v>3.4500000000000003E-2</v>
      </c>
      <c r="H1" s="1300" t="s">
        <v>634</v>
      </c>
      <c r="I1" s="1296">
        <f ca="1">F4/100</f>
        <v>1.4999999999999999E-2</v>
      </c>
      <c r="J1" s="1301">
        <f>IF(C1&gt;C13,0,MATCH(C1,C$13:C$113,-1))+IF(SUMIF(C13:C113,C1,D13:D113)=0,13,12)</f>
        <v>14</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3.95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8">
        <v>45495</v>
      </c>
      <c r="D13" s="2819">
        <v>3.35</v>
      </c>
      <c r="E13" s="2819">
        <f>D13</f>
        <v>3.35</v>
      </c>
      <c r="F13" s="2819">
        <f>D13</f>
        <v>3.35</v>
      </c>
      <c r="G13" s="2819">
        <f>D13</f>
        <v>3.35</v>
      </c>
      <c r="H13" s="2819">
        <v>3.85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3"/>
      <c r="C14" s="2815">
        <v>45342</v>
      </c>
      <c r="D14" s="2814">
        <v>3.45</v>
      </c>
      <c r="E14" s="2814">
        <f>D14</f>
        <v>3.45</v>
      </c>
      <c r="F14" s="2814">
        <f>D14</f>
        <v>3.45</v>
      </c>
      <c r="G14" s="2814">
        <f>D14</f>
        <v>3.45</v>
      </c>
      <c r="H14" s="2814">
        <v>3.95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3"/>
      <c r="C15" s="2815">
        <v>45159</v>
      </c>
      <c r="D15" s="2814">
        <v>3.45</v>
      </c>
      <c r="E15" s="2814">
        <f>D15</f>
        <v>3.45</v>
      </c>
      <c r="F15" s="2814">
        <f>D15</f>
        <v>3.45</v>
      </c>
      <c r="G15" s="2814">
        <f>D15</f>
        <v>3.45</v>
      </c>
      <c r="H15" s="2814">
        <v>4.2</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3"/>
      <c r="C16" s="2815">
        <v>45097</v>
      </c>
      <c r="D16" s="2814">
        <v>3.55</v>
      </c>
      <c r="E16" s="2814">
        <f>D16</f>
        <v>3.55</v>
      </c>
      <c r="F16" s="2814">
        <f>D16</f>
        <v>3.55</v>
      </c>
      <c r="G16" s="2814">
        <f>D16</f>
        <v>3.55</v>
      </c>
      <c r="H16" s="2814">
        <v>4.2</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3"/>
      <c r="C17" s="2815">
        <v>44795</v>
      </c>
      <c r="D17" s="2814">
        <v>3.65</v>
      </c>
      <c r="E17" s="2814">
        <v>3.65</v>
      </c>
      <c r="F17" s="2814">
        <v>3.65</v>
      </c>
      <c r="G17" s="2814">
        <v>3.65</v>
      </c>
      <c r="H17" s="2814">
        <v>4.3</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3"/>
      <c r="C18" s="2815">
        <v>44701</v>
      </c>
      <c r="D18" s="2814">
        <v>3.7</v>
      </c>
      <c r="E18" s="2814">
        <f>D18</f>
        <v>3.7</v>
      </c>
      <c r="F18" s="2814">
        <f>D18</f>
        <v>3.7</v>
      </c>
      <c r="G18" s="2814">
        <f>D18</f>
        <v>3.7</v>
      </c>
      <c r="H18" s="2814">
        <v>4.45</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2"/>
      <c r="B19" s="2813"/>
      <c r="C19" s="2815">
        <v>44581</v>
      </c>
      <c r="D19" s="2814">
        <v>3.7</v>
      </c>
      <c r="E19" s="2814">
        <f>D19</f>
        <v>3.7</v>
      </c>
      <c r="F19" s="2814">
        <f>D19</f>
        <v>3.7</v>
      </c>
      <c r="G19" s="2814">
        <f>D19</f>
        <v>3.7</v>
      </c>
      <c r="H19" s="2814">
        <v>4.5999999999999996</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4"/>
      <c r="C20" s="2815">
        <v>44550</v>
      </c>
      <c r="D20" s="2814">
        <v>3.8</v>
      </c>
      <c r="E20" s="2814">
        <f>D20</f>
        <v>3.8</v>
      </c>
      <c r="F20" s="2814">
        <f>D20</f>
        <v>3.8</v>
      </c>
      <c r="G20" s="2814">
        <f>D20</f>
        <v>3.8</v>
      </c>
      <c r="H20" s="2814">
        <v>4.6500000000000004</v>
      </c>
      <c r="I20" s="2814"/>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4"/>
      <c r="C21" s="2815">
        <v>43941</v>
      </c>
      <c r="D21" s="2814">
        <v>3.85</v>
      </c>
      <c r="E21" s="2814">
        <v>3.85</v>
      </c>
      <c r="F21" s="2814">
        <v>3.85</v>
      </c>
      <c r="G21" s="2814">
        <v>3.85</v>
      </c>
      <c r="H21" s="2814">
        <v>4.6500000000000004</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4"/>
      <c r="C22" s="2815">
        <v>43881</v>
      </c>
      <c r="D22" s="2814">
        <v>4.05</v>
      </c>
      <c r="E22" s="2814">
        <v>4.05</v>
      </c>
      <c r="F22" s="2814">
        <v>4.05</v>
      </c>
      <c r="G22" s="2814">
        <v>4.05</v>
      </c>
      <c r="H22" s="2814">
        <v>4.75</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20"/>
      <c r="B23" s="2814"/>
      <c r="C23" s="2815">
        <v>43789</v>
      </c>
      <c r="D23" s="2814">
        <v>4.1500000000000004</v>
      </c>
      <c r="E23" s="2814">
        <v>4.1500000000000004</v>
      </c>
      <c r="F23" s="2814">
        <v>4.1500000000000004</v>
      </c>
      <c r="G23" s="2814">
        <v>4.1500000000000004</v>
      </c>
      <c r="H23" s="2814">
        <v>4.8</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43728</v>
      </c>
      <c r="D24" s="2814">
        <v>4.2</v>
      </c>
      <c r="E24" s="2814">
        <v>4.2</v>
      </c>
      <c r="F24" s="2814">
        <v>4.2</v>
      </c>
      <c r="G24" s="2814">
        <v>4.2</v>
      </c>
      <c r="H24" s="2814">
        <v>4.8499999999999996</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ht="15.6">
      <c r="B25" s="2813" t="s">
        <v>2310</v>
      </c>
      <c r="C25" s="2816">
        <v>43697</v>
      </c>
      <c r="D25" s="2817">
        <v>4.25</v>
      </c>
      <c r="E25" s="2817">
        <v>4.25</v>
      </c>
      <c r="F25" s="2817">
        <v>4.25</v>
      </c>
      <c r="G25" s="2817">
        <v>4.25</v>
      </c>
      <c r="H25" s="2817">
        <v>4.8499999999999996</v>
      </c>
      <c r="I25" s="2817"/>
      <c r="J25" s="2817"/>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5.6">
      <c r="B26" s="2821"/>
      <c r="C26" s="2822">
        <v>42301</v>
      </c>
      <c r="D26" s="2823">
        <v>4.3499999999999996</v>
      </c>
      <c r="E26" s="2823">
        <v>4.3499999999999996</v>
      </c>
      <c r="F26" s="2823">
        <v>4.75</v>
      </c>
      <c r="G26" s="2823">
        <v>4.75</v>
      </c>
      <c r="H26" s="2823">
        <v>4.9000000000000004</v>
      </c>
      <c r="I26" s="2823"/>
      <c r="J26" s="2823"/>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42242</v>
      </c>
      <c r="D27" s="1288">
        <v>4.5999999999999996</v>
      </c>
      <c r="E27" s="1288">
        <v>4.5999999999999996</v>
      </c>
      <c r="F27" s="1288">
        <v>5</v>
      </c>
      <c r="G27" s="1288">
        <v>5</v>
      </c>
      <c r="H27" s="1288">
        <v>5.15</v>
      </c>
      <c r="I27" s="1288">
        <v>2.75</v>
      </c>
      <c r="J27" s="1288">
        <v>3.25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42183</v>
      </c>
      <c r="D28" s="1288">
        <v>4.8499999999999996</v>
      </c>
      <c r="E28" s="1288">
        <v>4.8499999999999996</v>
      </c>
      <c r="F28" s="1288">
        <v>5.25</v>
      </c>
      <c r="G28" s="1288">
        <v>5.25</v>
      </c>
      <c r="H28" s="1288">
        <v>5.4</v>
      </c>
      <c r="I28" s="1288">
        <v>3</v>
      </c>
      <c r="J28" s="1288">
        <v>3.5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42135</v>
      </c>
      <c r="D29" s="1288">
        <v>5.0999999999999996</v>
      </c>
      <c r="E29" s="1288">
        <v>5.0999999999999996</v>
      </c>
      <c r="F29" s="1288">
        <v>5.5</v>
      </c>
      <c r="G29" s="1288">
        <v>5.5</v>
      </c>
      <c r="H29" s="1288">
        <v>5.65</v>
      </c>
      <c r="I29" s="1288">
        <v>3.25</v>
      </c>
      <c r="J29" s="1288">
        <v>3.75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42064</v>
      </c>
      <c r="D30" s="1288">
        <v>5.35</v>
      </c>
      <c r="E30" s="1288">
        <v>5.35</v>
      </c>
      <c r="F30" s="1288">
        <v>5.75</v>
      </c>
      <c r="G30" s="1288">
        <v>5.75</v>
      </c>
      <c r="H30" s="1288">
        <v>5.9</v>
      </c>
      <c r="I30" s="1288"/>
      <c r="J30" s="1288"/>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41965</v>
      </c>
      <c r="D31" s="1288">
        <v>5.6</v>
      </c>
      <c r="E31" s="1288">
        <v>5.6</v>
      </c>
      <c r="F31" s="1288">
        <v>6</v>
      </c>
      <c r="G31" s="1288">
        <v>6</v>
      </c>
      <c r="H31" s="1288">
        <v>6.15</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41096</v>
      </c>
      <c r="D32" s="1288">
        <v>5.6</v>
      </c>
      <c r="E32" s="1288">
        <v>6</v>
      </c>
      <c r="F32" s="1288">
        <v>6.15</v>
      </c>
      <c r="G32" s="1288">
        <v>6.4</v>
      </c>
      <c r="H32" s="1288">
        <v>6.55</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41068</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40731</v>
      </c>
      <c r="D34" s="1288">
        <v>6.1</v>
      </c>
      <c r="E34" s="1288">
        <v>6.56</v>
      </c>
      <c r="F34" s="1288">
        <v>6.65</v>
      </c>
      <c r="G34" s="1288">
        <v>6.9</v>
      </c>
      <c r="H34" s="1288">
        <v>7.05</v>
      </c>
      <c r="I34" s="1288">
        <v>4.45</v>
      </c>
      <c r="J34" s="1288">
        <v>4.9000000000000004</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40639</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40583</v>
      </c>
      <c r="D36" s="1288">
        <v>5.6</v>
      </c>
      <c r="E36" s="1288">
        <v>6.06</v>
      </c>
      <c r="F36" s="1288">
        <v>6.1</v>
      </c>
      <c r="G36" s="1288">
        <v>6.45</v>
      </c>
      <c r="H36" s="1288">
        <v>6.6</v>
      </c>
      <c r="I36" s="1288">
        <v>4</v>
      </c>
      <c r="J36" s="1288">
        <v>4.5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40538</v>
      </c>
      <c r="D37" s="1288">
        <v>5.35</v>
      </c>
      <c r="E37" s="1288">
        <v>5.81</v>
      </c>
      <c r="F37" s="1288">
        <v>5.85</v>
      </c>
      <c r="G37" s="1288">
        <v>6.22</v>
      </c>
      <c r="H37" s="1288">
        <v>6.4</v>
      </c>
      <c r="I37" s="1288">
        <v>3.75</v>
      </c>
      <c r="J37" s="1288">
        <v>4.3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40471</v>
      </c>
      <c r="D38" s="1288">
        <v>5.0999999999999996</v>
      </c>
      <c r="E38" s="1288">
        <v>5.56</v>
      </c>
      <c r="F38" s="1288">
        <v>5.6</v>
      </c>
      <c r="G38" s="1288">
        <v>5.96</v>
      </c>
      <c r="H38" s="1288">
        <v>6.14</v>
      </c>
      <c r="I38" s="1288">
        <v>3.5</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39805</v>
      </c>
      <c r="D39" s="1288">
        <v>4.8600000000000003</v>
      </c>
      <c r="E39" s="1288">
        <v>5.31</v>
      </c>
      <c r="F39" s="1288">
        <v>5.4</v>
      </c>
      <c r="G39" s="1288">
        <v>5.76</v>
      </c>
      <c r="H39" s="1288">
        <v>5.94</v>
      </c>
      <c r="I39" s="1288">
        <v>3.33</v>
      </c>
      <c r="J39" s="1288">
        <v>3.87</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39779</v>
      </c>
      <c r="D40" s="1288">
        <v>5.04</v>
      </c>
      <c r="E40" s="1288">
        <v>5.58</v>
      </c>
      <c r="F40" s="1288">
        <v>5.67</v>
      </c>
      <c r="G40" s="1288">
        <v>5.94</v>
      </c>
      <c r="H40" s="1288">
        <v>6.12</v>
      </c>
      <c r="I40" s="1288">
        <v>3.51</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39751</v>
      </c>
      <c r="D41" s="1288">
        <v>6.03</v>
      </c>
      <c r="E41" s="1288">
        <v>6.66</v>
      </c>
      <c r="F41" s="1288">
        <v>6.75</v>
      </c>
      <c r="G41" s="1288">
        <v>7.02</v>
      </c>
      <c r="H41" s="1288">
        <v>7.2</v>
      </c>
      <c r="I41" s="1288">
        <v>4.05</v>
      </c>
      <c r="J41" s="1288">
        <v>4.59</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90">
        <v>39748</v>
      </c>
      <c r="D42" s="1288">
        <v>6.12</v>
      </c>
      <c r="E42" s="1288">
        <v>6.93</v>
      </c>
      <c r="F42" s="1288">
        <v>7.02</v>
      </c>
      <c r="G42" s="1288">
        <v>7.29</v>
      </c>
      <c r="H42" s="1288">
        <v>7.47</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39730</v>
      </c>
      <c r="D43" s="1288">
        <v>6.12</v>
      </c>
      <c r="E43" s="1288">
        <v>6.93</v>
      </c>
      <c r="F43" s="1288">
        <v>7.02</v>
      </c>
      <c r="G43" s="1288">
        <v>7.29</v>
      </c>
      <c r="H43" s="1288">
        <v>7.47</v>
      </c>
      <c r="I43" s="1288">
        <v>4.32</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39707</v>
      </c>
      <c r="D44" s="1288">
        <v>6.21</v>
      </c>
      <c r="E44" s="1288">
        <v>7.2</v>
      </c>
      <c r="F44" s="1288">
        <v>7.29</v>
      </c>
      <c r="G44" s="1288">
        <v>7.56</v>
      </c>
      <c r="H44" s="1288">
        <v>7.74</v>
      </c>
      <c r="I44" s="1288">
        <v>4.59</v>
      </c>
      <c r="J44" s="1288">
        <v>5.13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39437</v>
      </c>
      <c r="D45" s="1288">
        <v>6.57</v>
      </c>
      <c r="E45" s="1288">
        <v>7.47</v>
      </c>
      <c r="F45" s="1288">
        <v>7.56</v>
      </c>
      <c r="G45" s="1288">
        <v>7.74</v>
      </c>
      <c r="H45" s="1288">
        <v>7.83</v>
      </c>
      <c r="I45" s="1288">
        <v>4.7699999999999996</v>
      </c>
      <c r="J45" s="1288">
        <v>5.22</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39340</v>
      </c>
      <c r="D46" s="1288">
        <v>6.48</v>
      </c>
      <c r="E46" s="1288">
        <v>7.29</v>
      </c>
      <c r="F46" s="1288">
        <v>7.47</v>
      </c>
      <c r="G46" s="1288">
        <v>7.65</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39316</v>
      </c>
      <c r="D47" s="1288">
        <v>6.21</v>
      </c>
      <c r="E47" s="1288">
        <v>7.02</v>
      </c>
      <c r="F47" s="1288">
        <v>7.2</v>
      </c>
      <c r="G47" s="1288">
        <v>7.38</v>
      </c>
      <c r="H47" s="1288">
        <v>7.56</v>
      </c>
      <c r="I47" s="1288">
        <v>4.59</v>
      </c>
      <c r="J47" s="1288">
        <v>5.04</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39284</v>
      </c>
      <c r="D48" s="1288">
        <v>6.03</v>
      </c>
      <c r="E48" s="1288">
        <v>6.84</v>
      </c>
      <c r="F48" s="1288">
        <v>7.02</v>
      </c>
      <c r="G48" s="1288">
        <v>7.2</v>
      </c>
      <c r="H48" s="1288">
        <v>7.38</v>
      </c>
      <c r="I48" s="1288">
        <v>4.5</v>
      </c>
      <c r="J48" s="1288">
        <v>4.95</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39221</v>
      </c>
      <c r="D49" s="1288">
        <v>5.85</v>
      </c>
      <c r="E49" s="1288">
        <v>6.57</v>
      </c>
      <c r="F49" s="1288">
        <v>6.75</v>
      </c>
      <c r="G49" s="1288">
        <v>6.93</v>
      </c>
      <c r="H49" s="1288">
        <v>7.2</v>
      </c>
      <c r="I49" s="1288">
        <v>4.41</v>
      </c>
      <c r="J49" s="1288">
        <v>4.8600000000000003</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39159</v>
      </c>
      <c r="D50" s="1288">
        <v>5.67</v>
      </c>
      <c r="E50" s="1288">
        <v>6.39</v>
      </c>
      <c r="F50" s="1288">
        <v>6.57</v>
      </c>
      <c r="G50" s="1288">
        <v>6.75</v>
      </c>
      <c r="H50" s="1288">
        <v>7.11</v>
      </c>
      <c r="I50" s="1288">
        <v>4.32</v>
      </c>
      <c r="J50" s="1288">
        <v>4.7699999999999996</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38948</v>
      </c>
      <c r="D51" s="1288">
        <v>5.58</v>
      </c>
      <c r="E51" s="1288">
        <v>6.12</v>
      </c>
      <c r="F51" s="1288">
        <v>6.3</v>
      </c>
      <c r="G51" s="1288">
        <v>6.48</v>
      </c>
      <c r="H51" s="1288">
        <v>6.84</v>
      </c>
      <c r="I51" s="1288">
        <v>4.1399999999999997</v>
      </c>
      <c r="J51" s="1288">
        <v>4.59</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38835</v>
      </c>
      <c r="D52" s="1288">
        <v>5.4</v>
      </c>
      <c r="E52" s="1288">
        <v>5.85</v>
      </c>
      <c r="F52" s="1288">
        <v>6.03</v>
      </c>
      <c r="G52" s="1288">
        <v>6.12</v>
      </c>
      <c r="H52" s="1288">
        <v>6.39</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38428</v>
      </c>
      <c r="D53" s="1288">
        <v>5.22</v>
      </c>
      <c r="E53" s="1288">
        <v>5.58</v>
      </c>
      <c r="F53" s="1288">
        <v>5.76</v>
      </c>
      <c r="G53" s="1288">
        <v>5.85</v>
      </c>
      <c r="H53" s="1288">
        <v>6.12</v>
      </c>
      <c r="I53" s="1288">
        <v>3.96</v>
      </c>
      <c r="J53" s="1288">
        <v>4.41</v>
      </c>
      <c r="L53" s="1288"/>
      <c r="M53" s="1289"/>
      <c r="N53" s="1288"/>
      <c r="O53" s="1288"/>
      <c r="P53" s="1288"/>
      <c r="Q53" s="1288"/>
      <c r="R53" s="1288"/>
      <c r="S53" s="1288"/>
      <c r="T53" s="1288"/>
      <c r="U53" s="1288"/>
      <c r="V53" s="1288"/>
      <c r="W53" s="1288"/>
      <c r="X53" s="1288"/>
      <c r="Y53" s="1288"/>
      <c r="Z53" s="1288"/>
    </row>
    <row r="54" spans="2:26">
      <c r="B54" s="1288"/>
      <c r="C54" s="1289">
        <v>38289</v>
      </c>
      <c r="D54" s="1288">
        <v>5.22</v>
      </c>
      <c r="E54" s="1288">
        <v>5.58</v>
      </c>
      <c r="F54" s="1288">
        <v>5.76</v>
      </c>
      <c r="G54" s="1288">
        <v>5.85</v>
      </c>
      <c r="H54" s="1288">
        <v>6.12</v>
      </c>
      <c r="I54" s="1288">
        <v>3.78</v>
      </c>
      <c r="J54" s="1288">
        <v>4.2300000000000004</v>
      </c>
      <c r="L54" s="1288"/>
      <c r="M54" s="1289"/>
      <c r="N54" s="1288"/>
      <c r="O54" s="1288"/>
      <c r="P54" s="1288"/>
      <c r="Q54" s="1288"/>
      <c r="R54" s="1288"/>
      <c r="S54" s="1288"/>
      <c r="T54" s="1288"/>
      <c r="U54" s="1288"/>
      <c r="V54" s="1288"/>
      <c r="W54" s="1288"/>
      <c r="X54" s="1288"/>
      <c r="Y54" s="1288"/>
      <c r="Z54" s="1288"/>
    </row>
    <row r="55" spans="2:26">
      <c r="B55" s="1288"/>
      <c r="C55" s="1289">
        <v>37308</v>
      </c>
      <c r="D55" s="1288">
        <v>5.04</v>
      </c>
      <c r="E55" s="1288">
        <v>5.31</v>
      </c>
      <c r="F55" s="1288">
        <v>5.49</v>
      </c>
      <c r="G55" s="1288">
        <v>5.58</v>
      </c>
      <c r="H55" s="1288">
        <v>5.76</v>
      </c>
      <c r="I55" s="1288">
        <v>3.6</v>
      </c>
      <c r="J55" s="1288">
        <v>4.05</v>
      </c>
      <c r="L55" s="1288"/>
      <c r="M55" s="1289"/>
      <c r="N55" s="1288"/>
      <c r="O55" s="1288"/>
      <c r="P55" s="1288"/>
      <c r="Q55" s="1288"/>
      <c r="R55" s="1288"/>
      <c r="S55" s="1288"/>
      <c r="T55" s="1288"/>
      <c r="U55" s="1288"/>
      <c r="V55" s="1288"/>
      <c r="W55" s="1288"/>
      <c r="X55" s="1288"/>
      <c r="Y55" s="1288"/>
      <c r="Z55" s="1288"/>
    </row>
    <row r="56" spans="2:26">
      <c r="B56" s="1288"/>
      <c r="C56" s="1289">
        <v>36321</v>
      </c>
      <c r="D56" s="1288">
        <v>5.58</v>
      </c>
      <c r="E56" s="1288">
        <v>5.85</v>
      </c>
      <c r="F56" s="1288">
        <v>5.94</v>
      </c>
      <c r="G56" s="1288">
        <v>6.03</v>
      </c>
      <c r="H56" s="1288">
        <v>6.21</v>
      </c>
      <c r="I56" s="1288">
        <v>4.1399999999999997</v>
      </c>
      <c r="J56" s="1288">
        <v>4.59</v>
      </c>
      <c r="L56" s="1288"/>
      <c r="M56" s="1289"/>
      <c r="N56" s="1288"/>
      <c r="O56" s="1288"/>
      <c r="P56" s="1288"/>
      <c r="Q56" s="1288"/>
      <c r="R56" s="1288"/>
      <c r="S56" s="1288"/>
      <c r="T56" s="1288"/>
      <c r="U56" s="1288"/>
      <c r="V56" s="1288"/>
      <c r="W56" s="1288"/>
      <c r="X56" s="1288"/>
      <c r="Y56" s="1288"/>
      <c r="Z56" s="1288"/>
    </row>
    <row r="57" spans="2:26">
      <c r="B57" s="1288"/>
      <c r="C57" s="1289">
        <v>36136</v>
      </c>
      <c r="D57" s="1288">
        <v>6.12</v>
      </c>
      <c r="E57" s="1288">
        <v>6.39</v>
      </c>
      <c r="F57" s="1288">
        <v>6.66</v>
      </c>
      <c r="G57" s="1288">
        <v>7.2</v>
      </c>
      <c r="H57" s="1288">
        <v>7.56</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35977</v>
      </c>
      <c r="D58" s="1288">
        <v>6.57</v>
      </c>
      <c r="E58" s="1288">
        <v>6.93</v>
      </c>
      <c r="F58" s="1288">
        <v>7.11</v>
      </c>
      <c r="G58" s="1288">
        <v>7.65</v>
      </c>
      <c r="H58" s="1288">
        <v>8.01</v>
      </c>
      <c r="I58" s="1288">
        <v>0</v>
      </c>
      <c r="J58" s="1288">
        <v>0</v>
      </c>
    </row>
    <row r="59" spans="2:26">
      <c r="B59" s="1288"/>
      <c r="C59" s="1289">
        <v>35879</v>
      </c>
      <c r="D59" s="1288">
        <v>7.02</v>
      </c>
      <c r="E59" s="1288">
        <v>7.92</v>
      </c>
      <c r="F59" s="1288">
        <v>9</v>
      </c>
      <c r="G59" s="1288">
        <v>9.7200000000000006</v>
      </c>
      <c r="H59" s="1288">
        <v>10.35</v>
      </c>
      <c r="I59" s="1288">
        <v>0</v>
      </c>
      <c r="J59" s="1288">
        <v>0</v>
      </c>
    </row>
    <row r="60" spans="2:26">
      <c r="B60" s="1288"/>
      <c r="C60" s="1289">
        <v>35726</v>
      </c>
      <c r="D60" s="1288">
        <v>7.65</v>
      </c>
      <c r="E60" s="1288">
        <v>8.64</v>
      </c>
      <c r="F60" s="1288">
        <v>9.36</v>
      </c>
      <c r="G60" s="1288">
        <v>9.9</v>
      </c>
      <c r="H60" s="1288">
        <v>10.53</v>
      </c>
      <c r="I60" s="1288">
        <v>0</v>
      </c>
      <c r="J60" s="1288">
        <v>0</v>
      </c>
    </row>
    <row r="61" spans="2:26">
      <c r="B61" s="1288"/>
      <c r="C61" s="1289">
        <v>35300</v>
      </c>
      <c r="D61" s="1288">
        <v>9.18</v>
      </c>
      <c r="E61" s="1288">
        <v>10.08</v>
      </c>
      <c r="F61" s="1288">
        <v>10.98</v>
      </c>
      <c r="G61" s="1288">
        <v>11.7</v>
      </c>
      <c r="H61" s="1288">
        <v>12.42</v>
      </c>
      <c r="I61" s="1288">
        <v>0</v>
      </c>
      <c r="J61" s="1288">
        <v>0</v>
      </c>
    </row>
    <row r="62" spans="2:26">
      <c r="B62" s="1288"/>
      <c r="C62" s="1289">
        <v>35186</v>
      </c>
      <c r="D62" s="1288">
        <v>9.7200000000000006</v>
      </c>
      <c r="E62" s="1288">
        <v>10.98</v>
      </c>
      <c r="F62" s="1288">
        <v>13.14</v>
      </c>
      <c r="G62" s="1288">
        <v>14.94</v>
      </c>
      <c r="H62" s="1288">
        <v>15.12</v>
      </c>
      <c r="I62" s="1288">
        <v>0</v>
      </c>
      <c r="J62" s="1288">
        <v>0</v>
      </c>
    </row>
    <row r="63" spans="2:26">
      <c r="B63" s="1288"/>
      <c r="C63" s="1289">
        <v>34881</v>
      </c>
      <c r="D63" s="1288">
        <v>10.08</v>
      </c>
      <c r="E63" s="1288">
        <v>12.06</v>
      </c>
      <c r="F63" s="1288">
        <v>13.5</v>
      </c>
      <c r="G63" s="1288">
        <v>15.12</v>
      </c>
      <c r="H63" s="1288">
        <v>15.3</v>
      </c>
      <c r="I63" s="1288">
        <v>0</v>
      </c>
      <c r="J63" s="1288">
        <v>0</v>
      </c>
    </row>
    <row r="64" spans="2:26">
      <c r="B64" s="1288"/>
      <c r="C64" s="1289">
        <v>34700</v>
      </c>
      <c r="D64" s="1288">
        <v>9</v>
      </c>
      <c r="E64" s="1288">
        <v>10.98</v>
      </c>
      <c r="F64" s="1288">
        <v>12.96</v>
      </c>
      <c r="G64" s="1288">
        <v>14.58</v>
      </c>
      <c r="H64" s="1288">
        <v>14.76</v>
      </c>
      <c r="I64" s="1288">
        <v>0</v>
      </c>
      <c r="J64" s="1288">
        <v>0</v>
      </c>
    </row>
    <row r="65" spans="2:10">
      <c r="B65" s="1288"/>
      <c r="C65" s="1289">
        <v>34161</v>
      </c>
      <c r="D65" s="1288">
        <v>9</v>
      </c>
      <c r="E65" s="1288">
        <v>10.98</v>
      </c>
      <c r="F65" s="1288">
        <v>12.24</v>
      </c>
      <c r="G65" s="1288">
        <v>13.86</v>
      </c>
      <c r="H65" s="1288">
        <v>14.04</v>
      </c>
      <c r="I65" s="1288">
        <v>0</v>
      </c>
      <c r="J65" s="1288">
        <v>0</v>
      </c>
    </row>
    <row r="66" spans="2:10">
      <c r="B66" s="1288"/>
      <c r="C66" s="1289">
        <v>34104</v>
      </c>
      <c r="D66" s="1288">
        <v>8.82</v>
      </c>
      <c r="E66" s="1288">
        <v>9.36</v>
      </c>
      <c r="F66" s="1288">
        <v>10.8</v>
      </c>
      <c r="G66" s="1288">
        <v>12.06</v>
      </c>
      <c r="H66" s="1288">
        <v>12.24</v>
      </c>
      <c r="I66" s="1288">
        <v>0</v>
      </c>
      <c r="J66" s="1288">
        <v>0</v>
      </c>
    </row>
    <row r="67" spans="2:10">
      <c r="B67" s="1288"/>
      <c r="C67" s="1289">
        <v>33349</v>
      </c>
      <c r="D67" s="1288">
        <v>8.1</v>
      </c>
      <c r="E67" s="1288">
        <v>8.64</v>
      </c>
      <c r="F67" s="1288">
        <v>9</v>
      </c>
      <c r="G67" s="1288">
        <v>9.5399999999999991</v>
      </c>
      <c r="H67" s="1288">
        <v>9.7200000000000006</v>
      </c>
      <c r="I67" s="1288">
        <v>0</v>
      </c>
      <c r="J67" s="1288">
        <v>0</v>
      </c>
    </row>
    <row r="68" spans="2:10">
      <c r="B68" s="1288"/>
      <c r="C68" s="1289">
        <v>33318</v>
      </c>
      <c r="D68" s="1288">
        <v>9</v>
      </c>
      <c r="E68" s="1288">
        <v>10.08</v>
      </c>
      <c r="F68" s="1288">
        <v>10.8</v>
      </c>
      <c r="G68" s="1288">
        <v>11.52</v>
      </c>
      <c r="H68" s="1288">
        <v>11.88</v>
      </c>
      <c r="I68" s="1288" t="s">
        <v>633</v>
      </c>
      <c r="J68" s="1288" t="s">
        <v>633</v>
      </c>
    </row>
    <row r="69" spans="2:10">
      <c r="B69" s="1288"/>
      <c r="C69" s="1289">
        <v>33106</v>
      </c>
      <c r="D69" s="1288">
        <v>8.64</v>
      </c>
      <c r="E69" s="1288">
        <v>9.36</v>
      </c>
      <c r="F69" s="1288">
        <v>10.08</v>
      </c>
      <c r="G69" s="1288">
        <v>10.8</v>
      </c>
      <c r="H69" s="1288">
        <v>11.16</v>
      </c>
      <c r="I69" s="1288">
        <v>0</v>
      </c>
      <c r="J69" s="1288">
        <v>0</v>
      </c>
    </row>
    <row r="70" spans="2:10">
      <c r="B70" s="1288"/>
      <c r="C70" s="1289">
        <v>32540</v>
      </c>
      <c r="D70" s="1288">
        <v>11.34</v>
      </c>
      <c r="E70" s="1288">
        <v>11.34</v>
      </c>
      <c r="F70" s="1288">
        <v>12.78</v>
      </c>
      <c r="G70" s="1288">
        <v>14.4</v>
      </c>
      <c r="H70" s="1288">
        <v>19.260000000000002</v>
      </c>
      <c r="I70" s="1288">
        <v>0</v>
      </c>
      <c r="J70" s="1288">
        <v>0</v>
      </c>
    </row>
    <row r="71" spans="2:10">
      <c r="B71" s="1288"/>
      <c r="C71" s="1289"/>
      <c r="D71" s="1288"/>
      <c r="E71" s="1288"/>
      <c r="F71" s="1288"/>
      <c r="G71" s="1288"/>
      <c r="H71" s="1288"/>
      <c r="I71" s="1288"/>
      <c r="J71" s="1288"/>
    </row>
    <row r="72" spans="2:10">
      <c r="B72" s="1291"/>
      <c r="C72" s="1292"/>
      <c r="D72" s="1291"/>
      <c r="E72" s="1291"/>
      <c r="F72" s="1291"/>
      <c r="G72" s="1291"/>
      <c r="H72" s="1291"/>
      <c r="I72" s="1291"/>
      <c r="J72" s="1291"/>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40"/>
      <c r="C75" s="1240"/>
      <c r="D75" s="1240"/>
      <c r="E75" s="1240"/>
      <c r="F75" s="1240"/>
      <c r="G75" s="1240"/>
      <c r="H75" s="1240"/>
      <c r="I75" s="1240"/>
      <c r="J75" s="1240"/>
    </row>
    <row r="76" spans="2:10">
      <c r="B76" s="1240"/>
      <c r="C76" s="1240"/>
      <c r="D76" s="1240"/>
      <c r="E76" s="1240"/>
      <c r="F76" s="1240"/>
      <c r="G76" s="1240"/>
      <c r="H76" s="1240"/>
      <c r="I76" s="1240"/>
      <c r="J76"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497" t="s">
        <v>949</v>
      </c>
      <c r="B1" s="3497"/>
      <c r="C1" s="3497"/>
      <c r="D1" s="3497"/>
    </row>
    <row r="2" spans="1:4" ht="17.399999999999999">
      <c r="A2" s="3498" t="s">
        <v>933</v>
      </c>
      <c r="B2" s="3498"/>
      <c r="C2" s="3498"/>
      <c r="D2" s="3498"/>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498" t="s">
        <v>939</v>
      </c>
      <c r="B6" s="3498"/>
      <c r="C6" s="3498"/>
      <c r="D6" s="3498"/>
    </row>
    <row r="7" spans="1:4" ht="17.399999999999999">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7.399999999999999">
      <c r="A10" s="1514" t="s">
        <v>941</v>
      </c>
      <c r="B10" s="673"/>
      <c r="C10" s="673"/>
      <c r="D10" s="673"/>
    </row>
    <row r="11" spans="1:4" ht="30" customHeight="1">
      <c r="A11" s="3499" t="s">
        <v>942</v>
      </c>
      <c r="B11" s="3500"/>
      <c r="C11" s="3500"/>
      <c r="D11" s="3500"/>
    </row>
    <row r="12" spans="1:4" ht="15.6">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1"/>
      <c r="C12" s="3501"/>
      <c r="D12" s="3501"/>
    </row>
    <row r="13" spans="1:4" ht="30" customHeight="1">
      <c r="A13" s="3500" t="str">
        <f>IF(项目基本情况!B8="抵押","3.抵押双方在办理抵押登记手续时，应使用本公司出具的正式《房地产评估报告》，特提醒报告使用者注意。","——")</f>
        <v>——</v>
      </c>
      <c r="B13" s="3501"/>
      <c r="C13" s="3501"/>
      <c r="D13" s="3501"/>
    </row>
    <row r="14" spans="1:4" ht="15.75" customHeight="1">
      <c r="A14" s="3500" t="str">
        <f>IF(项目基本情况!B8="抵押","4.本次评估估价师所知悉的法定优先受偿款情况说明如下：","——")</f>
        <v>——</v>
      </c>
      <c r="B14" s="3501"/>
      <c r="C14" s="3501"/>
      <c r="D14" s="3501"/>
    </row>
    <row r="15" spans="1:4" ht="42" customHeight="1">
      <c r="A15" s="3500" t="str">
        <f>IF(项目基本情况!B8="抵押","（1）"&amp;CONCATENATE(项目基本情况!L20,项目基本情况!L21,项目基本情况!L22),"——")</f>
        <v>——</v>
      </c>
      <c r="B15" s="3500"/>
      <c r="C15" s="3500"/>
      <c r="D15" s="3500"/>
    </row>
    <row r="16" spans="1:4" ht="30" customHeight="1">
      <c r="A16" s="3503" t="s">
        <v>943</v>
      </c>
      <c r="B16" s="3503"/>
      <c r="C16" s="3503"/>
      <c r="D16" s="3503"/>
    </row>
    <row r="17" spans="1:4" ht="144" customHeight="1">
      <c r="A17" s="3503" t="s">
        <v>944</v>
      </c>
      <c r="B17" s="3503"/>
      <c r="C17" s="3503"/>
      <c r="D17" s="3503"/>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11" t="s">
        <v>956</v>
      </c>
      <c r="B15" s="3506" t="s">
        <v>109</v>
      </c>
      <c r="C15" s="3507"/>
    </row>
    <row r="16" spans="1:7" ht="14.4">
      <c r="A16" s="3512"/>
      <c r="B16" s="3506" t="s">
        <v>42</v>
      </c>
      <c r="C16" s="3507"/>
    </row>
    <row r="17" spans="1:3" ht="14.4">
      <c r="A17" s="3512"/>
      <c r="B17" s="3509" t="s">
        <v>957</v>
      </c>
      <c r="C17" s="1530" t="s">
        <v>956</v>
      </c>
    </row>
    <row r="18" spans="1:3" ht="14.4">
      <c r="A18" s="3512"/>
      <c r="B18" s="3509"/>
      <c r="C18" s="1530" t="s">
        <v>958</v>
      </c>
    </row>
    <row r="19" spans="1:3" ht="14.4">
      <c r="A19" s="3512"/>
      <c r="B19" s="3509"/>
      <c r="C19" s="1530" t="s">
        <v>959</v>
      </c>
    </row>
    <row r="20" spans="1:3" ht="14.4">
      <c r="A20" s="3513"/>
      <c r="B20" s="3508" t="s">
        <v>960</v>
      </c>
      <c r="C20" s="3507"/>
    </row>
    <row r="21" spans="1:3" ht="14.4">
      <c r="A21" s="1531" t="s">
        <v>961</v>
      </c>
      <c r="B21" s="1532"/>
      <c r="C21" s="1533"/>
    </row>
    <row r="22" spans="1:3" ht="14.4">
      <c r="A22" s="3510" t="s">
        <v>962</v>
      </c>
      <c r="B22" s="3508" t="s">
        <v>963</v>
      </c>
      <c r="C22" s="3507"/>
    </row>
    <row r="23" spans="1:3" ht="14.4">
      <c r="A23" s="3510"/>
      <c r="B23" s="3508" t="s">
        <v>964</v>
      </c>
      <c r="C23" s="3507"/>
    </row>
    <row r="24" spans="1:3" ht="14.4">
      <c r="A24" s="3510"/>
      <c r="B24" s="3508" t="s">
        <v>965</v>
      </c>
      <c r="C24" s="3507"/>
    </row>
    <row r="25" spans="1:3" ht="14.4">
      <c r="A25" s="3510"/>
      <c r="B25" s="3509" t="s">
        <v>966</v>
      </c>
      <c r="C25" s="1530" t="s">
        <v>967</v>
      </c>
    </row>
    <row r="26" spans="1:3" ht="14.4">
      <c r="A26" s="3510"/>
      <c r="B26" s="3509"/>
      <c r="C26" s="1530" t="s">
        <v>968</v>
      </c>
    </row>
    <row r="27" spans="1:3" ht="14.4">
      <c r="A27" s="3510"/>
      <c r="B27" s="3509"/>
      <c r="C27" s="1530" t="s">
        <v>969</v>
      </c>
    </row>
    <row r="28" spans="1:3" ht="14.4">
      <c r="A28" s="3510"/>
      <c r="B28" s="3509"/>
      <c r="C28" s="1530" t="s">
        <v>970</v>
      </c>
    </row>
    <row r="29" spans="1:3" ht="14.4">
      <c r="A29" s="3510"/>
      <c r="B29" s="3509"/>
      <c r="C29" s="1530" t="s">
        <v>971</v>
      </c>
    </row>
    <row r="30" spans="1:3" ht="14.4">
      <c r="A30" s="3510"/>
      <c r="B30" s="3509"/>
      <c r="C30" s="1530" t="s">
        <v>972</v>
      </c>
    </row>
    <row r="31" spans="1:3" ht="14.4">
      <c r="A31" s="3510"/>
      <c r="B31" s="3509"/>
      <c r="C31" s="1530" t="s">
        <v>973</v>
      </c>
    </row>
    <row r="32" spans="1:3" ht="14.4">
      <c r="A32" s="3510"/>
      <c r="B32" s="3509"/>
      <c r="C32" s="1530" t="s">
        <v>974</v>
      </c>
    </row>
    <row r="33" spans="1:3" ht="14.4">
      <c r="A33" s="3510"/>
      <c r="B33" s="3509"/>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2138</v>
      </c>
      <c r="B2" s="2336">
        <f ca="1">TODAY()</f>
        <v>45519</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2437</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14" t="s">
        <v>2159</v>
      </c>
      <c r="B17" s="3514"/>
      <c r="C17" s="3514"/>
      <c r="D17" s="3514"/>
      <c r="E17" s="3514"/>
      <c r="F17" s="3514"/>
      <c r="G17" s="3514"/>
      <c r="H17" s="3514"/>
    </row>
    <row r="18" spans="1:8" ht="24" customHeight="1">
      <c r="A18" s="3515" t="s">
        <v>2160</v>
      </c>
      <c r="B18" s="3515"/>
      <c r="C18" s="3515"/>
      <c r="D18" s="2340"/>
      <c r="E18" s="3516" t="s">
        <v>2161</v>
      </c>
      <c r="F18" s="3515"/>
      <c r="G18" s="3515"/>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Sheet2</vt:lpstr>
      <vt:lpstr>结果表</vt:lpstr>
      <vt:lpstr>成本法</vt:lpstr>
      <vt:lpstr>租金案例</vt:lpstr>
      <vt:lpstr>销售价格</vt:lpstr>
      <vt:lpstr>法拍</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2024-08-15T08:19:22Z</dcterms:modified>
</cp:coreProperties>
</file>