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1" i="40" l="1"/>
  <c r="G11" i="40"/>
  <c r="E11" i="40"/>
  <c r="E41" i="40"/>
  <c r="I34" i="40"/>
  <c r="I7" i="40"/>
  <c r="I6" i="40"/>
  <c r="G34" i="40"/>
  <c r="E34" i="40"/>
  <c r="G7" i="40"/>
  <c r="E7" i="40"/>
  <c r="G6" i="40"/>
  <c r="E6" i="40"/>
  <c r="AS8" i="77"/>
  <c r="AS7" i="77"/>
  <c r="AS6" i="77"/>
  <c r="AS5" i="77"/>
  <c r="AS4" i="77"/>
  <c r="AS3" i="77"/>
  <c r="AS2" i="77"/>
  <c r="N7" i="1" l="1"/>
  <c r="N6" i="1"/>
  <c r="A14" i="3" l="1"/>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11" i="76"/>
  <c r="B11" i="76"/>
  <c r="B10" i="76"/>
  <c r="B12" i="76"/>
  <c r="B8" i="76"/>
  <c r="B13" i="76"/>
  <c r="B7" i="76"/>
  <c r="E12" i="76"/>
  <c r="E10" i="76"/>
  <c r="E13" i="76"/>
  <c r="E9" i="76"/>
  <c r="E7" i="76"/>
  <c r="E8"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6" i="73"/>
  <c r="D5" i="73"/>
  <c r="D6" i="73"/>
  <c r="D3" i="73"/>
  <c r="F3"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15"/>
  <c r="M6" i="67"/>
  <c r="G1" i="73"/>
  <c r="C76" i="15"/>
  <c r="F13" i="15"/>
  <c r="F6" i="67"/>
  <c r="J15" i="15"/>
  <c r="F40" i="67"/>
  <c r="F43" i="15"/>
  <c r="F43" i="67"/>
  <c r="J15" i="67"/>
  <c r="M26" i="67"/>
  <c r="F37" i="15"/>
  <c r="F42" i="67"/>
  <c r="M29" i="15"/>
  <c r="F13" i="67"/>
  <c r="C76" i="67"/>
  <c r="F26" i="67"/>
  <c r="F36" i="15"/>
  <c r="F37" i="67"/>
  <c r="M8" i="67"/>
  <c r="M23" i="67"/>
  <c r="M26" i="15"/>
  <c r="F38" i="67"/>
  <c r="F7" i="67"/>
  <c r="M28" i="67"/>
  <c r="F38" i="15"/>
  <c r="F8" i="15"/>
  <c r="F6" i="15"/>
  <c r="F26" i="15"/>
  <c r="M22" i="15"/>
  <c r="M22" i="67"/>
  <c r="F36" i="67"/>
  <c r="M29" i="67"/>
  <c r="L48" i="67"/>
  <c r="M6" i="15"/>
  <c r="F42" i="15"/>
  <c r="F7" i="15"/>
  <c r="M8" i="15"/>
  <c r="M24" i="67"/>
  <c r="F16" i="15"/>
  <c r="L48" i="15"/>
  <c r="M28" i="15"/>
  <c r="L47" i="67"/>
  <c r="M9" i="67"/>
  <c r="F8" i="67"/>
  <c r="F40" i="15"/>
  <c r="L47" i="15"/>
  <c r="F16" i="67"/>
  <c r="M23" i="15"/>
  <c r="F9" i="15"/>
  <c r="F9" i="67"/>
  <c r="M24" i="15"/>
  <c r="E4" i="4" l="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6" i="15"/>
  <c r="C17" i="15"/>
  <c r="C16" i="67"/>
  <c r="K4" i="4" l="1"/>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C11" i="40"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67"/>
  <c r="F35" i="15"/>
  <c r="H11" i="40" l="1"/>
  <c r="J11" i="40"/>
  <c r="F11" i="40"/>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W11" i="40" l="1"/>
  <c r="AC11" i="40"/>
  <c r="AA11" i="40"/>
  <c r="S11" i="40"/>
  <c r="AB11" i="40"/>
  <c r="U11" i="40"/>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E2" i="68"/>
  <c r="D2" i="35"/>
  <c r="D2" i="33"/>
  <c r="D2" i="36"/>
  <c r="D2" i="34"/>
  <c r="D2" i="21"/>
  <c r="F20" i="31"/>
  <c r="D2" i="37"/>
  <c r="C19" i="9"/>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<sst xmlns="http://schemas.openxmlformats.org/spreadsheetml/2006/main" count="7764" uniqueCount="3259">
  <si>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</si>
  <si>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</si>
  <si>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</si>
  <si>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</si>
  <si>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</si>
  <si>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</si>
  <si>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</si>
  <si>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</si>
  <si>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</si>
  <si>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</si>
  <si>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</si>
  <si>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</si>
  <si>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</si>
  <si>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</si>
  <si>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</si>
  <si>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</si>
  <si>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</si>
  <si>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</si>
  <si>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</si>
  <si>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</si>
  <si>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</si>
  <si>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</si>
  <si>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</si>
  <si>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</si>
  <si>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</si>
  <si>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</si>
  <si>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</si>
  <si>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</si>
  <si>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</si>
  <si>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</si>
  <si>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</si>
  <si>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</si>
  <si>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</si>
  <si>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</si>
  <si>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</si>
  <si>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</si>
  <si>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</si>
  <si>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</si>
  <si>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</si>
  <si>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</si>
  <si>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</si>
  <si>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</si>
  <si>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</si>
  <si>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</si>
  <si>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</si>
  <si>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</si>
  <si>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</si>
  <si>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</si>
  <si>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</si>
  <si>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</si>
  <si>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</si>
  <si>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</si>
  <si>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</si>
  <si>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</si>
  <si>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</si>
  <si>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</si>
  <si>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</si>
  <si>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</si>
  <si>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</si>
  <si>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</si>
  <si>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</si>
  <si>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</si>
  <si>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</si>
  <si>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</si>
  <si>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</si>
  <si>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</si>
  <si>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</si>
  <si>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</si>
  <si>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</si>
  <si>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</si>
  <si>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</si>
  <si>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</si>
  <si>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</si>
  <si>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</si>
  <si>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</si>
  <si>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</si>
  <si>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</si>
  <si>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</si>
  <si>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</si>
  <si>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</si>
  <si>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</si>
  <si>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</si>
  <si>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</si>
  <si>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</si>
  <si>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</si>
  <si>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</si>
  <si>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</si>
  <si>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</si>
  <si>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</si>
  <si>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</si>
  <si>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</si>
  <si>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</si>
  <si>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</si>
  <si>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</si>
  <si>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</si>
  <si>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</si>
  <si>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</si>
  <si>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</si>
  <si>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</si>
  <si>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</si>
  <si>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</si>
  <si>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</si>
  <si>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</si>
  <si>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</si>
  <si>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</si>
  <si>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</si>
  <si>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</si>
  <si>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</si>
  <si>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</si>
  <si>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</si>
  <si>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</si>
  <si>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</si>
  <si>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</si>
  <si>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</si>
  <si>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</si>
  <si>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</si>
  <si>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</si>
  <si>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</si>
  <si>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</si>
  <si>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</si>
  <si>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</si>
  <si>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</si>
  <si>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</si>
  <si>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</si>
  <si>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</si>
  <si>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</si>
  <si>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</si>
  <si>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</si>
  <si>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</si>
  <si>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</si>
  <si>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</si>
  <si>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</si>
  <si>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</si>
  <si>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</si>
  <si>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</si>
  <si>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</si>
  <si>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</si>
  <si>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</si>
  <si>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</si>
  <si>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</si>
  <si>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</si>
  <si>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</si>
  <si>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</si>
  <si>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</si>
  <si>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</si>
  <si>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</si>
  <si>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</si>
  <si>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</si>
  <si>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</si>
  <si>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</si>
  <si>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</si>
  <si>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</si>
  <si>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</si>
  <si>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</si>
  <si>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</si>
  <si>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</si>
  <si>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</si>
  <si>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</si>
  <si>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</si>
  <si>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</si>
  <si>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</si>
  <si>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</si>
  <si>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</si>
  <si>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</si>
  <si>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</si>
  <si>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</si>
  <si>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</si>
  <si>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</si>
  <si>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</si>
  <si>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</si>
  <si>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</si>
  <si>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</si>
  <si>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</si>
  <si>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</si>
  <si>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</si>
  <si>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</si>
  <si>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</si>
  <si>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</si>
  <si>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</si>
  <si>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</si>
  <si>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</si>
  <si>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</si>
  <si>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</si>
  <si>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</si>
  <si>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</si>
  <si>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</si>
  <si>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</si>
  <si>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</si>
  <si>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</si>
  <si>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</si>
  <si>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</si>
  <si>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</si>
  <si>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</si>
  <si>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</si>
  <si>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</si>
  <si>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</si>
  <si>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</si>
  <si>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</si>
  <si>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</si>
  <si>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</si>
  <si>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</si>
  <si>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</si>
  <si>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</si>
  <si>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</si>
  <si>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</si>
  <si>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</si>
  <si>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</si>
  <si>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</si>
  <si>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</si>
  <si>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</si>
  <si>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</si>
  <si>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</si>
  <si>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</si>
  <si>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</si>
  <si>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</si>
  <si>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</si>
  <si>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</si>
  <si>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</si>
  <si>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</si>
  <si>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</si>
  <si>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</si>
  <si>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</si>
  <si>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</si>
  <si>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</si>
  <si>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</si>
  <si>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</si>
  <si>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</si>
  <si>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</si>
  <si>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</si>
  <si>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</si>
  <si>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</si>
  <si>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</si>
  <si>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</si>
  <si>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</si>
  <si>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</si>
  <si>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</si>
  <si>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</si>
  <si>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</si>
  <si>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</si>
  <si>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</si>
  <si>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</si>
  <si>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</si>
  <si>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</si>
  <si>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</si>
  <si>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</si>
  <si>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</si>
  <si>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</si>
  <si>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</si>
  <si>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</si>
  <si>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</si>
  <si>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</si>
  <si>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</si>
  <si>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</si>
  <si>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</si>
  <si>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</si>
  <si>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</si>
  <si>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</si>
  <si>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</si>
  <si>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</si>
  <si>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</si>
  <si>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</si>
  <si>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</si>
  <si>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</si>
  <si>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</si>
  <si>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</si>
  <si>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</si>
  <si>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</si>
  <si>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</si>
  <si>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</si>
  <si>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</si>
  <si>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</si>
  <si>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</si>
  <si>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</si>
  <si>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</si>
  <si>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</si>
  <si>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</si>
  <si>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</si>
  <si>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</si>
  <si>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</si>
  <si>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</si>
  <si>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</si>
  <si>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</si>
  <si>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</si>
  <si>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</si>
  <si>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</si>
  <si>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</si>
  <si>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</si>
  <si>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</si>
  <si>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</si>
  <si>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</si>
  <si>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</si>
  <si>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</si>
  <si>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</si>
  <si>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</si>
  <si>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</si>
  <si>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</si>
  <si>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</si>
  <si>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</si>
  <si>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</si>
  <si>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</si>
  <si>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</si>
  <si>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</si>
  <si>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</si>
  <si>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</si>
  <si>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</si>
  <si>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</si>
  <si>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</si>
  <si>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</si>
  <si>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</si>
  <si>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</si>
  <si>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</si>
  <si>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</si>
  <si>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</si>
  <si>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</si>
  <si>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</si>
  <si>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</si>
  <si>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</si>
  <si>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</si>
  <si>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</si>
  <si>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</si>
  <si>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</si>
  <si>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</si>
  <si>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</si>
  <si>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</si>
  <si>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</si>
  <si>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</si>
  <si>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</si>
  <si>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</si>
  <si>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</si>
  <si>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</si>
  <si>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</si>
  <si>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</si>
  <si>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</si>
  <si>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</si>
  <si>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</si>
  <si>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</si>
  <si>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</si>
  <si>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</si>
  <si>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</si>
  <si>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</si>
  <si>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</si>
  <si>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</si>
  <si>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</si>
  <si>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</si>
  <si>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</si>
  <si>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</si>
  <si>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</si>
  <si>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</si>
  <si>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</si>
  <si>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</si>
  <si>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</si>
  <si>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</si>
  <si>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</si>
  <si>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</si>
  <si>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</si>
  <si>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</si>
  <si>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</si>
  <si>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</si>
  <si>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</si>
  <si>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</si>
  <si>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</si>
  <si>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</si>
  <si>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</si>
  <si>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</si>
  <si>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</si>
  <si>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</si>
  <si>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</si>
  <si>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</si>
  <si>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</si>
  <si>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</si>
  <si>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</si>
  <si>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</si>
  <si>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</si>
  <si>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</si>
  <si>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</si>
  <si>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</si>
  <si>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</si>
  <si>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</si>
  <si>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</si>
  <si>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</si>
  <si>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</si>
  <si>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</si>
  <si>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</si>
  <si>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</si>
  <si>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</si>
  <si>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</si>
  <si>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</si>
  <si>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</si>
  <si>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</si>
  <si>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</si>
  <si>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</si>
  <si>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</si>
  <si>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</si>
  <si>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</si>
  <si>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</si>
  <si>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</si>
  <si>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</si>
  <si>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</si>
  <si>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</si>
  <si>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</si>
  <si>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</si>
  <si>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</si>
  <si>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</si>
  <si>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</si>
  <si>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</si>
  <si>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</si>
  <si>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</si>
  <si>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</si>
  <si>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</si>
  <si>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</si>
  <si>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</si>
  <si>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</si>
  <si>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</si>
  <si>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</si>
  <si>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</si>
  <si>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</si>
  <si>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</si>
  <si>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</si>
  <si>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</si>
  <si>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</si>
  <si>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</si>
  <si>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</si>
  <si>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</si>
  <si>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</si>
  <si>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</si>
  <si>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</si>
  <si>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</si>
  <si>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</si>
  <si>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</si>
  <si>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</si>
  <si>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</si>
  <si>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</si>
  <si>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</si>
  <si>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</si>
  <si>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</si>
  <si>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</si>
  <si>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</si>
  <si>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</si>
  <si>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</si>
  <si>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</si>
  <si>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</si>
  <si>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</si>
  <si>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</si>
  <si>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</si>
  <si>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</si>
  <si>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</si>
  <si>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</si>
  <si>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</si>
  <si>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</si>
  <si>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</si>
  <si>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</si>
  <si>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</si>
  <si>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</si>
  <si>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</si>
  <si>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</si>
  <si>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</si>
  <si>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</si>
  <si>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</si>
  <si>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</si>
  <si>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</si>
  <si>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</si>
  <si>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</si>
  <si>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</si>
  <si>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</si>
  <si>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</si>
  <si>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</si>
  <si>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</si>
  <si>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</si>
  <si>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</si>
  <si>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</si>
  <si>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</si>
  <si>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</si>
  <si>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</si>
  <si>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</si>
  <si>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</si>
  <si>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</si>
  <si>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</si>
  <si>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</si>
  <si>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</si>
  <si>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</si>
  <si>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</si>
  <si>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</si>
  <si>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</si>
  <si>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</si>
  <si>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</si>
  <si>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</si>
  <si>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</si>
  <si>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</si>
  <si>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</si>
  <si>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</si>
  <si>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</si>
  <si>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</si>
  <si>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</si>
  <si>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</si>
  <si>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</si>
  <si>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</si>
  <si>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</si>
  <si>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</si>
  <si>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</si>
  <si>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</si>
  <si>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</si>
  <si>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</si>
  <si>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</si>
  <si>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</si>
  <si>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</si>
  <si>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</si>
  <si>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</si>
  <si>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</si>
  <si>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</si>
  <si>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</si>
  <si>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</si>
  <si>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</si>
  <si>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</si>
  <si>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</si>
  <si>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</si>
  <si>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</si>
  <si>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</si>
  <si>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</si>
  <si>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</si>
  <si>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</si>
  <si>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</si>
  <si>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</si>
  <si>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</si>
  <si>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</si>
  <si>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</si>
  <si>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</si>
  <si>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</si>
  <si>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</si>
  <si>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</si>
  <si>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</si>
  <si>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</si>
  <si>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</si>
  <si>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</si>
  <si>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</si>
  <si>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</si>
  <si>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</si>
  <si>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</si>
  <si>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</si>
  <si>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</si>
  <si>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</si>
  <si>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</si>
  <si>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</si>
  <si>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</si>
  <si>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</si>
  <si>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</si>
  <si>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</si>
  <si>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</si>
  <si>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</si>
  <si>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</si>
  <si>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</si>
  <si>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</si>
  <si>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</si>
  <si>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</si>
  <si>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</si>
  <si>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</si>
  <si>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</si>
  <si>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</si>
  <si>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</si>
  <si>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</si>
  <si>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</si>
  <si>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</si>
  <si>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</si>
  <si>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</si>
  <si>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</si>
  <si>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</si>
  <si>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</si>
  <si>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</si>
  <si>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</si>
  <si>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</si>
  <si>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</si>
  <si>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</si>
  <si>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</si>
  <si>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</si>
  <si>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</si>
  <si>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</si>
  <si>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</si>
  <si>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</si>
  <si>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</si>
  <si>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</si>
  <si>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</si>
  <si>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</si>
  <si>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</si>
  <si>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</si>
  <si>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</si>
  <si>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</si>
  <si>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</si>
  <si>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</si>
  <si>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</si>
  <si>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</si>
  <si>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</si>
  <si>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</si>
  <si>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</si>
  <si>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</si>
  <si>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</si>
  <si>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</si>
  <si>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</si>
  <si>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</si>
  <si>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</si>
  <si>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</si>
  <si>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</si>
  <si>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</si>
  <si>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</si>
  <si>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</si>
  <si>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</si>
  <si>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</si>
  <si>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</si>
  <si>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</si>
  <si>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</si>
  <si>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</si>
  <si>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</si>
  <si>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</si>
  <si>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</si>
  <si>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</si>
  <si>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</si>
  <si>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</si>
  <si>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</si>
  <si>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</si>
  <si>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</si>
  <si>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</si>
  <si>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</si>
  <si>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</si>
  <si>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</si>
  <si>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</si>
  <si>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</si>
  <si>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</si>
  <si>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</si>
  <si>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</si>
  <si>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</si>
  <si>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</si>
  <si>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</si>
  <si>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</si>
  <si>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</si>
  <si>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</si>
  <si>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</si>
  <si>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</si>
  <si>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</si>
  <si>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</si>
  <si>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</si>
  <si>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</si>
  <si>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</si>
  <si>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</si>
  <si>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</si>
  <si>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</si>
  <si>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</si>
  <si>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</si>
  <si>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</si>
  <si>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</si>
  <si>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</si>
  <si>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</si>
  <si>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</si>
  <si>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</si>
  <si>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</si>
  <si>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</si>
  <si>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</si>
  <si>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</si>
  <si>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</si>
  <si>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</si>
  <si>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</si>
  <si>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</si>
  <si>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</si>
  <si>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</si>
  <si>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</si>
  <si>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</si>
  <si>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</si>
  <si>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</si>
  <si>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</si>
  <si>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</si>
  <si>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</si>
  <si>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</si>
  <si>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</si>
  <si>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</si>
  <si>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</si>
  <si>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</si>
  <si>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</si>
  <si>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</si>
  <si>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</si>
  <si>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</si>
  <si>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</si>
  <si>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</si>
  <si>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</si>
  <si>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</si>
  <si>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</si>
  <si>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</si>
  <si>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</si>
  <si>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</si>
  <si>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</si>
  <si>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</si>
  <si>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</si>
  <si>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</si>
  <si>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</si>
  <si>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</si>
  <si>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</si>
  <si>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</si>
  <si>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</si>
  <si>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</si>
  <si>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</si>
  <si>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</si>
  <si>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</si>
  <si>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</si>
  <si>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</si>
  <si>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</si>
  <si>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</si>
  <si>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</si>
  <si>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</si>
  <si>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</si>
  <si>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</si>
  <si>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</si>
  <si>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</si>
  <si>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</si>
  <si>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</si>
  <si>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</si>
  <si>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</si>
  <si>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</si>
  <si>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</si>
  <si>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</si>
  <si>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</si>
  <si>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</si>
  <si>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</si>
  <si>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</si>
  <si>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</si>
  <si>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</si>
  <si>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</si>
  <si>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</si>
  <si>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</si>
  <si>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</si>
  <si>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</si>
  <si>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</si>
  <si>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</si>
  <si>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</si>
  <si>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</si>
  <si>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</si>
  <si>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</si>
  <si>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</si>
  <si>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</si>
  <si>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</si>
  <si>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</si>
  <si>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</si>
  <si>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</si>
  <si>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</si>
  <si>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</si>
  <si>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</si>
  <si>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</si>
  <si>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</si>
  <si>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</si>
  <si>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</si>
  <si>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</si>
  <si>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</si>
  <si>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</si>
  <si>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</si>
  <si>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</si>
  <si>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</si>
  <si>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</si>
  <si>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</si>
  <si>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</si>
  <si>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</si>
  <si>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</si>
  <si>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</si>
  <si>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</si>
  <si>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</si>
  <si>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</si>
  <si>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</si>
  <si>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</si>
  <si>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</si>
  <si>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</si>
  <si>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</si>
  <si>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</si>
  <si>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</si>
  <si>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</si>
  <si>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</si>
  <si>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</si>
  <si>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</si>
  <si>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</si>
  <si>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</si>
  <si>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</si>
  <si>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</si>
  <si>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</si>
  <si>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</si>
  <si>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</si>
  <si>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</si>
  <si>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</si>
  <si>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</si>
  <si>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</si>
  <si>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</si>
  <si>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</si>
  <si>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</si>
  <si>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</si>
  <si>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</si>
  <si>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</si>
  <si>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</si>
  <si>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</si>
  <si>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</si>
  <si>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</si>
  <si>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</si>
  <si>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</si>
  <si>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</si>
  <si>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</si>
  <si>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</si>
  <si>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</si>
  <si>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</si>
  <si>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</si>
  <si>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</si>
  <si>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</si>
  <si>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</si>
  <si>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</si>
  <si>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</si>
  <si>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</si>
  <si>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</si>
  <si>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</si>
  <si>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</si>
  <si>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</si>
  <si>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</si>
  <si>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</si>
  <si>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</si>
  <si>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</si>
  <si>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</si>
  <si>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</si>
  <si>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</si>
  <si>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</si>
  <si>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</si>
  <si>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</si>
  <si>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</si>
  <si>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</si>
  <si>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</si>
  <si>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</si>
  <si>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</si>
  <si>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</si>
  <si>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</si>
  <si>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</si>
  <si>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</si>
  <si>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</si>
  <si>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</si>
  <si>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</si>
  <si>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</si>
  <si>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</si>
  <si>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</si>
  <si>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</si>
  <si>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</si>
  <si>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</si>
  <si>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</si>
  <si>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</si>
  <si>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</si>
  <si>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</si>
  <si>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</si>
  <si>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</si>
  <si>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</si>
  <si>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</si>
  <si>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</si>
  <si>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</si>
  <si>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</si>
  <si>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</si>
  <si>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</si>
  <si>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</si>
  <si>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</si>
  <si>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</si>
  <si>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</si>
  <si>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</si>
  <si>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</si>
  <si>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</si>
  <si>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</si>
  <si>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</si>
  <si>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</si>
  <si>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</si>
  <si>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</si>
  <si>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</si>
  <si>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</si>
  <si>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</si>
  <si>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</si>
  <si>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</si>
  <si>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</si>
  <si>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</si>
  <si>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</si>
  <si>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</si>
  <si>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</si>
  <si>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</si>
  <si>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</si>
  <si>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</si>
  <si>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</si>
  <si>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</si>
  <si>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</si>
  <si>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</si>
  <si>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</si>
  <si>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</si>
  <si>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</si>
  <si>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</si>
  <si>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</si>
  <si>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</si>
  <si>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</si>
  <si>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</si>
  <si>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</si>
  <si>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</si>
  <si>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</si>
  <si>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</si>
  <si>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</si>
  <si>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</si>
  <si>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</si>
  <si>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</si>
  <si>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</si>
  <si>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</si>
  <si>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</si>
  <si>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</si>
  <si>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</si>
  <si>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</si>
  <si>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</si>
  <si>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</si>
  <si>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</si>
  <si>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</si>
  <si>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</si>
  <si>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</si>
  <si>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</si>
  <si>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</si>
  <si>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</si>
  <si>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</si>
  <si>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</si>
  <si>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</si>
  <si>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</si>
  <si>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</si>
  <si>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</si>
  <si>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</si>
  <si>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</si>
  <si>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</si>
  <si>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</si>
  <si>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</si>
  <si>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</si>
  <si>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</si>
  <si>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</si>
  <si>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</si>
  <si>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</si>
  <si>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</si>
  <si>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</si>
  <si>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</si>
  <si>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</si>
  <si>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</si>
  <si>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</si>
  <si>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</si>
  <si>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</si>
  <si>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</si>
  <si>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</si>
  <si>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</si>
  <si>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</si>
  <si>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</si>
  <si>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</si>
  <si>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</si>
  <si>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</si>
  <si>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</si>
  <si>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</si>
  <si>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</si>
  <si>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</si>
  <si>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</si>
  <si>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</si>
  <si>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</si>
  <si>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</si>
  <si>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</si>
  <si>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</si>
  <si>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</si>
  <si>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</si>
  <si>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</si>
  <si>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</si>
  <si>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</si>
  <si>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</si>
  <si>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</si>
  <si>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</si>
  <si>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</si>
  <si>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</si>
  <si>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</si>
  <si>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</si>
  <si>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</si>
  <si>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</si>
  <si>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</si>
  <si>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</si>
  <si>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</si>
  <si>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</si>
  <si>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</si>
  <si>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</si>
  <si>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</si>
  <si>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</si>
  <si>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</si>
  <si>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</si>
  <si>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</si>
  <si>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</si>
  <si>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</si>
  <si>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</si>
  <si>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</si>
  <si>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</si>
  <si>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</si>
  <si>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</si>
  <si>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</si>
  <si>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</si>
  <si>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</si>
  <si>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</si>
  <si>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</si>
  <si>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</si>
  <si>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</si>
  <si>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</si>
  <si>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</si>
  <si>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</si>
  <si>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</si>
  <si>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</si>
  <si>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</si>
  <si>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</si>
  <si>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</si>
  <si>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</si>
  <si>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</si>
  <si>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</si>
  <si>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</si>
  <si>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</si>
  <si>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</si>
  <si>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</si>
  <si>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</si>
  <si>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</si>
  <si>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</si>
  <si>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</si>
  <si>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</si>
  <si>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</si>
  <si>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</si>
  <si>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</si>
  <si>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</si>
  <si>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</si>
  <si>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</si>
  <si>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</si>
  <si>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</si>
  <si>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</si>
  <si>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</si>
  <si>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</si>
  <si>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</si>
  <si>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</si>
  <si>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</si>
  <si>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</si>
  <si>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</si>
  <si>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</si>
  <si>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</si>
  <si>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</si>
  <si>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</si>
  <si>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</si>
  <si>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</si>
  <si>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</si>
  <si>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</si>
  <si>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</si>
  <si>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</si>
  <si>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</si>
  <si>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</si>
  <si>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</si>
  <si>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</si>
  <si>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</si>
  <si>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</si>
  <si>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</si>
  <si>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</si>
  <si>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</si>
  <si>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</si>
  <si>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</si>
  <si>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</si>
  <si>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</si>
  <si>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</si>
  <si>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</si>
  <si>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</si>
  <si>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</si>
  <si>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</si>
  <si>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</si>
  <si>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</si>
  <si>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</si>
  <si>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</si>
  <si>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</si>
  <si>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</si>
  <si>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</si>
  <si>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</si>
  <si>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</si>
  <si>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</si>
  <si>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</si>
  <si>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</si>
  <si>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</si>
  <si>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</si>
  <si>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</si>
  <si>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</si>
  <si>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</si>
  <si>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</si>
  <si>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</si>
  <si>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</si>
  <si>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</si>
  <si>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</si>
  <si>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</si>
  <si>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</si>
  <si>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</si>
  <si>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</si>
  <si>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</si>
  <si>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</si>
  <si>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</si>
  <si>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</si>
  <si>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</si>
  <si>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</si>
  <si>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</si>
  <si>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</si>
  <si>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</si>
  <si>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</si>
  <si>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</si>
  <si>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</si>
  <si>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</si>
  <si>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</si>
  <si>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</si>
  <si>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</si>
  <si>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</si>
  <si>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</si>
  <si>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</si>
  <si>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</si>
  <si>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</si>
  <si>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</si>
  <si>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</si>
  <si>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</si>
  <si>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</si>
  <si>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</si>
  <si>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</si>
  <si>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</si>
  <si>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</si>
  <si>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</si>
  <si>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</si>
  <si>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</si>
  <si>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</si>
  <si>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</si>
  <si>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</si>
  <si>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</si>
  <si>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</si>
  <si>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</si>
  <si>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</si>
  <si>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</si>
  <si>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</si>
  <si>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</si>
  <si>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</si>
  <si>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</si>
  <si>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</si>
  <si>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</si>
  <si>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</si>
  <si>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</si>
  <si>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</si>
  <si>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</si>
  <si>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</si>
  <si>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</si>
  <si>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</si>
  <si>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</si>
  <si>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</si>
  <si>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</si>
  <si>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</si>
  <si>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</si>
  <si>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</si>
  <si>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</si>
  <si>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</si>
  <si>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</si>
  <si>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</si>
  <si>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</si>
  <si>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</si>
  <si>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</si>
  <si>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</si>
  <si>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</si>
  <si>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</si>
  <si>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</si>
  <si>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</si>
  <si>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</si>
  <si>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</si>
  <si>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</si>
  <si>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</si>
  <si>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</si>
  <si>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</si>
  <si>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</si>
  <si>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</si>
  <si>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</si>
  <si>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</si>
  <si>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</si>
  <si>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</si>
  <si>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</si>
  <si>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</si>
  <si>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</si>
  <si>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</si>
  <si>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</si>
  <si>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</si>
  <si>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</si>
  <si>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</si>
  <si>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</si>
  <si>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</si>
  <si>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</si>
  <si>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</si>
  <si>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</si>
  <si>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</si>
  <si>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</si>
  <si>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</si>
  <si>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</si>
  <si>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</si>
  <si>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</si>
  <si>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</si>
  <si>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</si>
  <si>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</si>
  <si>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</si>
  <si>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</si>
  <si>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</si>
  <si>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</si>
  <si>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</si>
  <si>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</si>
  <si>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</si>
  <si>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</si>
  <si>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</si>
  <si>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</si>
  <si>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</si>
  <si>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</si>
  <si>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</si>
  <si>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</si>
  <si>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</si>
  <si>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</si>
  <si>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</si>
  <si>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</si>
  <si>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</si>
  <si>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</si>
  <si>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</si>
  <si>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</si>
  <si>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</si>
  <si>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</si>
  <si>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</si>
  <si>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</si>
  <si>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</si>
  <si>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</si>
  <si>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</si>
  <si>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</si>
  <si>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</si>
  <si>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</si>
  <si>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</si>
  <si>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</si>
  <si>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</si>
  <si>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</si>
  <si>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</si>
  <si>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</si>
  <si>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</si>
  <si>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</si>
  <si>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</si>
  <si>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</si>
  <si>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</si>
  <si>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</si>
  <si>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</si>
  <si>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</si>
  <si>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</si>
  <si>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</si>
  <si>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</si>
  <si>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</si>
  <si>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</si>
  <si>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</si>
  <si>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</si>
  <si>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</si>
  <si>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</si>
  <si>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</si>
  <si>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</si>
  <si>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</si>
  <si>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</si>
  <si>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</si>
  <si>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</si>
  <si>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</si>
  <si>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</si>
  <si>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</si>
  <si>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</si>
  <si>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</si>
  <si>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</si>
  <si>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</si>
  <si>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</si>
  <si>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</si>
  <si>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</si>
  <si>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</si>
  <si>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</si>
  <si>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</si>
  <si>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</si>
  <si>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</si>
  <si>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</si>
  <si>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</si>
  <si>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</si>
  <si>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</si>
  <si>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</si>
  <si>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</si>
  <si>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</si>
  <si>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</si>
  <si>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</si>
  <si>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</si>
  <si>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</si>
  <si>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</si>
  <si>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</si>
  <si>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</si>
  <si>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</si>
  <si>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</si>
  <si>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</si>
  <si>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</si>
  <si>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</si>
  <si>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</si>
  <si>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</si>
  <si>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</si>
  <si>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</si>
  <si>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</si>
  <si>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</si>
  <si>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</si>
  <si>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</si>
  <si>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</si>
  <si>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</si>
  <si>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</si>
  <si>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</si>
  <si>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</si>
  <si>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</si>
  <si>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</si>
  <si>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</si>
  <si>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</si>
  <si>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</si>
  <si>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</si>
  <si>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</si>
  <si>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</si>
  <si>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</si>
  <si>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</si>
  <si>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</si>
  <si>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</si>
  <si>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</si>
  <si>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</si>
  <si>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</si>
  <si>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</si>
  <si>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</si>
  <si>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</si>
  <si>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</si>
  <si>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</si>
  <si>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</si>
  <si>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</si>
  <si>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</si>
  <si>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</si>
  <si>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</si>
  <si>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</si>
  <si>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</si>
  <si>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</si>
  <si>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</si>
  <si>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</si>
  <si>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</si>
  <si>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</si>
  <si>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</si>
  <si>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</si>
  <si>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</si>
  <si>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</si>
  <si>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</si>
  <si>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</si>
  <si>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</si>
  <si>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</si>
  <si>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</si>
  <si>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</si>
  <si>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</si>
  <si>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</si>
  <si>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</si>
  <si>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</si>
  <si>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</si>
  <si>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</si>
  <si>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</si>
  <si>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</si>
  <si>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</si>
  <si>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</si>
  <si>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</si>
  <si>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</si>
  <si>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</si>
  <si>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</si>
  <si>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</si>
  <si>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</si>
  <si>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</si>
  <si>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</si>
  <si>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</si>
  <si>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</si>
  <si>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</si>
  <si>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</si>
  <si>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</si>
  <si>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</si>
  <si>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</si>
  <si>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</si>
  <si>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</si>
  <si>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</si>
  <si>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</si>
  <si>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</si>
  <si>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</si>
  <si>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</si>
  <si>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</si>
  <si>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</si>
  <si>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</si>
  <si>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</si>
  <si>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</si>
  <si>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</si>
  <si>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</si>
  <si>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</si>
  <si>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</si>
  <si>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</si>
  <si>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</si>
  <si>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</si>
  <si>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</si>
  <si>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</si>
  <si>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</si>
  <si>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</si>
  <si>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</si>
  <si>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</si>
  <si>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</si>
  <si>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</si>
  <si>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</si>
  <si>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</si>
  <si>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</si>
  <si>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</si>
  <si>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</si>
  <si>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</si>
  <si>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</si>
  <si>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</si>
  <si>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</si>
  <si>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</si>
  <si>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</si>
  <si>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</si>
  <si>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</si>
  <si>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</si>
  <si>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</si>
  <si>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</si>
  <si>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</si>
  <si>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</si>
  <si>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</si>
  <si>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</si>
  <si>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</si>
  <si>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</si>
  <si>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</si>
  <si>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</si>
  <si>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</si>
  <si>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</si>
  <si>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</si>
  <si>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</si>
  <si>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</si>
  <si>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</si>
  <si>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</si>
  <si>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</si>
  <si>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</si>
  <si>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</si>
  <si>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</si>
  <si>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</si>
  <si>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</si>
  <si>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</si>
  <si>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</si>
  <si>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</si>
  <si>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</si>
  <si>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</si>
  <si>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</si>
  <si>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</si>
  <si>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</si>
  <si>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</si>
  <si>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</si>
  <si>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</si>
  <si>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</si>
  <si>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</si>
  <si>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</si>
  <si>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</si>
  <si>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</si>
  <si>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</si>
  <si>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</si>
  <si>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</si>
  <si>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</si>
  <si>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</si>
  <si>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</si>
  <si>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</si>
  <si>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</si>
  <si>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</si>
  <si>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</si>
  <si>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</si>
  <si>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</si>
  <si>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</si>
  <si>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</si>
  <si>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</si>
  <si>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</si>
  <si>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</si>
  <si>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</si>
  <si>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</si>
  <si>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</si>
  <si>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</si>
  <si>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</si>
  <si>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</si>
  <si>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</si>
  <si>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</si>
  <si>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</si>
  <si>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</si>
  <si>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</si>
  <si>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</si>
  <si>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</si>
  <si>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</si>
  <si>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</si>
  <si>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</si>
  <si>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</si>
  <si>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</si>
  <si>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</si>
  <si>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</si>
  <si>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</si>
  <si>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</si>
  <si>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</si>
  <si>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</si>
  <si>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</si>
  <si>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</si>
  <si>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</si>
  <si>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</si>
  <si>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</si>
  <si>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</si>
  <si>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</si>
  <si>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</si>
  <si>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</si>
  <si>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</si>
  <si>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</si>
  <si>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</si>
  <si>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</si>
  <si>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</si>
  <si>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</si>
  <si>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</si>
  <si>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</si>
  <si>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</si>
  <si>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</si>
  <si>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</si>
  <si>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</si>
  <si>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</si>
  <si>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</si>
  <si>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</si>
  <si>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</si>
  <si>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</si>
  <si>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</si>
  <si>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</si>
  <si>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</si>
  <si>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</si>
  <si>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</si>
  <si>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</si>
  <si>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</si>
  <si>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</si>
  <si>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</si>
  <si>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</si>
  <si>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</si>
  <si>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</si>
  <si>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</si>
  <si>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</si>
  <si>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</si>
  <si>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</si>
  <si>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</si>
  <si>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</si>
  <si>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</si>
  <si>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</si>
  <si>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</si>
  <si>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</si>
  <si>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</si>
  <si>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</si>
  <si>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</si>
  <si>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</si>
  <si>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</si>
  <si>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</si>
  <si>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</si>
  <si>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</si>
  <si>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</si>
  <si>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</si>
  <si>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</si>
  <si>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</si>
  <si>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</si>
  <si>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</si>
  <si>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</si>
  <si>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</si>
  <si>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</si>
  <si>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</si>
  <si>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</si>
  <si>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</si>
  <si>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</si>
  <si>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</si>
  <si>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</si>
  <si>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</si>
  <si>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</si>
  <si>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</si>
  <si>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</si>
  <si>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</si>
  <si>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</si>
  <si>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</si>
  <si>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</si>
  <si>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</si>
  <si>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</si>
  <si>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</si>
  <si>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</si>
  <si>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</si>
  <si>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</si>
  <si>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</si>
  <si>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</si>
  <si>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</si>
  <si>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</si>
  <si>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</si>
  <si>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</si>
  <si>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</si>
  <si>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</si>
  <si>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</si>
  <si>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</si>
  <si>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</si>
  <si>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</si>
  <si>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</si>
  <si>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</si>
  <si>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</si>
  <si>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</si>
  <si>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</si>
  <si>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</si>
  <si>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</si>
  <si>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</si>
  <si>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</si>
  <si>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</si>
  <si>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</si>
  <si>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</si>
  <si>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</si>
  <si>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</si>
  <si>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</si>
  <si>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</si>
  <si>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</si>
  <si>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</si>
  <si>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</si>
  <si>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</si>
  <si>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</si>
  <si>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</si>
  <si>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</si>
  <si>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</si>
  <si>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</si>
  <si>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</si>
  <si>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</si>
  <si>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</si>
  <si>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</si>
  <si>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</si>
  <si>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</si>
  <si>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</si>
  <si>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</si>
  <si>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</si>
  <si>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</si>
  <si>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</si>
  <si>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</si>
  <si>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</si>
  <si>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</si>
  <si>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</si>
  <si>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</si>
  <si>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</si>
  <si>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</si>
  <si>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</si>
  <si>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</si>
  <si>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</si>
  <si>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</si>
  <si>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</si>
  <si>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</si>
  <si>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</si>
  <si>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</si>
  <si>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</si>
  <si>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</si>
  <si>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</si>
  <si>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</si>
  <si>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</si>
  <si>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</si>
  <si>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</si>
  <si>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</si>
  <si>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</si>
  <si>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</si>
  <si>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</si>
  <si>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</si>
  <si>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</si>
  <si>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</si>
  <si>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</si>
  <si>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</si>
  <si>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</si>
  <si>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</si>
  <si>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</si>
  <si>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</si>
  <si>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</si>
  <si>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</si>
  <si>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</si>
  <si>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</si>
  <si>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</si>
  <si>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</si>
  <si>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</si>
  <si>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</si>
  <si>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</si>
  <si>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</si>
  <si>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</si>
  <si>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</si>
  <si>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</si>
  <si>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</si>
  <si>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</si>
  <si>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</si>
  <si>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</si>
  <si>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</si>
  <si>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</si>
  <si>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</si>
  <si>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</si>
  <si>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</si>
  <si>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</si>
  <si>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</si>
  <si>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</si>
  <si>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</si>
  <si>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</si>
  <si>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</si>
  <si>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</si>
  <si>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</si>
  <si>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</si>
  <si>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</si>
  <si>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</si>
  <si>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</si>
  <si>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</si>
  <si>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</si>
  <si>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</si>
  <si>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</si>
  <si>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</si>
  <si>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</si>
  <si>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</si>
  <si>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</si>
  <si>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</si>
  <si>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</si>
  <si>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</si>
  <si>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</si>
  <si>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</si>
  <si>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</si>
  <si>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</si>
  <si>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</si>
  <si>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</si>
  <si>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</si>
  <si>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</si>
  <si>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</si>
  <si>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</si>
  <si>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</si>
  <si>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</si>
  <si>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</si>
  <si>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</si>
  <si>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</si>
  <si>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</si>
  <si>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</si>
  <si>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</si>
  <si>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</si>
  <si>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</si>
  <si>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</si>
  <si>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</si>
  <si>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</si>
  <si>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</si>
  <si>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</si>
  <si>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</si>
  <si>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</si>
  <si>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</si>
  <si>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</si>
  <si>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</si>
  <si>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</si>
  <si>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</si>
  <si>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</si>
  <si>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</si>
  <si>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</si>
  <si>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</si>
  <si>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</si>
  <si>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</si>
  <si>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</si>
  <si>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</si>
  <si>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</si>
  <si>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</si>
  <si>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</si>
  <si>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</si>
  <si>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</si>
  <si>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</si>
  <si>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</si>
  <si>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</si>
  <si>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</si>
  <si>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</si>
  <si>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</si>
  <si>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</si>
  <si>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</si>
  <si>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</si>
  <si>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</si>
  <si>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</si>
  <si>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</si>
  <si>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</si>
  <si>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</si>
  <si>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</si>
  <si>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</si>
  <si>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</si>
  <si>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</si>
  <si>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</si>
  <si>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</si>
  <si>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</si>
  <si>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</si>
  <si>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</si>
  <si>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</si>
  <si>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</si>
  <si>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</si>
  <si>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</si>
  <si>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</si>
  <si>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</si>
  <si>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</si>
  <si>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</si>
  <si>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</si>
  <si>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</si>
  <si>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</si>
  <si>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</si>
  <si>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</si>
  <si>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</si>
  <si>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</si>
  <si>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</si>
  <si>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</si>
  <si>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</si>
  <si>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</si>
  <si>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</si>
  <si>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</si>
  <si>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</si>
  <si>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</si>
  <si>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</si>
  <si>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</si>
  <si>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</si>
  <si>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</si>
  <si>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</si>
  <si>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</si>
  <si>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</si>
  <si>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</si>
  <si>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</si>
  <si>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</si>
  <si>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</si>
  <si>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</si>
  <si>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</si>
  <si>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</si>
  <si>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</si>
  <si>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</si>
  <si>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</si>
  <si>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</si>
  <si>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</si>
  <si>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</si>
  <si>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</si>
  <si>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</si>
  <si>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</si>
  <si>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</si>
  <si>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</si>
  <si>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</si>
  <si>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</si>
  <si>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</si>
  <si>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</si>
  <si>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</si>
  <si>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</si>
  <si>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</si>
  <si>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</si>
  <si>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</si>
  <si>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</si>
  <si>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</si>
  <si>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</si>
  <si>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</si>
  <si>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</si>
  <si>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</si>
  <si>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</si>
  <si>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</si>
  <si>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</si>
  <si>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</si>
  <si>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</si>
  <si>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</si>
  <si>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</si>
  <si>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</si>
  <si>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</si>
  <si>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</si>
  <si>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</si>
  <si>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</si>
  <si>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</si>
  <si>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</si>
  <si>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</si>
  <si>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</si>
  <si>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</si>
  <si>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</si>
  <si>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</si>
  <si>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</si>
  <si>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</si>
  <si>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</si>
  <si>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</si>
  <si>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</si>
  <si>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</si>
  <si>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</si>
  <si>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</si>
  <si>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</si>
  <si>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</si>
  <si>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</si>
  <si>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</si>
  <si>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</si>
  <si>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</si>
  <si>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</si>
  <si>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</si>
  <si>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</si>
  <si>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</si>
  <si>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</si>
  <si>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</si>
  <si>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</si>
  <si>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</si>
  <si>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</si>
  <si>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</si>
  <si>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</si>
  <si>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</si>
  <si>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</si>
  <si>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</si>
  <si>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</si>
  <si>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</si>
  <si>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</si>
  <si>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</si>
  <si>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</si>
  <si>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</si>
  <si>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</si>
  <si>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</si>
  <si>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</si>
  <si>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</si>
  <si>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</si>
  <si>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</si>
  <si>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</si>
  <si>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</si>
  <si>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</si>
  <si>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</si>
  <si>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</si>
  <si>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</si>
  <si>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</si>
  <si>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</si>
  <si>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</si>
  <si>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</si>
  <si>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</si>
  <si>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</si>
  <si>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</si>
  <si>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</si>
  <si>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</si>
  <si>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</si>
  <si>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</si>
  <si>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</si>
  <si>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</si>
  <si>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</si>
  <si>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</si>
  <si>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</si>
  <si>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</si>
  <si>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</si>
  <si>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</si>
  <si>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</si>
  <si>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</si>
  <si>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</si>
  <si>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</si>
  <si>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</si>
  <si>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</si>
  <si>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</si>
  <si>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</si>
  <si>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</si>
  <si>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</si>
  <si>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</si>
  <si>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</si>
  <si>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</si>
  <si>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</si>
  <si>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</si>
  <si>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</si>
  <si>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</si>
  <si>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</si>
  <si>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</si>
  <si>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</si>
  <si>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</si>
  <si>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</si>
  <si>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</si>
  <si>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</si>
  <si>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</si>
  <si>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</si>
  <si>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</si>
  <si>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</si>
  <si>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</si>
  <si>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</si>
  <si>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</si>
  <si>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</si>
  <si>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</si>
  <si>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</si>
  <si>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</si>
  <si>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</si>
  <si>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</si>
  <si>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</si>
  <si>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</si>
  <si>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</si>
  <si>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</si>
  <si>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</si>
  <si>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</si>
  <si>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</si>
  <si>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</si>
  <si>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</si>
  <si>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</si>
  <si>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</si>
  <si>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</si>
  <si>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</si>
  <si>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</si>
  <si>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</si>
  <si>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</si>
  <si>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</si>
  <si>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</si>
  <si>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</si>
  <si>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</si>
  <si>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</si>
  <si>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</si>
  <si>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</si>
  <si>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</si>
  <si>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</si>
  <si>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</si>
  <si>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</si>
  <si>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</si>
  <si>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</si>
  <si>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</si>
  <si>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</si>
  <si>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</si>
  <si>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</si>
  <si>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</si>
  <si>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</si>
  <si>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</si>
  <si>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</si>
  <si>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</si>
  <si>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</si>
  <si>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</si>
  <si>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</si>
  <si>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</si>
  <si>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</si>
  <si>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</si>
  <si>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</si>
  <si>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</si>
  <si>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</si>
  <si>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</si>
  <si>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</si>
  <si>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</si>
  <si>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</si>
  <si>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</si>
  <si>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</si>
  <si>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</si>
  <si>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</si>
  <si>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</si>
  <si>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</si>
  <si>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</si>
  <si>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</si>
  <si>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</si>
  <si>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</si>
  <si>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</si>
  <si>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</si>
  <si>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</si>
  <si>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</si>
  <si>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</si>
  <si>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</si>
  <si>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</si>
  <si>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</si>
  <si>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</si>
  <si>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</si>
  <si>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</si>
  <si>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</si>
  <si>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</si>
  <si>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</si>
  <si>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</si>
  <si>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</si>
  <si>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</si>
  <si>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</si>
  <si>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</si>
  <si>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</si>
  <si>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</si>
  <si>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</si>
  <si>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</si>
  <si>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</si>
  <si>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</si>
  <si>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</si>
  <si>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</si>
  <si>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</si>
  <si>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</si>
  <si>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</si>
  <si>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</si>
  <si>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</si>
  <si>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</si>
  <si>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</si>
  <si>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</si>
  <si>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</si>
  <si>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</si>
  <si>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</si>
  <si>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</si>
  <si>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</si>
  <si>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</si>
  <si>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</si>
  <si>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</si>
  <si>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</si>
  <si>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</si>
  <si>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</si>
  <si>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</si>
  <si>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</si>
  <si>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</si>
  <si>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</si>
  <si>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</si>
  <si>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</si>
  <si>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</si>
  <si>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</si>
  <si>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</si>
  <si>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</si>
  <si>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</si>
  <si>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</si>
  <si>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</si>
  <si>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</si>
  <si>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</si>
  <si>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</si>
  <si>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</si>
  <si>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</si>
  <si>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</si>
  <si>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</si>
  <si>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</si>
  <si>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</si>
  <si>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</si>
  <si>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</si>
  <si>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</si>
  <si>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</si>
  <si>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</si>
  <si>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</si>
  <si>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</si>
  <si>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</si>
  <si>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</si>
  <si>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</si>
  <si>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</si>
  <si>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</si>
  <si>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</si>
  <si>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</si>
  <si>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</si>
  <si>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</si>
  <si>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</si>
  <si>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</si>
  <si>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</si>
  <si>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</si>
  <si>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</si>
  <si>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</si>
  <si>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</si>
  <si>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</si>
  <si>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</si>
  <si>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</si>
  <si>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</si>
  <si>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</si>
  <si>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</si>
  <si>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</si>
  <si>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</si>
  <si>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</si>
  <si>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</si>
  <si>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</si>
  <si>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</si>
  <si>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</si>
  <si>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</si>
  <si>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</si>
  <si>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</si>
  <si>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</si>
  <si>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</si>
  <si>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</si>
  <si>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</si>
  <si>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</si>
  <si>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</si>
  <si>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</si>
  <si>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</si>
  <si>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</si>
  <si>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</si>
  <si>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</si>
  <si>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</si>
  <si>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</si>
  <si>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</si>
  <si>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</si>
  <si>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</si>
  <si>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</si>
  <si>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</si>
  <si>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</si>
  <si>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</si>
  <si>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</si>
  <si>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</si>
  <si>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</si>
  <si>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</si>
  <si>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</si>
  <si>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</si>
  <si>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</si>
  <si>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</si>
  <si>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</si>
  <si>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</si>
  <si>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</si>
  <si>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</si>
  <si>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</si>
  <si>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</si>
  <si>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</si>
  <si>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</si>
  <si>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</si>
  <si>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</si>
  <si>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</si>
  <si>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</si>
  <si>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</si>
  <si>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</si>
  <si>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</si>
  <si>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</si>
  <si>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</si>
  <si>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</si>
  <si>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</si>
  <si>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</si>
  <si>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</si>
  <si>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</si>
  <si>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</si>
  <si>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</si>
  <si>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</si>
  <si>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</si>
  <si>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</si>
  <si>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</si>
  <si>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</si>
  <si>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</si>
  <si>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</si>
  <si>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</si>
  <si>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</si>
  <si>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</si>
  <si>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</si>
  <si>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</si>
  <si>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</si>
  <si>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</si>
  <si>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</si>
  <si>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</si>
  <si>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</si>
  <si>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</si>
  <si>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</si>
  <si>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</si>
  <si>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</si>
  <si>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</si>
  <si>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</si>
  <si>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</si>
  <si>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</si>
  <si>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</si>
  <si>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</si>
  <si>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</si>
  <si>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</si>
  <si>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</si>
  <si>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</si>
  <si>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</si>
  <si>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</si>
  <si>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</si>
  <si>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</si>
  <si>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</si>
  <si>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</si>
  <si>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</si>
  <si>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</si>
  <si>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</si>
  <si>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</si>
  <si>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</si>
  <si>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</si>
  <si>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</si>
  <si>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</si>
  <si>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</si>
  <si>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</si>
  <si>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</si>
  <si>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</si>
  <si>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</si>
  <si>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</si>
  <si>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</si>
  <si>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</si>
  <si>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</si>
  <si>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</si>
  <si>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</si>
  <si>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</si>
  <si>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</si>
  <si>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</si>
  <si>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</si>
  <si>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</si>
  <si>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</si>
  <si>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</si>
  <si>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</si>
  <si>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</si>
  <si>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</si>
  <si>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</si>
  <si>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</si>
  <si>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</si>
  <si>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</si>
  <si>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</si>
  <si>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</si>
  <si>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</si>
  <si>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</si>
  <si>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</si>
  <si>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</si>
  <si>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</si>
  <si>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</si>
  <si>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</si>
  <si>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</si>
  <si>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</si>
  <si>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</si>
  <si>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</si>
  <si>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</si>
  <si>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</si>
  <si>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</si>
  <si>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</si>
  <si>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</si>
  <si>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</si>
  <si>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</si>
  <si>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</si>
  <si>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</si>
  <si>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</si>
  <si>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</si>
  <si>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</si>
  <si>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</si>
  <si>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</si>
  <si>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</si>
  <si>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</si>
  <si>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</si>
  <si>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</si>
  <si>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</si>
  <si>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</si>
  <si>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</si>
  <si>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</si>
  <si>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</si>
  <si>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</si>
  <si>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</si>
  <si>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</si>
  <si>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</si>
  <si>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</si>
  <si>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</si>
  <si>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</si>
  <si>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</si>
  <si>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</si>
  <si>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</si>
  <si>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</si>
  <si>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</si>
  <si>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</si>
  <si>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</si>
  <si>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</si>
  <si>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</si>
  <si>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</si>
  <si>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</si>
  <si>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</si>
  <si>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</si>
  <si>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</si>
  <si>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</si>
  <si>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</si>
  <si>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</si>
  <si>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</si>
  <si>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</si>
  <si>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</si>
  <si>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</si>
  <si>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</si>
  <si>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</si>
  <si>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</si>
  <si>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</si>
  <si>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</si>
  <si>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</si>
  <si>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</si>
  <si>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</si>
  <si>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</si>
  <si>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</si>
  <si>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</si>
  <si>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</si>
  <si>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</si>
  <si>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</si>
  <si>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</si>
  <si>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</si>
  <si>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</si>
  <si>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</si>
  <si>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</si>
  <si>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</si>
  <si>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</si>
  <si>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</si>
  <si>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</si>
  <si>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</si>
  <si>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</si>
  <si>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</si>
  <si>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</si>
  <si>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</si>
  <si>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</si>
  <si>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</si>
  <si>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</si>
  <si>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</si>
  <si>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</si>
  <si>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</si>
  <si>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</si>
  <si>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</si>
  <si>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</si>
  <si>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</si>
  <si>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</si>
  <si>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</si>
  <si>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</si>
  <si>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</si>
  <si>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</si>
  <si>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</si>
  <si>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</si>
  <si>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</si>
  <si>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</si>
  <si>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</si>
  <si>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</si>
  <si>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</si>
  <si>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</si>
  <si>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</si>
  <si>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</si>
  <si>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</si>
  <si>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</si>
  <si>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</si>
  <si>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</si>
  <si>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</si>
  <si>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</si>
  <si>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</si>
  <si>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</si>
  <si>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</si>
  <si>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</si>
  <si>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</si>
  <si>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</si>
  <si>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</si>
  <si>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</si>
  <si>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</si>
  <si>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</si>
  <si>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</si>
  <si>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</si>
  <si>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</si>
  <si>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</si>
  <si>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</si>
  <si>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</si>
  <si>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</si>
  <si>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</si>
  <si>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</si>
  <si>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</si>
  <si>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</si>
  <si>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</si>
  <si>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</si>
  <si>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</si>
  <si>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</si>
  <si>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</si>
  <si>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</si>
  <si>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</si>
  <si>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</si>
  <si>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</si>
  <si>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</si>
  <si>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</si>
  <si>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</si>
  <si>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</si>
  <si>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</si>
  <si>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</si>
  <si>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</si>
  <si>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</si>
  <si>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</si>
  <si>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</si>
  <si>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</si>
  <si>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</si>
  <si>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</si>
  <si>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</si>
  <si>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</si>
  <si>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</si>
  <si>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</si>
  <si>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</si>
  <si>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</si>
  <si>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</si>
  <si>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</si>
  <si>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</si>
  <si>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</si>
  <si>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</si>
  <si>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</si>
  <si>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</si>
  <si>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</si>
  <si>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</si>
  <si>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</si>
  <si>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</si>
  <si>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</si>
  <si>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</si>
  <si>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</si>
  <si>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</si>
  <si>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</si>
  <si>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</si>
  <si>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</si>
  <si>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</si>
  <si>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</si>
  <si>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</si>
  <si>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</si>
  <si>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</si>
  <si>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</si>
  <si>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</si>
  <si>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</si>
  <si>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</si>
  <si>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</si>
  <si>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</si>
  <si>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</si>
  <si>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</si>
  <si>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</si>
  <si>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</si>
  <si>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</si>
  <si>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</si>
  <si>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</si>
  <si>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</si>
  <si>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</si>
  <si>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</si>
  <si>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</si>
  <si>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</si>
  <si>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</si>
  <si>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</si>
  <si>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</si>
  <si>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</si>
  <si>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</si>
  <si>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</si>
  <si>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</si>
  <si>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</si>
  <si>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</si>
  <si>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</si>
  <si>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</si>
  <si>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</si>
  <si>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</si>
  <si>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</si>
  <si>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</si>
  <si>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</si>
  <si>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</si>
  <si>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</si>
  <si>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</si>
  <si>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</si>
  <si>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</si>
  <si>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</si>
  <si>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</si>
  <si>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</si>
  <si>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</si>
  <si>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</si>
  <si>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</si>
  <si>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</si>
  <si>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</si>
  <si>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</si>
  <si>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</si>
  <si>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</si>
  <si>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</si>
  <si>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</si>
  <si>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</si>
  <si>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</si>
  <si>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</si>
  <si>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</si>
  <si>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</si>
  <si>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</si>
  <si>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</si>
  <si>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</si>
  <si>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</si>
  <si>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</si>
  <si>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</si>
  <si>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</si>
  <si>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</si>
  <si>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</si>
  <si>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</si>
  <si>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</si>
  <si>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</si>
  <si>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</si>
  <si>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</si>
  <si>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</si>
  <si>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</si>
  <si>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</si>
  <si>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</si>
  <si>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</si>
  <si>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</si>
  <si>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</si>
  <si>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</si>
  <si>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</si>
  <si>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</si>
  <si>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</si>
  <si>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</si>
  <si>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</si>
  <si>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</si>
  <si>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</si>
  <si>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</si>
  <si>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</si>
  <si>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</si>
  <si>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</si>
  <si>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</si>
  <si>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</si>
  <si>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</si>
  <si>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</si>
  <si>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</si>
  <si>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</si>
  <si>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</si>
  <si>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</si>
  <si>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</si>
  <si>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</si>
  <si>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</si>
  <si>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</si>
  <si>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</si>
  <si>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</si>
  <si>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</si>
  <si>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</si>
  <si>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</si>
  <si>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</si>
  <si>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</si>
  <si>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</si>
  <si>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</si>
  <si>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</si>
  <si>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</si>
  <si>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</si>
  <si>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</si>
  <si>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</si>
  <si>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</si>
  <si>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</si>
  <si>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</si>
  <si>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</si>
  <si>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</si>
  <si>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</si>
  <si>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</si>
  <si>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</si>
  <si>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</si>
  <si>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</si>
  <si>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</si>
  <si>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</si>
  <si>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</si>
  <si>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</si>
  <si>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</si>
  <si>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</si>
  <si>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</si>
  <si>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</si>
  <si>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</si>
  <si>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</si>
  <si>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</si>
  <si>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</si>
  <si>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</si>
  <si>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</si>
  <si>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</si>
  <si>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</si>
  <si>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</si>
  <si>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</si>
  <si>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</si>
  <si>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</si>
  <si>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</si>
  <si>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</si>
  <si>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</si>
  <si>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</si>
  <si>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</si>
  <si>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</si>
  <si>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</si>
  <si>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</si>
  <si>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</si>
  <si>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</si>
  <si>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</si>
  <si>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</si>
  <si>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</si>
  <si>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</si>
  <si>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</si>
  <si>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</si>
  <si>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</si>
  <si>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</si>
  <si>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</si>
  <si>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</si>
  <si>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</si>
  <si>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</si>
  <si>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</si>
  <si>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</si>
  <si>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</si>
  <si>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</si>
  <si>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</si>
  <si>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</si>
  <si>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</si>
  <si>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</si>
  <si>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</si>
  <si>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</si>
  <si>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</si>
  <si>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</si>
  <si>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</si>
  <si>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</si>
  <si>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</si>
  <si>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</si>
  <si>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</si>
  <si>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</si>
  <si>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</si>
  <si>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</si>
  <si>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</si>
  <si>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</si>
  <si>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</si>
  <si>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</si>
  <si>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</si>
  <si>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</si>
  <si>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</si>
  <si>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</si>
  <si>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</si>
  <si>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</si>
  <si>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</si>
  <si>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</si>
  <si>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</si>
  <si>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</si>
  <si>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</si>
  <si>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</si>
  <si>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</si>
  <si>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</si>
  <si>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</si>
  <si>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</si>
  <si>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</si>
  <si>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</si>
  <si>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</si>
  <si>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</si>
  <si>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</si>
  <si>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</si>
  <si>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</si>
  <si>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</si>
  <si>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</si>
  <si>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</si>
  <si>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</si>
  <si>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</si>
  <si>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</si>
  <si>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</si>
  <si>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</si>
  <si>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</si>
  <si>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</si>
  <si>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</si>
  <si>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</si>
  <si>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</si>
  <si>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</si>
  <si>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</si>
  <si>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</si>
  <si>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</si>
  <si>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</si>
  <si>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</si>
  <si>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</si>
  <si>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</si>
  <si>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</si>
  <si>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</si>
  <si>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</si>
  <si>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</si>
  <si>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</si>
  <si>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</si>
  <si>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</si>
  <si>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</si>
  <si>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</si>
  <si>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</si>
  <si>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</si>
  <si>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</si>
  <si>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</si>
  <si>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</si>
  <si>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</si>
  <si>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</si>
  <si>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</si>
  <si>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</si>
  <si>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</si>
  <si>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</si>
  <si>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</si>
  <si>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</si>
  <si>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</si>
  <si>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</si>
  <si>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</si>
  <si>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</si>
  <si>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</si>
  <si>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</si>
  <si>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</si>
  <si>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</si>
  <si>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</si>
  <si>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</si>
  <si>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</si>
  <si>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</si>
  <si>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</si>
  <si>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</si>
  <si>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</si>
  <si>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</si>
  <si>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</si>
  <si>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</si>
  <si>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</si>
  <si>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</si>
  <si>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</si>
  <si>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</si>
  <si>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</si>
  <si>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</si>
  <si>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</si>
  <si>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</si>
  <si>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</si>
  <si>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</si>
  <si>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</si>
  <si>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</si>
  <si>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</si>
  <si>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</si>
  <si>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</si>
  <si>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</si>
  <si>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</si>
  <si>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</si>
  <si>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</si>
  <si>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</si>
  <si>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</si>
  <si>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</si>
  <si>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</si>
  <si>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</si>
  <si>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</si>
  <si>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</si>
  <si>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</si>
  <si>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</si>
  <si>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</si>
  <si>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</si>
  <si>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</si>
  <si>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</si>
  <si>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</si>
  <si>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</si>
  <si>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</si>
  <si>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</si>
  <si>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</si>
  <si>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</si>
  <si>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</si>
  <si>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</si>
  <si>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</si>
  <si>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</si>
  <si>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</si>
  <si>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</si>
  <si>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</si>
  <si>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</si>
  <si>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</si>
  <si>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</si>
  <si>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</si>
  <si>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</si>
  <si>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</si>
  <si>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</si>
  <si>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</si>
  <si>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</si>
  <si>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</si>
  <si>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</si>
  <si>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</si>
  <si>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</si>
  <si>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</si>
  <si>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</si>
  <si>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</si>
  <si>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</si>
  <si>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</si>
  <si>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</si>
  <si>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</si>
  <si>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</si>
  <si>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</si>
  <si>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</si>
  <si>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</si>
  <si>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</si>
  <si>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</si>
  <si>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</si>
  <si>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</si>
  <si>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</si>
  <si>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</si>
  <si>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</si>
  <si>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</si>
  <si>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</si>
  <si>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</si>
  <si>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</si>
  <si>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</si>
  <si>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</si>
  <si>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</si>
  <si>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</si>
  <si>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</si>
  <si>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</si>
  <si>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</si>
  <si>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</si>
  <si>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</si>
  <si>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</si>
  <si>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</si>
  <si>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</si>
  <si>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</si>
  <si>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</si>
  <si>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</si>
  <si>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</si>
  <si>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</si>
  <si>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</si>
  <si>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</si>
  <si>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</si>
  <si>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</si>
  <si>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</si>
  <si>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</si>
  <si>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</si>
  <si>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</si>
  <si>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</si>
  <si>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</si>
  <si>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</si>
  <si>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</si>
  <si>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</si>
  <si>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</si>
  <si>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</si>
  <si>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</si>
  <si>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</si>
  <si>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</si>
  <si>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</si>
  <si>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</si>
  <si>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</si>
  <si>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</si>
  <si>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</si>
  <si>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</si>
  <si>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</si>
  <si>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</si>
  <si>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</si>
  <si>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</si>
  <si>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</si>
  <si>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</si>
  <si>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</si>
  <si>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</si>
  <si>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</si>
  <si>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</si>
  <si>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</si>
  <si>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</si>
  <si>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</si>
  <si>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</si>
  <si>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</si>
  <si>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</si>
  <si>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</si>
  <si>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</si>
  <si>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</si>
  <si>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</si>
  <si>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</si>
  <si>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</si>
  <si>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</si>
  <si>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</si>
  <si>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</si>
  <si>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</si>
  <si>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</si>
  <si>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</si>
  <si>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</si>
  <si>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</si>
  <si>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</si>
  <si>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</si>
  <si>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</si>
  <si>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</si>
  <si>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</si>
  <si>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</si>
  <si>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</si>
  <si>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</si>
  <si>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</si>
  <si>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</si>
  <si>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</si>
  <si>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</si>
  <si>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</si>
  <si>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</si>
  <si>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</si>
  <si>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</si>
  <si>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</si>
  <si>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</si>
  <si>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</si>
  <si>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</si>
  <si>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</si>
  <si>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</si>
  <si>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</si>
  <si>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</si>
  <si>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</si>
  <si>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</si>
  <si>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</si>
  <si>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</si>
  <si>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</si>
  <si>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</si>
  <si>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</si>
  <si>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</si>
  <si>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</si>
  <si>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</si>
  <si>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</si>
  <si>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</si>
  <si>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</si>
  <si>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</si>
  <si>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</si>
  <si>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</si>
  <si>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</si>
  <si>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</si>
  <si>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</si>
  <si>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</si>
  <si>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</si>
  <si>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</si>
  <si>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</si>
  <si>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</si>
  <si>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</si>
  <si>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</si>
  <si>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</si>
  <si>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</si>
  <si>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</si>
  <si>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</si>
  <si>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</si>
  <si>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</si>
  <si>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</si>
  <si>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</si>
  <si>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</si>
  <si>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</si>
  <si>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</si>
  <si>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</si>
  <si>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</si>
  <si>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</si>
  <si>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</si>
  <si>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</si>
  <si>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</si>
  <si>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</si>
  <si>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</si>
  <si>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</si>
  <si>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</si>
  <si>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</si>
  <si>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</si>
  <si>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</si>
  <si>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</si>
  <si>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</si>
  <si>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</si>
  <si>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</si>
  <si>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</si>
  <si>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</si>
  <si>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</si>
  <si>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</si>
  <si>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</si>
  <si>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</si>
  <si>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</si>
  <si>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</si>
  <si>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</si>
  <si>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</si>
  <si>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</si>
  <si>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</si>
  <si>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</si>
  <si>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</si>
  <si>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</si>
  <si>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</si>
  <si>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</si>
  <si>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</si>
  <si>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</si>
  <si>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</si>
  <si>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</si>
  <si>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</si>
  <si>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</si>
  <si>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</si>
  <si>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</si>
  <si>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</si>
  <si>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</si>
  <si>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</si>
  <si>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</si>
  <si>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</si>
  <si>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</si>
  <si>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</si>
  <si>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</si>
  <si>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</si>
  <si>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</si>
  <si>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</si>
  <si>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</si>
  <si>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</si>
  <si>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</si>
  <si>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</si>
  <si>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</si>
  <si>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</si>
  <si>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</si>
  <si>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</si>
  <si>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</si>
  <si>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</si>
  <si>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</si>
  <si>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</si>
  <si>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</si>
  <si>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</si>
  <si>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</si>
  <si>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</si>
  <si>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</si>
  <si>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</si>
  <si>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</si>
  <si>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</si>
  <si>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</si>
  <si>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</si>
  <si>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</si>
  <si>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</si>
  <si>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</si>
  <si>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</si>
  <si>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</si>
  <si>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</si>
  <si>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</si>
  <si>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</si>
  <si>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</si>
  <si>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</si>
  <si>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</si>
  <si>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</si>
  <si>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</si>
  <si>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</si>
  <si>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</si>
  <si>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</si>
  <si>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</si>
  <si>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</si>
  <si>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</si>
  <si>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</si>
  <si>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</si>
  <si>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</si>
  <si>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</si>
  <si>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</si>
  <si>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</si>
  <si>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</si>
  <si>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</si>
  <si>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</si>
  <si>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</si>
  <si>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</si>
  <si>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</si>
  <si>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</si>
  <si>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</si>
  <si>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</si>
  <si>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</si>
  <si>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</si>
  <si>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</si>
  <si>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</si>
  <si>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</si>
  <si>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</si>
  <si>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</si>
  <si>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</si>
  <si>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</si>
  <si>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</si>
  <si>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</si>
  <si>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</si>
  <si>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</si>
  <si>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</si>
  <si>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</si>
  <si>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</si>
  <si>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</si>
  <si>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</si>
  <si>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</si>
  <si>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</si>
  <si>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</si>
  <si>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t>企业</t>
  </si>
  <si>
    <t>出让</t>
  </si>
  <si>
    <t>工业项目</t>
  </si>
  <si>
    <t>Ⅷ-顺1</t>
  </si>
  <si>
    <t>现房</t>
  </si>
  <si>
    <t>通路</t>
  </si>
  <si>
    <t>通电</t>
  </si>
  <si>
    <t>通讯</t>
  </si>
  <si>
    <t>通上水</t>
  </si>
  <si>
    <t>通下水</t>
  </si>
  <si>
    <t>燃气</t>
  </si>
  <si>
    <t>居住、商业</t>
    <phoneticPr fontId="3" type="noConversion"/>
  </si>
  <si>
    <t>1#自住商品房</t>
    <phoneticPr fontId="3" type="noConversion"/>
  </si>
  <si>
    <t>1101002014B00350</t>
    <phoneticPr fontId="3" type="noConversion"/>
  </si>
  <si>
    <t>2014规（顺）地字0040号</t>
    <phoneticPr fontId="3" type="noConversion"/>
  </si>
  <si>
    <t>2015规（顺）复函字0021号</t>
    <phoneticPr fontId="3" type="noConversion"/>
  </si>
  <si>
    <t>2015规（顺）建字0005号</t>
    <phoneticPr fontId="3" type="noConversion"/>
  </si>
  <si>
    <t>（2015）施（顺）建字0069号</t>
    <phoneticPr fontId="3" type="noConversion"/>
  </si>
  <si>
    <t>——</t>
    <phoneticPr fontId="3" type="noConversion"/>
  </si>
  <si>
    <t>施工至地上8层</t>
    <phoneticPr fontId="3" type="noConversion"/>
  </si>
  <si>
    <t>京顺国用（2015出）第00113号</t>
    <phoneticPr fontId="3" type="noConversion"/>
  </si>
  <si>
    <t>无</t>
    <phoneticPr fontId="3" type="noConversion"/>
  </si>
  <si>
    <t>3#限价商品房</t>
    <phoneticPr fontId="3" type="noConversion"/>
  </si>
  <si>
    <t>2015规（顺）建字0004号</t>
    <phoneticPr fontId="3" type="noConversion"/>
  </si>
  <si>
    <t>（2015）施（顺）建字0037号</t>
    <phoneticPr fontId="3" type="noConversion"/>
  </si>
  <si>
    <t>4#限价商品房</t>
    <phoneticPr fontId="3" type="noConversion"/>
  </si>
  <si>
    <t>2#变电室及物业</t>
    <phoneticPr fontId="3" type="noConversion"/>
  </si>
  <si>
    <t>完成主体结构施工</t>
    <phoneticPr fontId="3" type="noConversion"/>
  </si>
  <si>
    <t>地下车库</t>
    <phoneticPr fontId="3" type="noConversion"/>
  </si>
  <si>
    <t>X京房权证顺字第270514号</t>
    <phoneticPr fontId="3" type="noConversion"/>
  </si>
  <si>
    <t>2幢</t>
    <phoneticPr fontId="3" type="noConversion"/>
  </si>
  <si>
    <t>地上</t>
  </si>
  <si>
    <t>宿舍</t>
  </si>
  <si>
    <t>办公楼</t>
  </si>
  <si>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</si>
  <si>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</si>
  <si>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</si>
  <si>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</si>
  <si>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</si>
  <si>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</si>
  <si>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</si>
  <si>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</si>
  <si>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</si>
  <si>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</si>
  <si>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</si>
  <si>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</si>
  <si>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</si>
  <si>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</si>
  <si>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</si>
  <si>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</si>
  <si>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</si>
  <si>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</si>
  <si>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</si>
  <si>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</si>
  <si>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</si>
  <si>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</si>
  <si>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</si>
  <si>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</si>
  <si>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</si>
  <si>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</si>
  <si>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</si>
  <si>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</si>
  <si>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</si>
  <si>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</si>
  <si>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</si>
  <si>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</si>
  <si>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</si>
  <si>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</si>
  <si>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</si>
  <si>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</si>
  <si>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</si>
  <si>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</si>
  <si>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</si>
  <si>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</si>
  <si>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</si>
  <si>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</si>
  <si>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</si>
  <si>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</si>
  <si>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</si>
  <si>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</si>
  <si>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</si>
  <si>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</si>
  <si>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</si>
  <si>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</si>
  <si>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</si>
  <si>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</si>
  <si>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</si>
  <si>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</si>
  <si>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</si>
  <si>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</si>
  <si>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</si>
  <si>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</si>
  <si>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</si>
  <si>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</si>
  <si>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</si>
  <si>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</si>
  <si>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</si>
  <si>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</si>
  <si>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</si>
  <si>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</si>
  <si>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</si>
  <si>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</si>
  <si>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</si>
  <si>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</si>
  <si>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</si>
  <si>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</si>
  <si>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</si>
  <si>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</si>
  <si>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</si>
  <si>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</si>
  <si>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</si>
  <si>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</si>
  <si>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</si>
  <si>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</si>
  <si>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</si>
  <si>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</si>
  <si>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</si>
  <si>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</si>
  <si>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</si>
  <si>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</si>
  <si>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</si>
  <si>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</si>
  <si>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</si>
  <si>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</si>
  <si>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</si>
  <si>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</si>
  <si>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</si>
  <si>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</si>
  <si>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</si>
  <si>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</si>
  <si>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</si>
  <si>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</si>
  <si>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</si>
  <si>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</si>
  <si>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</si>
  <si>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</si>
  <si>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</si>
  <si>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</si>
  <si>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</si>
  <si>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</si>
  <si>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</si>
  <si>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</si>
  <si>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</si>
  <si>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</si>
  <si>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</si>
  <si>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</si>
  <si>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</si>
  <si>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</si>
  <si>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</si>
  <si>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</si>
  <si>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</si>
  <si>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</si>
  <si>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</si>
  <si>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</si>
  <si>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</si>
  <si>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</si>
  <si>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</si>
  <si>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</si>
  <si>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</si>
  <si>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</si>
  <si>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</si>
  <si>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</si>
  <si>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</si>
  <si>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</si>
  <si>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</si>
  <si>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</si>
  <si>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</si>
  <si>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</si>
  <si>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</si>
  <si>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</si>
  <si>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</si>
  <si>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</si>
  <si>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</si>
  <si>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</si>
  <si>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</si>
  <si>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</si>
  <si>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</si>
  <si>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</si>
  <si>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</si>
  <si>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</si>
  <si>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</si>
  <si>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</si>
  <si>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</si>
  <si>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</si>
  <si>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</si>
  <si>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</si>
  <si>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</si>
  <si>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</si>
  <si>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</si>
  <si>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</si>
  <si>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</si>
  <si>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</si>
  <si>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</si>
  <si>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</si>
  <si>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</si>
  <si>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</si>
  <si>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</si>
  <si>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</si>
  <si>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</si>
  <si>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</si>
  <si>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</si>
  <si>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</si>
  <si>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规则</t>
  </si>
  <si>
    <t>单位面积地价</t>
  </si>
  <si>
    <r>
      <t>顺义区东支路北法信段</t>
    </r>
    <r>
      <rPr>
        <sz val="14"/>
        <color theme="1"/>
        <rFont val="Arial"/>
        <family val="2"/>
      </rPr>
      <t>23</t>
    </r>
    <r>
      <rPr>
        <sz val="14"/>
        <color theme="1"/>
        <rFont val="楷体_GB2312"/>
        <family val="3"/>
        <charset val="134"/>
      </rPr>
      <t>号</t>
    </r>
    <r>
      <rPr>
        <sz val="14"/>
        <color theme="1"/>
        <rFont val="Arial"/>
        <family val="2"/>
      </rPr>
      <t>2</t>
    </r>
    <r>
      <rPr>
        <sz val="14"/>
        <color theme="1"/>
        <rFont val="楷体_GB2312"/>
        <family val="3"/>
        <charset val="134"/>
      </rPr>
      <t>幢工业用房</t>
    </r>
    <phoneticPr fontId="6" type="noConversion"/>
  </si>
  <si>
    <t>北京恒晖伟业投资有限公司</t>
    <phoneticPr fontId="6" type="noConversion"/>
  </si>
  <si>
    <t>建筑物价值</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</si>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</sst>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center" vertical="center" wrapText="1"/>
      <protection locked="0"/>
    </xf>
    <xf numFmtId="0" fontId="22" fillId="8" borderId="1" xfId="0" applyFont="1" applyFill="1" applyBorder="1" applyAlignment="1" applyProtection="1">
      <alignment horizontal="center" vertical="center" wrapText="1"/>
      <protection locked="0"/>
    </xf>
    <xf numFmtId="0" fontId="22" fillId="8" borderId="5" xfId="0" applyFont="1" applyFill="1" applyBorder="1" applyAlignment="1" applyProtection="1">
      <alignment horizontal="center" vertical="center" wrapText="1"/>
      <protection locked="0"/>
    </xf>
    <xf numFmtId="49" fontId="22" fillId="8" borderId="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北京市顺义区东支路北法信段23号2幢工业用房房地产抵押价值预评估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受贵公司委托，我公司对北京市顺义区东支路北法信段23号2幢工业用房房地产抵押价值进行了预评估。</v>
      </c>
    </row>
    <row r="7" spans="1:2" s="1596" customFormat="1">
      <c r="A7" s="1594" t="s">
        <v>1264</v>
      </c>
      <c r="B7" s="1595" t="str">
        <f>'预评函-1'!A7</f>
        <v>估价对象为北京市顺义区东支路北法信段23号2幢工业用房房地产，为北京恒晖伟业投资有限公司所有。根据《国有土地使用证》[]，估价对象（分摊）出让国有建设用地使用权面积为3036.74平方米，建筑面积为3480.91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2幢工业用房房地产,属北京恒晖伟业投资有限公司开发建设的工业项目，该项目尚在开发建设中。根据《国有土地使用证》[]，估价对象（分摊）出让国有建设用地使用权面积为3036.74平方米，规划建筑面积为3480.91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2250</v>
      </c>
    </row>
    <row r="21" spans="1:2" s="1596" customFormat="1">
      <c r="A21" s="1594" t="s">
        <v>1235</v>
      </c>
      <c r="B21" s="1595">
        <f ca="1">'预评函-2'!D7</f>
        <v>6464</v>
      </c>
    </row>
    <row r="22" spans="1:2" s="1596" customFormat="1">
      <c r="A22" s="1594" t="s">
        <v>1236</v>
      </c>
      <c r="B22" s="1595" t="str">
        <f ca="1">'预评函-2'!D6</f>
        <v>贰仟贰佰伍拾万元整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2250</v>
      </c>
    </row>
    <row r="31" spans="1:2" s="1596" customFormat="1">
      <c r="A31" s="1594" t="s">
        <v>1274</v>
      </c>
      <c r="B31" s="1595">
        <f ca="1">'预评函-2'!D15</f>
        <v>6464</v>
      </c>
    </row>
    <row r="32" spans="1:2" s="1596" customFormat="1">
      <c r="A32" s="1594" t="s">
        <v>1241</v>
      </c>
      <c r="B32" s="1595" t="str">
        <f ca="1">'预评函-2'!D14</f>
        <v>贰仟贰佰伍拾万元整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北京市顺义区东支路北法信段23号2幢工业用房房地产</v>
      </c>
    </row>
    <row r="42" spans="1:2" s="1596" customFormat="1">
      <c r="A42" s="1594" t="s">
        <v>1288</v>
      </c>
      <c r="B42" s="1595" t="str">
        <f>'预评函-3'!B2</f>
        <v>建筑面积</v>
      </c>
    </row>
    <row r="43" spans="1:2" s="1596" customFormat="1">
      <c r="A43" s="1594" t="s">
        <v>1289</v>
      </c>
      <c r="B43" s="1595">
        <f>'预评函-3'!B4</f>
        <v>3480.91</v>
      </c>
    </row>
    <row r="44" spans="1:2" s="1596" customFormat="1">
      <c r="A44" s="1594" t="s">
        <v>1273</v>
      </c>
      <c r="B44" s="1595" t="str">
        <f>'预评函-3'!C2</f>
        <v>(分摊)土地面积</v>
      </c>
    </row>
    <row r="45" spans="1:2" s="1596" customFormat="1">
      <c r="A45" s="1594" t="s">
        <v>1245</v>
      </c>
      <c r="B45" s="1595">
        <f>'预评函-3'!C4</f>
        <v>3036.74</v>
      </c>
    </row>
    <row r="46" spans="1:2" s="1596" customFormat="1">
      <c r="A46" s="1594" t="s">
        <v>1271</v>
      </c>
      <c r="B46" s="1595" t="str">
        <f>'预评函-3'!D2</f>
        <v>出让国有建设用地使用权价值</v>
      </c>
    </row>
    <row r="47" spans="1:2" s="1596" customFormat="1">
      <c r="A47" s="1594" t="s">
        <v>1246</v>
      </c>
      <c r="B47" s="1595">
        <f ca="1">'预评函-3'!D4</f>
        <v>747</v>
      </c>
    </row>
    <row r="48" spans="1:2" s="1596" customFormat="1">
      <c r="A48" s="1594" t="s">
        <v>1247</v>
      </c>
      <c r="B48" s="1595">
        <f ca="1">'预评函-3'!E4</f>
        <v>2146</v>
      </c>
    </row>
    <row r="49" spans="1:2" s="1596" customFormat="1">
      <c r="A49" s="1594" t="s">
        <v>1248</v>
      </c>
      <c r="B49" s="1595" t="str">
        <f ca="1">'预评函-3'!D5</f>
        <v>柒佰肆拾柒万元整</v>
      </c>
    </row>
    <row r="50" spans="1:2" s="1596" customFormat="1">
      <c r="A50" s="1594" t="s">
        <v>1272</v>
      </c>
      <c r="B50" s="1595" t="str">
        <f>'预评函-3'!F2</f>
        <v>建筑物价值</v>
      </c>
    </row>
    <row r="51" spans="1:2" s="1596" customFormat="1">
      <c r="A51" s="1594" t="s">
        <v>1249</v>
      </c>
      <c r="B51" s="1595">
        <f ca="1">'预评函-3'!F4</f>
        <v>1503</v>
      </c>
    </row>
    <row r="52" spans="1:2" s="1596" customFormat="1">
      <c r="A52" s="1594" t="s">
        <v>1250</v>
      </c>
      <c r="B52" s="1595">
        <f ca="1">'预评函-3'!G4</f>
        <v>4318</v>
      </c>
    </row>
    <row r="53" spans="1:2" s="1596" customFormat="1">
      <c r="A53" s="1594" t="s">
        <v>1278</v>
      </c>
      <c r="B53" s="1595" t="str">
        <f ca="1">'预评函-3'!F5</f>
        <v>壹仟伍佰零叁万元整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2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7"/>
      <c r="B54" s="2025" t="s">
        <v>864</v>
      </c>
      <c r="C54" s="2022" t="s">
        <v>1281</v>
      </c>
    </row>
    <row r="55" spans="1:4">
      <c r="A55" s="3017"/>
      <c r="B55" s="2025" t="s">
        <v>865</v>
      </c>
      <c r="C55" s="2022" t="s">
        <v>1282</v>
      </c>
    </row>
    <row r="56" spans="1:4">
      <c r="A56" s="3017"/>
      <c r="B56" s="2025" t="s">
        <v>866</v>
      </c>
      <c r="C56" s="2022" t="s">
        <v>1286</v>
      </c>
    </row>
    <row r="57" spans="1:4">
      <c r="A57" s="301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16" sqref="B16:D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8" t="str">
        <f>IF(B10="北京市","北京市",C10)&amp;F10&amp;IF(结果表!G1="在建","出让国有建设用地使用权及在建建筑物",IF(结果表!G1="土地","出让国有建设用地使用权",))&amp;B9&amp;"预评估"</f>
        <v>北京市顺义区东支路北法信段23号2幢工业用房房地产抵押价值预评估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北京市顺义区东支路北法信段23号2幢工业用房房地产抵押价值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北京市顺义区东支路北法信段23号2幢工业用房房地产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3250</v>
      </c>
      <c r="C4" s="1040">
        <f ca="1">SUMIF(注册房地产估价师,B4,估价师及机构信息!B3:B24)</f>
        <v>1120000080</v>
      </c>
      <c r="D4" s="2042" t="s">
        <v>3251</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21"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22"/>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3255</v>
      </c>
      <c r="G10" s="2067"/>
      <c r="H10" s="2068"/>
      <c r="I10" s="2049"/>
      <c r="J10" s="2045"/>
      <c r="K10" s="2054"/>
      <c r="L10" s="2031"/>
      <c r="M10" s="2031"/>
      <c r="N10" s="2032"/>
      <c r="O10" s="2033"/>
      <c r="P10" s="2032"/>
      <c r="Q10" s="2032"/>
      <c r="R10" s="2032"/>
    </row>
    <row r="11" spans="1:19" ht="18" customHeight="1">
      <c r="A11" s="2069" t="s">
        <v>1789</v>
      </c>
      <c r="B11" s="2070" t="s">
        <v>3051</v>
      </c>
      <c r="C11" s="2942" t="s">
        <v>3256</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3052</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58107</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40.83</v>
      </c>
      <c r="J15" s="2045"/>
      <c r="K15" s="2081"/>
      <c r="L15" s="2082"/>
      <c r="M15" s="2082"/>
      <c r="N15" s="2083"/>
      <c r="O15" s="2082"/>
      <c r="P15" s="2083"/>
      <c r="Q15" s="2032"/>
      <c r="R15" s="2032"/>
    </row>
    <row r="16" spans="1:19" ht="30.75" customHeight="1">
      <c r="A16" s="2066" t="s">
        <v>1801</v>
      </c>
      <c r="B16" s="3028" t="s">
        <v>3133</v>
      </c>
      <c r="C16" s="3029"/>
      <c r="D16" s="3030"/>
      <c r="E16" s="2084" t="s">
        <v>1802</v>
      </c>
      <c r="F16" s="3031"/>
      <c r="G16" s="3032"/>
      <c r="H16" s="3032"/>
      <c r="I16" s="3033"/>
      <c r="J16" s="2032"/>
      <c r="K16" s="2081"/>
      <c r="L16" s="2082"/>
      <c r="M16" s="2082"/>
      <c r="N16" s="2083"/>
      <c r="O16" s="2082"/>
      <c r="P16" s="2083"/>
      <c r="Q16" s="2032"/>
      <c r="R16" s="2032"/>
    </row>
    <row r="17" spans="1:22" ht="18" customHeight="1">
      <c r="A17" s="2085" t="s">
        <v>1803</v>
      </c>
      <c r="B17" s="2038" t="s">
        <v>1804</v>
      </c>
      <c r="C17" s="1057">
        <f>'数据-汇总表'!E3</f>
        <v>3480.91</v>
      </c>
      <c r="D17" s="2086" t="s">
        <v>1805</v>
      </c>
      <c r="E17" s="3034" t="s">
        <v>1806</v>
      </c>
      <c r="F17" s="3035"/>
      <c r="G17" s="3035"/>
      <c r="H17" s="3035"/>
      <c r="I17" s="3036"/>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3036.74</v>
      </c>
      <c r="D18" s="2089" t="s">
        <v>1805</v>
      </c>
      <c r="E18" s="3037" t="s">
        <v>1809</v>
      </c>
      <c r="F18" s="3038"/>
      <c r="G18" s="3038"/>
      <c r="H18" s="3038"/>
      <c r="I18" s="3039"/>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24" t="s">
        <v>1814</v>
      </c>
      <c r="C20" s="3025"/>
      <c r="D20" s="3026" t="s">
        <v>1815</v>
      </c>
      <c r="E20" s="3027"/>
      <c r="F20" s="2096" t="s">
        <v>1816</v>
      </c>
      <c r="G20" s="2045"/>
      <c r="H20" s="2045"/>
      <c r="I20" s="2045"/>
      <c r="J20" s="2045"/>
      <c r="K20" s="302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41" t="s">
        <v>1829</v>
      </c>
      <c r="B27" s="2063" t="s">
        <v>1830</v>
      </c>
      <c r="C27" s="2118" t="s">
        <v>3053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41"/>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41"/>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42"/>
      <c r="B30" s="2038" t="s">
        <v>1833</v>
      </c>
      <c r="C30" s="3043"/>
      <c r="D30" s="304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5" t="s">
        <v>1834</v>
      </c>
      <c r="B31" s="2125" t="s">
        <v>3055</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6"/>
      <c r="B32" s="2125" t="s">
        <v>3055</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6"/>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3056</v>
      </c>
      <c r="C34" s="2132" t="s">
        <v>3057</v>
      </c>
      <c r="D34" s="2132" t="s">
        <v>3058</v>
      </c>
      <c r="E34" s="2132" t="s">
        <v>3059</v>
      </c>
      <c r="F34" s="2132" t="s">
        <v>3060</v>
      </c>
      <c r="G34" s="2132" t="s">
        <v>3061</v>
      </c>
      <c r="H34" s="2132"/>
      <c r="I34" s="2045"/>
      <c r="J34" s="2045"/>
      <c r="K34" s="1798">
        <f>COUNTIF(B34:H34,"——")</f>
        <v>0</v>
      </c>
      <c r="L34" s="2073" t="s">
        <v>1836</v>
      </c>
      <c r="M34" s="2073" t="s">
        <v>1837</v>
      </c>
      <c r="N34" s="2073" t="s">
        <v>1838</v>
      </c>
      <c r="O34" s="2073" t="s">
        <v>1839</v>
      </c>
      <c r="P34" s="2073" t="s">
        <v>1840</v>
      </c>
      <c r="Q34" s="2073" t="s">
        <v>1841</v>
      </c>
      <c r="R34" s="2073" t="s">
        <v>1842</v>
      </c>
      <c r="S34" s="3040" t="s">
        <v>1843</v>
      </c>
      <c r="T34" s="2133" t="str">
        <f>NUMBERSTRING(7-K34,1)&amp;"通"</f>
        <v>七通</v>
      </c>
      <c r="U34" s="2032"/>
      <c r="V34" s="2032"/>
    </row>
    <row r="35" spans="1:22" ht="18" customHeight="1">
      <c r="A35" s="2134"/>
      <c r="B35" s="3047" t="s">
        <v>1844</v>
      </c>
      <c r="C35" s="3047"/>
      <c r="D35" s="3047"/>
      <c r="E35" s="3047"/>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3054</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54" t="s">
        <v>3062</v>
      </c>
      <c r="B43" s="2955" t="s">
        <v>3063</v>
      </c>
      <c r="C43" s="2955" t="s">
        <v>3064</v>
      </c>
      <c r="D43" s="2955" t="s">
        <v>3065</v>
      </c>
      <c r="E43" s="2955" t="s">
        <v>3066</v>
      </c>
      <c r="F43" s="2955" t="s">
        <v>3067</v>
      </c>
      <c r="G43" s="2955" t="s">
        <v>3068</v>
      </c>
      <c r="H43" s="2956" t="s">
        <v>3069</v>
      </c>
      <c r="I43" s="2956" t="s">
        <v>3069</v>
      </c>
      <c r="J43" s="2957" t="s">
        <v>3069</v>
      </c>
      <c r="K43" s="2958" t="s">
        <v>3070</v>
      </c>
      <c r="L43" s="2958"/>
      <c r="M43" s="2956" t="s">
        <v>3069</v>
      </c>
      <c r="N43" s="2955" t="s">
        <v>3071</v>
      </c>
      <c r="O43" s="2956" t="s">
        <v>3069</v>
      </c>
      <c r="P43" s="2955" t="s">
        <v>3072</v>
      </c>
      <c r="Q43" s="2955" t="s">
        <v>3072</v>
      </c>
      <c r="R43" s="2955" t="s">
        <v>3072</v>
      </c>
      <c r="S43" s="2155"/>
      <c r="T43" s="2155"/>
      <c r="U43" s="2155"/>
      <c r="V43" s="2155"/>
    </row>
    <row r="44" spans="1:22" s="2156" customFormat="1" ht="34.5" customHeight="1">
      <c r="A44" s="2954" t="s">
        <v>3062</v>
      </c>
      <c r="B44" s="2954" t="s">
        <v>3073</v>
      </c>
      <c r="C44" s="2955" t="s">
        <v>3064</v>
      </c>
      <c r="D44" s="2955" t="s">
        <v>3065</v>
      </c>
      <c r="E44" s="2955" t="s">
        <v>3066</v>
      </c>
      <c r="F44" s="2955" t="s">
        <v>3074</v>
      </c>
      <c r="G44" s="2955" t="s">
        <v>3075</v>
      </c>
      <c r="H44" s="2956" t="s">
        <v>3069</v>
      </c>
      <c r="I44" s="2956" t="s">
        <v>3069</v>
      </c>
      <c r="J44" s="2957" t="s">
        <v>3069</v>
      </c>
      <c r="K44" s="2958" t="s">
        <v>3070</v>
      </c>
      <c r="L44" s="2958"/>
      <c r="M44" s="2956" t="s">
        <v>3069</v>
      </c>
      <c r="N44" s="2955" t="s">
        <v>3071</v>
      </c>
      <c r="O44" s="2956" t="s">
        <v>3069</v>
      </c>
      <c r="P44" s="2955" t="s">
        <v>3072</v>
      </c>
      <c r="Q44" s="2955" t="s">
        <v>3072</v>
      </c>
      <c r="R44" s="2955" t="s">
        <v>3072</v>
      </c>
      <c r="S44" s="2155"/>
      <c r="T44" s="2155"/>
      <c r="U44" s="2155"/>
      <c r="V44" s="2155"/>
    </row>
    <row r="45" spans="1:22" s="2156" customFormat="1" ht="32.25" customHeight="1">
      <c r="A45" s="2954" t="s">
        <v>3062</v>
      </c>
      <c r="B45" s="2954" t="s">
        <v>3076</v>
      </c>
      <c r="C45" s="2955" t="s">
        <v>3064</v>
      </c>
      <c r="D45" s="2955" t="s">
        <v>3065</v>
      </c>
      <c r="E45" s="2955" t="s">
        <v>3066</v>
      </c>
      <c r="F45" s="2955" t="s">
        <v>3074</v>
      </c>
      <c r="G45" s="2955" t="s">
        <v>3075</v>
      </c>
      <c r="H45" s="2956" t="s">
        <v>3069</v>
      </c>
      <c r="I45" s="2956" t="s">
        <v>3069</v>
      </c>
      <c r="J45" s="2957" t="s">
        <v>3069</v>
      </c>
      <c r="K45" s="2958" t="s">
        <v>3070</v>
      </c>
      <c r="L45" s="2958"/>
      <c r="M45" s="2956" t="s">
        <v>3069</v>
      </c>
      <c r="N45" s="2955" t="s">
        <v>3071</v>
      </c>
      <c r="O45" s="2956" t="s">
        <v>3069</v>
      </c>
      <c r="P45" s="2955" t="s">
        <v>3072</v>
      </c>
      <c r="Q45" s="2955" t="s">
        <v>3072</v>
      </c>
      <c r="R45" s="2955" t="s">
        <v>3072</v>
      </c>
      <c r="S45" s="2155"/>
      <c r="T45" s="2155"/>
      <c r="U45" s="2155"/>
      <c r="V45" s="2155"/>
    </row>
    <row r="46" spans="1:22" s="2156" customFormat="1" ht="33" customHeight="1">
      <c r="A46" s="2954" t="s">
        <v>3062</v>
      </c>
      <c r="B46" s="2954" t="s">
        <v>3077</v>
      </c>
      <c r="C46" s="2955" t="s">
        <v>3064</v>
      </c>
      <c r="D46" s="2955" t="s">
        <v>3065</v>
      </c>
      <c r="E46" s="2955" t="s">
        <v>3066</v>
      </c>
      <c r="F46" s="2955" t="s">
        <v>3074</v>
      </c>
      <c r="G46" s="2955" t="s">
        <v>3075</v>
      </c>
      <c r="H46" s="2956" t="s">
        <v>3069</v>
      </c>
      <c r="I46" s="2956" t="s">
        <v>3069</v>
      </c>
      <c r="J46" s="2957" t="s">
        <v>3069</v>
      </c>
      <c r="K46" s="2958" t="s">
        <v>3078</v>
      </c>
      <c r="L46" s="2958"/>
      <c r="M46" s="2956" t="s">
        <v>3069</v>
      </c>
      <c r="N46" s="2955" t="s">
        <v>3071</v>
      </c>
      <c r="O46" s="2956" t="s">
        <v>3069</v>
      </c>
      <c r="P46" s="2955" t="s">
        <v>3072</v>
      </c>
      <c r="Q46" s="2955" t="s">
        <v>3072</v>
      </c>
      <c r="R46" s="2955" t="s">
        <v>3072</v>
      </c>
      <c r="S46" s="2155"/>
      <c r="T46" s="2155"/>
      <c r="U46" s="2155"/>
      <c r="V46" s="2155"/>
    </row>
    <row r="47" spans="1:22" s="2156" customFormat="1" ht="32.25" customHeight="1">
      <c r="A47" s="2954" t="s">
        <v>3062</v>
      </c>
      <c r="B47" s="2954" t="s">
        <v>3079</v>
      </c>
      <c r="C47" s="2955" t="s">
        <v>3064</v>
      </c>
      <c r="D47" s="2955" t="s">
        <v>3065</v>
      </c>
      <c r="E47" s="2955" t="s">
        <v>3066</v>
      </c>
      <c r="F47" s="2955" t="s">
        <v>3074</v>
      </c>
      <c r="G47" s="2955" t="s">
        <v>3075</v>
      </c>
      <c r="H47" s="2956" t="s">
        <v>3069</v>
      </c>
      <c r="I47" s="2956" t="s">
        <v>3069</v>
      </c>
      <c r="J47" s="2957" t="s">
        <v>3069</v>
      </c>
      <c r="K47" s="2958" t="s">
        <v>3078</v>
      </c>
      <c r="L47" s="2958"/>
      <c r="M47" s="2956" t="s">
        <v>3069</v>
      </c>
      <c r="N47" s="2955" t="s">
        <v>3071</v>
      </c>
      <c r="O47" s="2956" t="s">
        <v>3069</v>
      </c>
      <c r="P47" s="2955" t="s">
        <v>3072</v>
      </c>
      <c r="Q47" s="2955" t="s">
        <v>3072</v>
      </c>
      <c r="R47" s="2955" t="s">
        <v>3072</v>
      </c>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3036.74</v>
      </c>
      <c r="B3" s="14">
        <f>IF(C3="否",G5-AT5,G5)</f>
        <v>3480.91</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3480.91</v>
      </c>
      <c r="H5" s="16">
        <f t="shared" ref="H5:AT5" si="0">SUM(H13:H656)</f>
        <v>3480.91</v>
      </c>
      <c r="I5" s="16">
        <f t="shared" si="0"/>
        <v>0</v>
      </c>
      <c r="J5" s="16">
        <f t="shared" si="0"/>
        <v>0</v>
      </c>
      <c r="K5" s="16">
        <f t="shared" si="0"/>
        <v>3480.91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3480.91</v>
      </c>
      <c r="BA5" s="18">
        <f t="shared" si="1"/>
        <v>3480.91</v>
      </c>
      <c r="BB5" s="18">
        <f t="shared" si="1"/>
        <v>0</v>
      </c>
      <c r="BC5" s="18">
        <f t="shared" si="1"/>
        <v>3480.91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1881</v>
      </c>
      <c r="B6" s="2173"/>
      <c r="C6" s="2173"/>
      <c r="D6" s="2174"/>
      <c r="E6" s="16">
        <f>H6+AC6+AT6</f>
        <v>3036.74</v>
      </c>
      <c r="F6" s="16" t="s">
        <v>1</v>
      </c>
      <c r="G6" s="16" t="s">
        <v>2</v>
      </c>
      <c r="H6" s="20">
        <f>SUMIF(I$12:AB$12,"总值",I6:AB6)</f>
        <v>3036.74</v>
      </c>
      <c r="I6" s="16">
        <f t="shared" ref="I6:AB6" si="2">ROUND($A$3*I5/$B$3,2)</f>
        <v>0</v>
      </c>
      <c r="J6" s="16">
        <f t="shared" si="2"/>
        <v>0</v>
      </c>
      <c r="K6" s="16">
        <f t="shared" si="2"/>
        <v>3036.74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3036.74</v>
      </c>
      <c r="AZ6" s="16" t="s">
        <v>3</v>
      </c>
      <c r="BA6" s="16">
        <f>ROUND($AY$6*BA5/$AZ$5,2)</f>
        <v>3036.74</v>
      </c>
      <c r="BB6" s="16">
        <f>ROUND($AY$6*BB5/$AZ$5,2)</f>
        <v>0</v>
      </c>
      <c r="BC6" s="16">
        <f t="shared" ref="BC6:BH6" si="4">ROUND($AY$6*BC5/$AZ$5,2)</f>
        <v>3036.74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3082</v>
      </c>
      <c r="J9" s="984"/>
      <c r="K9" s="2190" t="s">
        <v>3082</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3083</v>
      </c>
      <c r="J11" s="2202"/>
      <c r="K11" s="2201" t="s">
        <v>3084</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2945"/>
      <c r="B13" s="2945"/>
      <c r="C13" s="2961"/>
      <c r="D13" s="2212"/>
      <c r="E13" s="16">
        <f>IF($C$3="是",ROUND($A$3*G13/$B$3,2),ROUND($A$3*(G13-AT13)/$B$3,2))</f>
        <v>0</v>
      </c>
      <c r="F13" s="32"/>
      <c r="G13" s="33">
        <f>H13+AC13+AT13</f>
        <v>0</v>
      </c>
      <c r="H13" s="20">
        <f>SUMIF(I$12:AB$12,"总值",I13:AB13)</f>
        <v>0</v>
      </c>
      <c r="I13" s="2213"/>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 r="A14" s="2945">
        <f>A13</f>
        <v>0</v>
      </c>
      <c r="B14" s="2945" t="s">
        <v>3080</v>
      </c>
      <c r="C14" s="2944" t="s">
        <v>3081</v>
      </c>
      <c r="D14" s="2212" t="s">
        <v>3086</v>
      </c>
      <c r="E14" s="16">
        <f>IF($C$3="是",ROUND($A$3*G14/$B$3,2),ROUND($A$3*(G14-AT14)/$B$3,2))</f>
        <v>3036.74</v>
      </c>
      <c r="F14" s="32"/>
      <c r="G14" s="33">
        <f>H14+AC14+AT14</f>
        <v>3480.91</v>
      </c>
      <c r="H14" s="20">
        <f>SUMIF(I$12:AB$12,"总值",I14:AB14)</f>
        <v>3480.91</v>
      </c>
      <c r="I14" s="2213"/>
      <c r="J14" s="2213"/>
      <c r="K14" s="2213">
        <v>3480.91</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X京房权证顺字第270514号</v>
      </c>
      <c r="AX14" s="11" t="str">
        <f t="shared" si="6"/>
        <v>2幢</v>
      </c>
      <c r="AY14" s="1809">
        <f>ROUND($AY$6*AZ14/$AZ$5,2)</f>
        <v>3036.74</v>
      </c>
      <c r="AZ14" s="16">
        <f>BA14+BL14</f>
        <v>3480.91</v>
      </c>
      <c r="BA14" s="16">
        <f>SUM(BB14:BK14)</f>
        <v>3480.91</v>
      </c>
      <c r="BB14" s="16">
        <f>IF($D14="是",I14-J14,0)</f>
        <v>0</v>
      </c>
      <c r="BC14" s="16">
        <f>IF($D14="是",K14-L14,0)</f>
        <v>3480.91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2945"/>
      <c r="B15" s="2945"/>
      <c r="C15" s="2944"/>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59" t="s">
        <v>1940</v>
      </c>
      <c r="B2" s="3059"/>
      <c r="C2" s="3059"/>
      <c r="D2" s="970" t="s">
        <v>1916</v>
      </c>
      <c r="E2" s="2226" t="s">
        <v>1917</v>
      </c>
      <c r="F2" s="1395"/>
      <c r="G2" s="2227"/>
      <c r="H2" s="2228"/>
      <c r="I2" s="2229" t="s">
        <v>1941</v>
      </c>
      <c r="J2" s="1395"/>
      <c r="K2" s="1395"/>
      <c r="L2" s="1395"/>
      <c r="M2" s="1395"/>
      <c r="N2" s="1430"/>
      <c r="O2" s="1395"/>
      <c r="P2" s="1395"/>
    </row>
    <row r="3" spans="1:16" ht="15.75" thickBot="1">
      <c r="A3" s="3060" t="s">
        <v>1914</v>
      </c>
      <c r="B3" s="3060"/>
      <c r="C3" s="3060"/>
      <c r="D3" s="46">
        <f>'数据-基础表'!AY6</f>
        <v>3036.74</v>
      </c>
      <c r="E3" s="46">
        <f>'数据-基础表'!AZ5</f>
        <v>3480.91</v>
      </c>
      <c r="F3" s="1395"/>
      <c r="G3" s="1402"/>
      <c r="H3" s="1250" t="s">
        <v>1915</v>
      </c>
      <c r="I3" s="55">
        <f>ROUND('数据-基础表'!B3/'数据-基础表'!A3,2)</f>
        <v>1.1499999999999999</v>
      </c>
      <c r="J3" s="1395"/>
      <c r="K3" s="1395"/>
      <c r="L3" s="1395"/>
      <c r="M3" s="1395"/>
      <c r="N3" s="1430"/>
      <c r="O3" s="1395"/>
      <c r="P3" s="1395"/>
    </row>
    <row r="4" spans="1:16" ht="15">
      <c r="A4" s="3061"/>
      <c r="B4" s="3062"/>
      <c r="C4" s="3063"/>
      <c r="D4" s="2230" t="s">
        <v>1916</v>
      </c>
      <c r="E4" s="2231" t="s">
        <v>1917</v>
      </c>
      <c r="F4" s="1395"/>
      <c r="G4" s="2232" t="s">
        <v>1942</v>
      </c>
      <c r="H4" s="1250" t="s">
        <v>1922</v>
      </c>
      <c r="I4" s="55">
        <f>ROUND(SUMIF('数据-基础表'!I9:AS9,"地上",'数据-基础表'!I5:AS5)/'数据-基础表'!A3,2)</f>
        <v>1.1499999999999999</v>
      </c>
      <c r="J4" s="1395"/>
      <c r="K4" s="1395"/>
      <c r="L4" s="1395"/>
      <c r="M4" s="1395"/>
      <c r="N4" s="1430"/>
      <c r="O4" s="1395"/>
      <c r="P4" s="1395"/>
    </row>
    <row r="5" spans="1:16">
      <c r="A5" s="47" t="s">
        <v>1918</v>
      </c>
      <c r="B5" s="3064" t="s">
        <v>1919</v>
      </c>
      <c r="C5" s="3064"/>
      <c r="D5" s="48">
        <f>ROUND($D$3*E5/$E$3,2)</f>
        <v>0</v>
      </c>
      <c r="E5" s="49">
        <f>SUMIF('数据-基础表'!$11:$11,"住宅",'数据-基础表'!$5:$5)</f>
        <v>0</v>
      </c>
      <c r="F5" s="1395"/>
      <c r="G5" s="1402"/>
      <c r="H5" s="1250" t="s">
        <v>1915</v>
      </c>
      <c r="I5" s="55">
        <f>ROUND(E31/D31,2)</f>
        <v>1.1499999999999999</v>
      </c>
      <c r="J5" s="1395"/>
      <c r="K5" s="1395"/>
      <c r="L5" s="1395"/>
      <c r="M5" s="1395"/>
      <c r="N5" s="1395"/>
      <c r="O5" s="1395"/>
      <c r="P5" s="1395"/>
    </row>
    <row r="6" spans="1:16" ht="15" thickBot="1">
      <c r="A6" s="2233"/>
      <c r="B6" s="3064" t="s">
        <v>1920</v>
      </c>
      <c r="C6" s="3064"/>
      <c r="D6" s="48">
        <f>ROUND($D$3*E6/$E$3,2)</f>
        <v>3036.74</v>
      </c>
      <c r="E6" s="49">
        <f>E3-E5</f>
        <v>3480.91</v>
      </c>
      <c r="F6" s="1395"/>
      <c r="G6" s="2234" t="s">
        <v>1921</v>
      </c>
      <c r="H6" s="1402" t="s">
        <v>1922</v>
      </c>
      <c r="I6" s="942">
        <f>ROUND(F31/D31,2)</f>
        <v>1.1499999999999999</v>
      </c>
      <c r="J6" s="1395"/>
      <c r="K6" s="1395"/>
      <c r="L6" s="1395"/>
      <c r="M6" s="1395"/>
      <c r="N6" s="1395"/>
      <c r="O6" s="1395"/>
      <c r="P6" s="1395"/>
    </row>
    <row r="7" spans="1:16" ht="15">
      <c r="A7" s="3056"/>
      <c r="B7" s="3057"/>
      <c r="C7" s="3058"/>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3036.74</v>
      </c>
      <c r="E8" s="51">
        <f>SUMIF('数据-基础表'!BB10:BK10,"地上",'数据-基础表'!BB5:BK5)</f>
        <v>3480.91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3036.74</v>
      </c>
      <c r="E16" s="53">
        <f>SUM(E8:E15)</f>
        <v>3480.91</v>
      </c>
      <c r="F16" s="1395"/>
      <c r="G16" s="2236"/>
      <c r="H16" s="2239" t="s">
        <v>1944</v>
      </c>
      <c r="I16" s="2240"/>
      <c r="J16" s="1395"/>
      <c r="K16" s="3053" t="s">
        <v>1944</v>
      </c>
      <c r="L16" s="3054"/>
      <c r="M16" s="3054"/>
      <c r="N16" s="3054"/>
      <c r="O16" s="3054"/>
      <c r="P16" s="3055"/>
    </row>
    <row r="17" spans="1:19" ht="15">
      <c r="A17" s="2241" t="s">
        <v>1945</v>
      </c>
      <c r="B17" s="2242" t="s">
        <v>1946</v>
      </c>
      <c r="C17" s="2243" t="s">
        <v>1947</v>
      </c>
      <c r="D17" s="2244" t="s">
        <v>1935</v>
      </c>
      <c r="E17" s="2245" t="s">
        <v>1936</v>
      </c>
      <c r="F17" s="2246"/>
      <c r="G17" s="2247"/>
      <c r="H17" s="2248" t="s">
        <v>1948</v>
      </c>
      <c r="I17" s="2249" t="s">
        <v>1933</v>
      </c>
      <c r="J17" s="1395"/>
      <c r="K17" s="3050" t="s">
        <v>1949</v>
      </c>
      <c r="L17" s="3051"/>
      <c r="M17" s="3052"/>
      <c r="N17" s="3050" t="s">
        <v>1950</v>
      </c>
      <c r="O17" s="3051"/>
      <c r="P17" s="3052"/>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c r="D19" s="48">
        <f>ROUND($D$3*E19/$E$3,2)</f>
        <v>0</v>
      </c>
      <c r="E19" s="56">
        <f t="shared" ref="E19:E26" si="1">SUM(F19:G19)</f>
        <v>0</v>
      </c>
      <c r="F19" s="57"/>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0</v>
      </c>
    </row>
    <row r="20" spans="1:19">
      <c r="A20" s="2262"/>
      <c r="B20" s="50" t="s">
        <v>1962</v>
      </c>
      <c r="C20" s="2946" t="s">
        <v>3085</v>
      </c>
      <c r="D20" s="48">
        <f t="shared" ref="D20:D26" si="6">ROUND($D$3*E20/$E$3,2)</f>
        <v>3036.74</v>
      </c>
      <c r="E20" s="56">
        <f t="shared" si="1"/>
        <v>3480.91</v>
      </c>
      <c r="F20" s="57">
        <v>3480.91</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3036.74</v>
      </c>
      <c r="S20" s="1251">
        <f t="shared" si="5"/>
        <v>3480.91</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3036.74</v>
      </c>
      <c r="E27" s="1397">
        <f>IF(SUM(E19:E26)='数据-基础表'!BA5,SUM(E19:E26),IF(F27="地上面积有误","面积有误","地下面积有误"))</f>
        <v>3480.91</v>
      </c>
      <c r="F27" s="1396">
        <f>IF(SUM(F19:F26)=E8,SUM(F19:F26),"地上面积有误")</f>
        <v>3480.91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3036.74</v>
      </c>
      <c r="S27" s="1250">
        <f>IF(SUM(S19:S26)=$E$3,SUM(S19:S26),SUM(S19:S26)&amp;"误差"&amp;ROUND(SUM(S19:S26)-E3,2))</f>
        <v>3480.91</v>
      </c>
    </row>
    <row r="28" spans="1:19">
      <c r="A28" s="2262"/>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1967</v>
      </c>
      <c r="D31" s="729">
        <f>D27+D30</f>
        <v>3036.74</v>
      </c>
      <c r="E31" s="729">
        <f>E27+E30</f>
        <v>3480.91</v>
      </c>
      <c r="F31" s="730">
        <f>F27+F30</f>
        <v>3480.91</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D36" sqref="D3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3095</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f>'数据-汇总表'!C19</f>
        <v>0</v>
      </c>
      <c r="B6" s="2306" t="str">
        <f>IF(A6=0,"","经营性")</f>
        <v/>
      </c>
      <c r="C6" s="2307" t="s">
        <v>6</v>
      </c>
      <c r="D6" s="1054">
        <f>SUMIF(项目基本情况!D$12:I$12,C6,项目基本情况!D$14:I$14)</f>
        <v>50</v>
      </c>
      <c r="E6" s="1051" t="str">
        <f>IF(B6="","",SUMIF(项目基本情况!D$12:I$12,C6,项目基本情况!D$13:I$13))</f>
        <v/>
      </c>
      <c r="F6" s="72">
        <f>SUMIF(项目基本情况!D$12:I$12,C6,项目基本情况!D$15:I$15)</f>
        <v>40.83</v>
      </c>
      <c r="G6" s="73">
        <f>IF(ISERROR(ROUND(POWER(1+H6,D6-F6)*(POWER(1+H6,F6)-1)/(POWER(1+H6,D6)-1),3)),0,ROUND(POWER(1+H6,D6-F6)*(POWER(1+H6,F6)-1)/(POWER(1+H6,D6)-1),3))</f>
        <v>0.94599999999999995</v>
      </c>
      <c r="H6" s="802">
        <v>0.05</v>
      </c>
      <c r="I6" s="802">
        <v>5.5E-2</v>
      </c>
      <c r="J6" s="74">
        <v>8.5000000000000006E-2</v>
      </c>
      <c r="K6" s="1254">
        <f>SUMIF('数据-汇总表'!C$19:C$33,A6,'数据-汇总表'!E$19:E$33)</f>
        <v>0</v>
      </c>
      <c r="L6" s="803">
        <v>2500</v>
      </c>
      <c r="M6" s="75">
        <f t="shared" ref="M6:M14" si="0">ROUND(K6*L6/10000,0)</f>
        <v>0</v>
      </c>
      <c r="N6" s="801">
        <f>ROUND(1-(2018-2009)/60,2)</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1.35</v>
      </c>
      <c r="V6" s="79">
        <v>0.02</v>
      </c>
      <c r="W6" s="79">
        <v>0.1</v>
      </c>
      <c r="X6" s="1264"/>
      <c r="Y6" s="80">
        <v>0.85</v>
      </c>
      <c r="Z6" s="81"/>
      <c r="AA6" s="74"/>
      <c r="AB6" s="74"/>
      <c r="AC6" s="1264"/>
      <c r="AD6" s="82"/>
      <c r="AE6" s="1265" t="e">
        <f ca="1">IF(AN6="",0,SUMIF(INDIRECT("'"&amp;AN6&amp;"'"&amp;"!E:E"),$AE$5,INDIRECT("'"&amp;AN6&amp;"'"&amp;"!F:F")))</f>
        <v>#N/A</v>
      </c>
      <c r="AF6" s="1807"/>
      <c r="AG6" s="147">
        <f>IF(AF6="",0,AE6-AF6)</f>
        <v>0</v>
      </c>
      <c r="AH6" s="83"/>
      <c r="AI6" s="85">
        <v>365</v>
      </c>
      <c r="AJ6" s="86"/>
      <c r="AK6" s="87">
        <v>1.4999999999999999E-2</v>
      </c>
      <c r="AL6" s="88">
        <v>1.5E-3</v>
      </c>
      <c r="AM6" s="89">
        <v>1.4999999999999999E-2</v>
      </c>
      <c r="AN6" s="2308" t="s">
        <v>3087</v>
      </c>
      <c r="AO6" s="55" t="e">
        <f ca="1">SUMIF(INDIRECT("'"&amp;AN6&amp;"'"&amp;"!A:A"),"总价",INDIRECT("'"&amp;AN6&amp;"'"&amp;"!B:B"))</f>
        <v>#N/A</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58107</v>
      </c>
      <c r="F7" s="72">
        <f>SUMIF(项目基本情况!D$12:I$12,C7,项目基本情况!D$15:I$15)</f>
        <v>40.83</v>
      </c>
      <c r="G7" s="73">
        <f t="shared" ref="G7:G11" si="2">IF(ISERROR(ROUND(POWER(1+H7,D7-F7)*(POWER(1+H7,F7)-1)/(POWER(1+H7,D7)-1),3)),0,ROUND(POWER(1+H7,D7-F7)*(POWER(1+H7,F7)-1)/(POWER(1+H7,D7)-1),3))</f>
        <v>0.94599999999999995</v>
      </c>
      <c r="H7" s="802">
        <v>0.05</v>
      </c>
      <c r="I7" s="802">
        <v>5.5E-2</v>
      </c>
      <c r="J7" s="74">
        <v>8.5000000000000006E-2</v>
      </c>
      <c r="K7" s="1254">
        <f>SUMIF('数据-汇总表'!C$19:C$33,A7,'数据-汇总表'!E$19:E$33)</f>
        <v>3480.91</v>
      </c>
      <c r="L7" s="803">
        <v>2800</v>
      </c>
      <c r="M7" s="75">
        <f t="shared" si="0"/>
        <v>975</v>
      </c>
      <c r="N7" s="801">
        <f>ROUND(1-(2018-2009)/60,2)</f>
        <v>0.85</v>
      </c>
      <c r="O7" s="75" t="str">
        <f t="shared" ref="O7:O14" si="3">IF($N$5="成新度","——",ROUND(M7*N7,0))</f>
        <v>——</v>
      </c>
      <c r="P7" s="76" t="str">
        <f t="shared" ref="P7:P14" si="4">IF($N$5="成新度","——",M7-O7)</f>
        <v>——</v>
      </c>
      <c r="Q7" s="804">
        <v>0.1</v>
      </c>
      <c r="R7" s="77">
        <f ca="1">SUMIF('数据-汇总表'!C$19:C$33,A7,'数据-汇总表'!R$19:R$27)</f>
        <v>3036.74</v>
      </c>
      <c r="S7" s="54">
        <f>IF('数据-汇总表'!$I$17="按面积比例",SUMIF('数据-汇总表'!C$19:C$33,A7,'数据-汇总表'!K$19:K$33),SUMIF('数据-汇总表'!C$19:C$33,A7,'数据-汇总表'!N$19:N$33))</f>
        <v>0</v>
      </c>
      <c r="T7" s="1446">
        <f t="shared" ref="T7:T13" si="5">ROUND($L$14*S7/10000,0)</f>
        <v>0</v>
      </c>
      <c r="U7" s="78">
        <v>1.45</v>
      </c>
      <c r="V7" s="79">
        <v>0.02</v>
      </c>
      <c r="W7" s="79">
        <v>0.1</v>
      </c>
      <c r="X7" s="1264"/>
      <c r="Y7" s="80">
        <v>0.85</v>
      </c>
      <c r="Z7" s="81"/>
      <c r="AA7" s="74"/>
      <c r="AB7" s="74"/>
      <c r="AC7" s="1264"/>
      <c r="AD7" s="82"/>
      <c r="AE7" s="1265">
        <f t="shared" ref="AE7:AE13" ca="1" si="6">IF(AN7="",0,SUMIF(INDIRECT("'"&amp;AN7&amp;"'"&amp;"!E:E"),$AE$5,INDIRECT("'"&amp;AN7&amp;"'"&amp;"!F:F")))</f>
        <v>40.83</v>
      </c>
      <c r="AF7" s="1807"/>
      <c r="AG7" s="147">
        <f t="shared" ref="AG7:AG13" si="7">IF(AF7="",0,AE7-AF7)</f>
        <v>0</v>
      </c>
      <c r="AH7" s="83"/>
      <c r="AI7" s="85">
        <v>365</v>
      </c>
      <c r="AJ7" s="86"/>
      <c r="AK7" s="87">
        <v>1.4999999999999999E-2</v>
      </c>
      <c r="AL7" s="88">
        <v>1.5E-3</v>
      </c>
      <c r="AM7" s="89">
        <v>1.4999999999999999E-2</v>
      </c>
      <c r="AN7" s="2308" t="s">
        <v>3099</v>
      </c>
      <c r="AO7" s="55">
        <f t="shared" ref="AO7:AO13" ca="1" si="8">SUMIF(INDIRECT("'"&amp;AN7&amp;"'"&amp;"!A:A"),"总价",INDIRECT("'"&amp;AN7&amp;"'"&amp;"!B:B"))</f>
        <v>2560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0</v>
      </c>
      <c r="L14" s="91">
        <v>800</v>
      </c>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0.94599999999999995</v>
      </c>
      <c r="H16" s="99">
        <f>ROUND(SUMPRODUCT(H6:H13,K6:K13)/SUMPRODUCT((H6:H13&gt;0)*(K6:K13)),3)</f>
        <v>0.05</v>
      </c>
      <c r="I16" s="100"/>
      <c r="J16" s="100"/>
      <c r="K16" s="101">
        <f>SUM(K6:K15)</f>
        <v>3480.91</v>
      </c>
      <c r="L16" s="102">
        <f>ROUND(M16*10000/SUM(K6:K14),0)</f>
        <v>2801</v>
      </c>
      <c r="M16" s="102">
        <f>SUM(M6:M14)</f>
        <v>975</v>
      </c>
      <c r="N16" s="103">
        <f>ROUND(SUMPRODUCT(M6:M14,N6:N14)/M16,3)</f>
        <v>0.85</v>
      </c>
      <c r="O16" s="102">
        <f>SUM(O6:O14)</f>
        <v>0</v>
      </c>
      <c r="P16" s="102">
        <f>SUM(P6:P14)</f>
        <v>0</v>
      </c>
      <c r="Q16" s="104">
        <f>ROUND(SUMPRODUCT(Q6:Q13,K6:K13)/SUMPRODUCT((Q6:Q13&gt;0)*(K6:K13)),2)</f>
        <v>0.1</v>
      </c>
      <c r="R16" s="1258">
        <f ca="1">SUM(R6:R13)</f>
        <v>3036.74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5" t="s">
        <v>2084</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3088</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3134</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3090</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3244</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3089</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3091</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3129</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3480.91</v>
      </c>
      <c r="C1" s="1745"/>
      <c r="D1" s="1745"/>
      <c r="E1" s="1745"/>
      <c r="F1" s="1745"/>
      <c r="G1" s="1743"/>
    </row>
    <row r="2" spans="1:10" ht="16.5">
      <c r="A2" s="1746" t="s">
        <v>1353</v>
      </c>
      <c r="B2" s="1746">
        <f>SUM(C14:C23)</f>
        <v>3036.74</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2250</v>
      </c>
      <c r="C5" s="1746">
        <f ca="1">ROUND(B5*10000/$B$1,0)</f>
        <v>6464</v>
      </c>
      <c r="D5" s="1746">
        <f ca="1">ROUND(B5*10000/$B$2,0)</f>
        <v>7409</v>
      </c>
      <c r="E5" s="1745"/>
      <c r="F5" s="1743"/>
      <c r="G5" s="1743"/>
    </row>
    <row r="6" spans="1:10" ht="16.5">
      <c r="A6" s="1746" t="s">
        <v>1356</v>
      </c>
      <c r="B6" s="1746">
        <f ca="1">SUM(G14:G23)</f>
        <v>2250</v>
      </c>
      <c r="C6" s="1746">
        <f ca="1">ROUND(B6*10000/$B$1,0)</f>
        <v>6464</v>
      </c>
      <c r="D6" s="1746">
        <f ca="1">ROUND(B6*10000/$B$2,0)</f>
        <v>7409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3480.91</v>
      </c>
      <c r="C14" s="1744">
        <f>结果表!C118</f>
        <v>3036.74</v>
      </c>
      <c r="D14" s="1744">
        <f ca="1">结果表!H118</f>
        <v>2250</v>
      </c>
      <c r="E14" s="1744">
        <f ca="1">ROUND(D14*10000/B14,0)</f>
        <v>6464</v>
      </c>
      <c r="F14" s="1744">
        <f ca="1">ROUND(D14*10000/C14,0)</f>
        <v>7409</v>
      </c>
      <c r="G14" s="1744">
        <f ca="1">结果表!D122</f>
        <v>2250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G38" sqref="G3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3055</v>
      </c>
      <c r="H1" s="2419" t="str">
        <f>IF(G1="现房","——","估价对象范围")</f>
        <v>——</v>
      </c>
      <c r="I1" s="2420"/>
    </row>
    <row r="2" spans="1:12" ht="21.75" customHeight="1" thickBot="1">
      <c r="A2" s="3139" t="str">
        <f>项目基本情况!S2</f>
        <v>北京市顺义区东支路北法信段23号2幢工业用房房地产</v>
      </c>
      <c r="B2" s="3140"/>
      <c r="C2" s="3140"/>
      <c r="D2" s="3140"/>
      <c r="E2" s="3140"/>
      <c r="F2" s="3140"/>
      <c r="G2" s="3140"/>
      <c r="H2" s="3140"/>
      <c r="I2" s="3141"/>
    </row>
    <row r="3" spans="1:12" ht="12.75">
      <c r="A3" s="3142" t="s">
        <v>2121</v>
      </c>
      <c r="B3" s="3143"/>
      <c r="C3" s="3143"/>
      <c r="D3" s="3143"/>
      <c r="E3" s="3143"/>
      <c r="F3" s="3143"/>
      <c r="G3" s="3143"/>
      <c r="H3" s="3143"/>
      <c r="I3" s="3143"/>
    </row>
    <row r="4" spans="1:12" ht="14.25">
      <c r="A4" s="2423" t="s">
        <v>2122</v>
      </c>
      <c r="B4" s="2424" t="s">
        <v>2123</v>
      </c>
      <c r="C4" s="2425" t="s">
        <v>3252</v>
      </c>
      <c r="D4" s="2425" t="s">
        <v>3099</v>
      </c>
      <c r="E4" s="3123" t="s">
        <v>2124</v>
      </c>
      <c r="F4" s="3136"/>
      <c r="G4" s="3136"/>
      <c r="H4" s="3136"/>
      <c r="I4" s="312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2125</v>
      </c>
      <c r="B5" s="3040">
        <v>25</v>
      </c>
      <c r="C5" s="3144"/>
      <c r="D5" s="3132"/>
      <c r="E5" s="140" t="s">
        <v>2126</v>
      </c>
      <c r="F5" s="2427"/>
      <c r="G5" s="2427"/>
      <c r="H5" s="2427"/>
      <c r="I5" s="1834"/>
    </row>
    <row r="6" spans="1:12" ht="12.75">
      <c r="A6" s="3114"/>
      <c r="B6" s="3040"/>
      <c r="C6" s="3146"/>
      <c r="D6" s="3132"/>
      <c r="E6" s="140" t="s">
        <v>2127</v>
      </c>
      <c r="F6" s="2427"/>
      <c r="G6" s="2427"/>
      <c r="H6" s="2427"/>
      <c r="I6" s="1834"/>
    </row>
    <row r="7" spans="1:12" ht="12.75">
      <c r="A7" s="3114"/>
      <c r="B7" s="3040"/>
      <c r="C7" s="3145"/>
      <c r="D7" s="3132"/>
      <c r="E7" s="140" t="s">
        <v>2128</v>
      </c>
      <c r="F7" s="2427"/>
      <c r="G7" s="2427"/>
      <c r="H7" s="2427"/>
      <c r="I7" s="1834"/>
    </row>
    <row r="8" spans="1:12" ht="12.75">
      <c r="A8" s="3114" t="s">
        <v>2129</v>
      </c>
      <c r="B8" s="3040">
        <v>15</v>
      </c>
      <c r="C8" s="3144"/>
      <c r="D8" s="3132"/>
      <c r="E8" s="140" t="s">
        <v>2130</v>
      </c>
      <c r="F8" s="2427"/>
      <c r="G8" s="2427"/>
      <c r="H8" s="2427"/>
      <c r="I8" s="1834"/>
    </row>
    <row r="9" spans="1:12" ht="12.75">
      <c r="A9" s="3114"/>
      <c r="B9" s="3040"/>
      <c r="C9" s="3145"/>
      <c r="D9" s="3132"/>
      <c r="E9" s="140" t="s">
        <v>2131</v>
      </c>
      <c r="F9" s="2427"/>
      <c r="G9" s="2427"/>
      <c r="H9" s="2427"/>
      <c r="I9" s="1834"/>
    </row>
    <row r="10" spans="1:12" ht="12.75">
      <c r="A10" s="3114" t="s">
        <v>2132</v>
      </c>
      <c r="B10" s="3040">
        <v>15</v>
      </c>
      <c r="C10" s="3144"/>
      <c r="D10" s="3132"/>
      <c r="E10" s="140" t="s">
        <v>2133</v>
      </c>
      <c r="F10" s="2427"/>
      <c r="G10" s="2427"/>
      <c r="H10" s="2427"/>
      <c r="I10" s="1834"/>
    </row>
    <row r="11" spans="1:12" ht="12.75">
      <c r="A11" s="3114"/>
      <c r="B11" s="3040"/>
      <c r="C11" s="3145"/>
      <c r="D11" s="3132"/>
      <c r="E11" s="140" t="s">
        <v>2134</v>
      </c>
      <c r="F11" s="2427"/>
      <c r="G11" s="2427"/>
      <c r="H11" s="2427"/>
      <c r="I11" s="1834"/>
    </row>
    <row r="12" spans="1:12" ht="12.75">
      <c r="A12" s="3114" t="s">
        <v>2135</v>
      </c>
      <c r="B12" s="3040">
        <v>15</v>
      </c>
      <c r="C12" s="3144"/>
      <c r="D12" s="3132"/>
      <c r="E12" s="140" t="s">
        <v>2136</v>
      </c>
      <c r="F12" s="2427"/>
      <c r="G12" s="2427"/>
      <c r="H12" s="2427"/>
      <c r="I12" s="1834"/>
    </row>
    <row r="13" spans="1:12" ht="12.75">
      <c r="A13" s="3114"/>
      <c r="B13" s="3040"/>
      <c r="C13" s="3145"/>
      <c r="D13" s="3132"/>
      <c r="E13" s="140" t="s">
        <v>2137</v>
      </c>
      <c r="F13" s="2427"/>
      <c r="G13" s="2427"/>
      <c r="H13" s="2427"/>
      <c r="I13" s="1834"/>
    </row>
    <row r="14" spans="1:12" ht="12.75">
      <c r="A14" s="3114" t="s">
        <v>2138</v>
      </c>
      <c r="B14" s="3040">
        <v>30</v>
      </c>
      <c r="C14" s="3144">
        <v>40</v>
      </c>
      <c r="D14" s="3132">
        <v>60</v>
      </c>
      <c r="E14" s="140" t="s">
        <v>2139</v>
      </c>
      <c r="F14" s="2427"/>
      <c r="G14" s="2427"/>
      <c r="H14" s="2427"/>
      <c r="I14" s="1834"/>
    </row>
    <row r="15" spans="1:12" ht="12.75">
      <c r="A15" s="3114"/>
      <c r="B15" s="3040"/>
      <c r="C15" s="3146"/>
      <c r="D15" s="3132"/>
      <c r="E15" s="140" t="s">
        <v>2140</v>
      </c>
      <c r="F15" s="2427"/>
      <c r="G15" s="2427"/>
      <c r="H15" s="2427"/>
      <c r="I15" s="1834"/>
    </row>
    <row r="16" spans="1:12" ht="12.75">
      <c r="A16" s="3114"/>
      <c r="B16" s="3040"/>
      <c r="C16" s="3145"/>
      <c r="D16" s="3132"/>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3480.91</v>
      </c>
      <c r="M18" s="2426">
        <f>IF(C1="",'数据-汇总表'!E3,SUMIF(项目类型,C1,'数据-汇总表'!E17:E26))</f>
        <v>3480.91</v>
      </c>
    </row>
    <row r="19" spans="1:35" ht="15">
      <c r="A19" s="2432" t="s">
        <v>2147</v>
      </c>
      <c r="B19" s="2433" t="s">
        <v>2148</v>
      </c>
      <c r="C19" s="143">
        <f ca="1">SUMIF(INDIRECT("'"&amp;C4&amp;"'"&amp;"!A:A"),结果表!B19,INDIRECT("'"&amp;C4&amp;"'"&amp;"!B:B"))</f>
        <v>1784</v>
      </c>
      <c r="D19" s="144">
        <f ca="1">SUMIF(INDIRECT("'"&amp;D4&amp;"'"&amp;"!A:A"),结果表!B19,INDIRECT("'"&amp;D4&amp;"'"&amp;"!B:B"))</f>
        <v>2560</v>
      </c>
      <c r="E19" s="2432" t="s">
        <v>2149</v>
      </c>
      <c r="F19" s="2433" t="s">
        <v>2148</v>
      </c>
      <c r="G19" s="145">
        <f ca="1">ROUND(C19*$C$18+D19*$D$18,0)</f>
        <v>2250</v>
      </c>
      <c r="H19" s="2434" t="s">
        <v>2150</v>
      </c>
      <c r="I19" s="138"/>
      <c r="K19" s="2426" t="s">
        <v>2151</v>
      </c>
      <c r="L19" s="2426">
        <f>IF(C1="",'数据-汇总表'!D3,SUMIF(项目类型,C1,'数据-汇总表'!D17:D26)+SUMIF(项目类型,C1,'数据-汇总表'!H17:H27))</f>
        <v>3036.74</v>
      </c>
      <c r="M19" s="2426">
        <f>IF(C1="",'数据-汇总表'!D3,SUMIF(项目类型,C1,'数据-汇总表'!D17:D26))</f>
        <v>3036.74</v>
      </c>
    </row>
    <row r="20" spans="1:35" ht="15">
      <c r="A20" s="2435"/>
      <c r="B20" s="1250" t="s">
        <v>2152</v>
      </c>
      <c r="C20" s="146">
        <f ca="1">SUMIF(INDIRECT("'"&amp;C4&amp;"'"&amp;"!A:A"),结果表!B20,INDIRECT("'"&amp;C4&amp;"'"&amp;"!B:B"))</f>
        <v>5125</v>
      </c>
      <c r="D20" s="147">
        <f ca="1">SUMIF(INDIRECT("'"&amp;D4&amp;"'"&amp;"!A:A"),结果表!B20,INDIRECT("'"&amp;D4&amp;"'"&amp;"!B:B"))</f>
        <v>7354</v>
      </c>
      <c r="E20" s="2435"/>
      <c r="F20" s="1250" t="s">
        <v>2152</v>
      </c>
      <c r="G20" s="148">
        <f ca="1">ROUND(C20*$C$18+D20*$D$18,0)</f>
        <v>6462</v>
      </c>
      <c r="H20" s="983" t="s">
        <v>2153</v>
      </c>
      <c r="I20" s="138"/>
    </row>
    <row r="21" spans="1:35" ht="15" customHeight="1" thickBot="1">
      <c r="A21" s="1003"/>
      <c r="B21" s="2436" t="s">
        <v>2154</v>
      </c>
      <c r="C21" s="789">
        <f ca="1">ROUND(C19*10000/L19,0)</f>
        <v>5875</v>
      </c>
      <c r="D21" s="790">
        <f ca="1">ROUND(D19*10000/L19,0)</f>
        <v>8430</v>
      </c>
      <c r="E21" s="1003"/>
      <c r="F21" s="2436" t="s">
        <v>2154</v>
      </c>
      <c r="G21" s="149">
        <f ca="1">ROUND(G19*10000/L19,0)</f>
        <v>7409</v>
      </c>
      <c r="H21" s="2437" t="s">
        <v>2153</v>
      </c>
      <c r="I21" s="138"/>
    </row>
    <row r="22" spans="1:35" ht="15" thickBot="1">
      <c r="A22" s="2280" t="s">
        <v>2155</v>
      </c>
      <c r="B22" s="2438"/>
      <c r="C22" s="2439"/>
      <c r="D22" s="791">
        <f ca="1">IF(C19&lt;D19,D19/C19-1,C19/D19-1)</f>
        <v>0.43497757847533625</v>
      </c>
      <c r="E22" s="138"/>
      <c r="F22" s="138"/>
      <c r="G22" s="138"/>
      <c r="H22" s="138"/>
      <c r="I22" s="138"/>
    </row>
    <row r="23" spans="1:35" ht="13.5" thickBot="1">
      <c r="A23" s="2416"/>
      <c r="B23" s="2416"/>
      <c r="C23" s="2416"/>
      <c r="D23" s="2416"/>
      <c r="E23" s="138"/>
      <c r="F23" s="138"/>
      <c r="G23" s="138"/>
      <c r="H23" s="138"/>
      <c r="I23" s="138"/>
    </row>
    <row r="24" spans="1:35" ht="14.25">
      <c r="A24" s="3153" t="s">
        <v>2156</v>
      </c>
      <c r="B24" s="2433" t="s">
        <v>2148</v>
      </c>
      <c r="C24" s="145">
        <f>IF(B30=0,0,D30)</f>
        <v>0</v>
      </c>
      <c r="D24" s="2440"/>
      <c r="E24" s="138"/>
      <c r="F24" s="138"/>
      <c r="G24" s="138"/>
      <c r="H24" s="138"/>
      <c r="I24" s="138"/>
    </row>
    <row r="25" spans="1:35" ht="14.25">
      <c r="A25" s="3154"/>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2250</v>
      </c>
      <c r="D32" s="2447" t="s">
        <v>2163</v>
      </c>
      <c r="E32" s="138"/>
      <c r="F32" s="138"/>
      <c r="G32" s="138"/>
      <c r="H32" s="138"/>
      <c r="I32" s="138"/>
    </row>
    <row r="33" spans="1:15" ht="15">
      <c r="A33" s="960" t="s">
        <v>2164</v>
      </c>
      <c r="B33" s="2448"/>
      <c r="C33" s="2449" t="s">
        <v>3258</v>
      </c>
      <c r="D33" s="2450" t="s">
        <v>3252</v>
      </c>
      <c r="E33" s="2451" t="s">
        <v>2165</v>
      </c>
      <c r="F33" s="2452" t="str">
        <f>IF(D32="楼面单价","取值（单价）","取值（总价）")</f>
        <v>取值（总价）</v>
      </c>
      <c r="G33" s="138"/>
      <c r="H33" s="138"/>
      <c r="I33" s="138"/>
    </row>
    <row r="34" spans="1:15" ht="15">
      <c r="A34" s="2453"/>
      <c r="B34" s="2454" t="s">
        <v>2166</v>
      </c>
      <c r="C34" s="157">
        <f ca="1">IF(C33="自定义",F34,C32-C35)</f>
        <v>747</v>
      </c>
      <c r="D34" s="1058">
        <f ca="1">IF(C33="自定义",ROUND(C34/C32,3),IF(C33="收益比率",SUMIF(INDIRECT("'"&amp;D33&amp;"'"&amp;"!b:b"),"土地收益比率",INDIRECT("'"&amp;D33&amp;"'"&amp;"!c:c")),SUMIF(INDIRECT("'"&amp;D33&amp;"'"&amp;"!b:b"),"土地成本比率",INDIRECT("'"&amp;D33&amp;"'"&amp;"!c:c"))))</f>
        <v>0.33199999999999996</v>
      </c>
      <c r="E34" s="2455" t="s">
        <v>2167</v>
      </c>
      <c r="F34" s="1739"/>
      <c r="G34" s="138"/>
      <c r="H34" s="138"/>
      <c r="I34" s="138"/>
    </row>
    <row r="35" spans="1:15" ht="15.75" thickBot="1">
      <c r="A35" s="2456"/>
      <c r="B35" s="2457" t="s">
        <v>2168</v>
      </c>
      <c r="C35" s="1444">
        <f ca="1">IF(C33="自定义",F35,ROUND(C32*D35,0))</f>
        <v>1503</v>
      </c>
      <c r="D35" s="1445">
        <f ca="1">IF(C33="自定义",ROUND(C35/C32,3),IF(C33="收益比率",SUMIF(INDIRECT("'"&amp;D33&amp;"'"&amp;"!b:b"),"建筑物收益比率",INDIRECT("'"&amp;D33&amp;"'"&amp;"!c:c")),SUMIF(INDIRECT("'"&amp;D33&amp;"'"&amp;"!b:b"),"建筑物成本比率",INDIRECT("'"&amp;D33&amp;"'"&amp;"!c:c"))))</f>
        <v>0.66800000000000004</v>
      </c>
      <c r="E35" s="2458" t="s">
        <v>2169</v>
      </c>
      <c r="F35" s="163"/>
      <c r="G35" s="138"/>
      <c r="H35" s="138"/>
      <c r="I35" s="138"/>
    </row>
    <row r="36" spans="1:15" ht="15.75" thickBot="1">
      <c r="A36" s="3133" t="s">
        <v>2170</v>
      </c>
      <c r="B36" s="2459" t="s">
        <v>2171</v>
      </c>
      <c r="C36" s="154"/>
      <c r="D36" s="2460"/>
      <c r="E36" s="2461"/>
      <c r="F36" s="2462"/>
      <c r="G36" s="138"/>
      <c r="H36" s="138"/>
      <c r="I36" s="138"/>
    </row>
    <row r="37" spans="1:15" ht="15.75" thickBot="1">
      <c r="A37" s="3134"/>
      <c r="B37" s="2266" t="s">
        <v>2172</v>
      </c>
      <c r="C37" s="156"/>
      <c r="D37" s="1395"/>
      <c r="E37" s="1395"/>
      <c r="F37" s="2462"/>
      <c r="G37" s="138"/>
      <c r="H37" s="138"/>
      <c r="I37" s="138"/>
    </row>
    <row r="38" spans="1:15" ht="15.75" thickBot="1">
      <c r="A38" s="3135"/>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50" t="s">
        <v>2184</v>
      </c>
      <c r="B45" s="3151"/>
      <c r="C45" s="3152"/>
      <c r="D45" s="164">
        <f ca="1">ROUND(H101*F45,0)</f>
        <v>2250</v>
      </c>
      <c r="E45" s="165" t="s">
        <v>2185</v>
      </c>
      <c r="F45" s="166">
        <v>1</v>
      </c>
      <c r="G45" s="167" t="s">
        <v>2186</v>
      </c>
      <c r="H45" s="138"/>
      <c r="I45" s="138"/>
      <c r="J45" s="3069" t="s">
        <v>2187</v>
      </c>
      <c r="K45" s="3069"/>
      <c r="L45" s="3069"/>
      <c r="M45" s="3069"/>
      <c r="N45" s="3069"/>
      <c r="O45" s="3069"/>
    </row>
    <row r="46" spans="1:15" ht="14.25" customHeight="1">
      <c r="A46" s="3147" t="s">
        <v>2188</v>
      </c>
      <c r="B46" s="3148"/>
      <c r="C46" s="3148"/>
      <c r="D46" s="3148"/>
      <c r="E46" s="3148"/>
      <c r="F46" s="3148"/>
      <c r="G46" s="3149"/>
      <c r="H46" s="2478"/>
      <c r="I46" s="168"/>
      <c r="J46" s="1812">
        <v>1</v>
      </c>
      <c r="K46" s="3069" t="s">
        <v>2189</v>
      </c>
      <c r="L46" s="3069"/>
      <c r="M46" s="3070"/>
      <c r="N46" s="3070"/>
      <c r="O46" s="3070"/>
    </row>
    <row r="47" spans="1:15" ht="12" customHeight="1">
      <c r="A47" s="169" t="s">
        <v>2190</v>
      </c>
      <c r="B47" s="170"/>
      <c r="C47" s="171"/>
      <c r="D47" s="172" t="s">
        <v>2191</v>
      </c>
      <c r="E47" s="24" t="s">
        <v>2192</v>
      </c>
      <c r="F47" s="173" t="s">
        <v>2193</v>
      </c>
      <c r="G47" s="174" t="s">
        <v>2194</v>
      </c>
      <c r="H47" s="2478"/>
      <c r="I47" s="168"/>
      <c r="J47" s="1812">
        <v>2</v>
      </c>
      <c r="K47" s="3069" t="s">
        <v>2195</v>
      </c>
      <c r="L47" s="3069"/>
      <c r="M47" s="3071">
        <f>'数据-取费表'!B2</f>
        <v>43201</v>
      </c>
      <c r="N47" s="3071"/>
      <c r="O47" s="3071"/>
    </row>
    <row r="48" spans="1:15" ht="25.5">
      <c r="A48" s="3137" t="s">
        <v>2196</v>
      </c>
      <c r="B48" s="3138"/>
      <c r="C48" s="3138"/>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069" t="s">
        <v>2199</v>
      </c>
      <c r="L48" s="3069"/>
      <c r="M48" s="3072">
        <f ca="1">H101</f>
        <v>2250</v>
      </c>
      <c r="N48" s="3072"/>
      <c r="O48" s="3072"/>
    </row>
    <row r="49" spans="1:35" ht="25.5" customHeight="1">
      <c r="A49" s="176" t="s">
        <v>2200</v>
      </c>
      <c r="B49" s="3117" t="s">
        <v>2201</v>
      </c>
      <c r="C49" s="3117"/>
      <c r="D49" s="177">
        <v>0</v>
      </c>
      <c r="E49" s="23" t="s">
        <v>2202</v>
      </c>
      <c r="F49" s="28" t="s">
        <v>34</v>
      </c>
      <c r="G49" s="3098"/>
      <c r="H49" s="138"/>
      <c r="I49" s="2481"/>
      <c r="J49" s="1812">
        <v>4</v>
      </c>
      <c r="K49" s="3069" t="str">
        <f>IF(项目基本情况!E8="房地产抵押价值","房地产抵押价值","抵押担保权已注销时的房地产抵押价值")</f>
        <v>房地产抵押价值</v>
      </c>
      <c r="L49" s="3069"/>
      <c r="M49" s="3072">
        <f ca="1">IF(项目基本情况!E8="房地产抵押价值",H107,H109)</f>
        <v>2250</v>
      </c>
      <c r="N49" s="3072"/>
      <c r="O49" s="3072"/>
    </row>
    <row r="50" spans="1:35" ht="25.5" customHeight="1">
      <c r="A50" s="178"/>
      <c r="B50" s="3117" t="s">
        <v>2203</v>
      </c>
      <c r="C50" s="3117"/>
      <c r="D50" s="179"/>
      <c r="E50" s="31"/>
      <c r="F50" s="180"/>
      <c r="G50" s="3099"/>
      <c r="H50" s="138"/>
      <c r="I50" s="2481"/>
      <c r="J50" s="3069" t="s">
        <v>2204</v>
      </c>
      <c r="K50" s="3069"/>
      <c r="L50" s="3069"/>
      <c r="M50" s="3069"/>
      <c r="N50" s="3069"/>
      <c r="O50" s="3069"/>
    </row>
    <row r="51" spans="1:35" ht="12" customHeight="1">
      <c r="A51" s="181"/>
      <c r="B51" s="3117" t="s">
        <v>2205</v>
      </c>
      <c r="C51" s="3117"/>
      <c r="D51" s="182"/>
      <c r="E51" s="30"/>
      <c r="F51" s="180"/>
      <c r="G51" s="3100"/>
      <c r="H51" s="138"/>
      <c r="I51" s="2481"/>
      <c r="J51" s="2482" t="s">
        <v>2206</v>
      </c>
      <c r="K51" s="3069" t="s">
        <v>2207</v>
      </c>
      <c r="L51" s="3069"/>
      <c r="M51" s="2482" t="s">
        <v>2208</v>
      </c>
      <c r="N51" s="2482" t="s">
        <v>2209</v>
      </c>
      <c r="O51" s="2482" t="s">
        <v>2210</v>
      </c>
    </row>
    <row r="52" spans="1:35" ht="24" customHeight="1">
      <c r="A52" s="183" t="s">
        <v>2211</v>
      </c>
      <c r="B52" s="3117" t="s">
        <v>2212</v>
      </c>
      <c r="C52" s="3117"/>
      <c r="D52" s="182">
        <f ca="1">ROUND(D45*'数据-取费表'!B41/(1+'数据-取费表'!C42),0)</f>
        <v>118</v>
      </c>
      <c r="E52" s="11" t="s">
        <v>2213</v>
      </c>
      <c r="F52" s="184">
        <f>'数据-取费表'!B41</f>
        <v>5.5000000000000007E-2</v>
      </c>
      <c r="G52" s="2483"/>
      <c r="H52" s="138"/>
      <c r="I52" s="2481"/>
      <c r="J52" s="1812">
        <v>1</v>
      </c>
      <c r="K52" s="3092" t="s">
        <v>2214</v>
      </c>
      <c r="L52" s="3092"/>
      <c r="M52" s="1754">
        <f>D48</f>
        <v>0</v>
      </c>
      <c r="N52" s="1812" t="str">
        <f>E48</f>
        <v>销售额×税（费）率</v>
      </c>
      <c r="O52" s="1755" t="str">
        <f>F48</f>
        <v>免征</v>
      </c>
    </row>
    <row r="53" spans="1:35" ht="12" customHeight="1">
      <c r="A53" s="183" t="s">
        <v>2215</v>
      </c>
      <c r="B53" s="3118" t="s">
        <v>2216</v>
      </c>
      <c r="C53" s="3119"/>
      <c r="D53" s="182">
        <f ca="1">ROUND(D45*'数据-取费表'!B41/(1+'数据-取费表'!C42),0)</f>
        <v>118</v>
      </c>
      <c r="E53" s="11" t="s">
        <v>2213</v>
      </c>
      <c r="F53" s="184">
        <f>'数据-取费表'!B41</f>
        <v>5.5000000000000007E-2</v>
      </c>
      <c r="G53" s="2483"/>
      <c r="H53" s="138"/>
      <c r="I53" s="2481"/>
      <c r="J53" s="1812">
        <v>2</v>
      </c>
      <c r="K53" s="3092" t="s">
        <v>2217</v>
      </c>
      <c r="L53" s="3092"/>
      <c r="M53" s="1754">
        <f t="shared" ref="M53:O54" ca="1" si="0">D55</f>
        <v>1</v>
      </c>
      <c r="N53" s="1812" t="str">
        <f t="shared" si="0"/>
        <v>销售额×税（费）率</v>
      </c>
      <c r="O53" s="1755">
        <f t="shared" si="0"/>
        <v>5.0000000000000001E-4</v>
      </c>
    </row>
    <row r="54" spans="1:35" ht="12" customHeight="1">
      <c r="A54" s="183" t="s">
        <v>2218</v>
      </c>
      <c r="B54" s="3118" t="s">
        <v>2219</v>
      </c>
      <c r="C54" s="3119"/>
      <c r="D54" s="182">
        <f ca="1">C68</f>
        <v>118</v>
      </c>
      <c r="E54" s="30" t="s">
        <v>2220</v>
      </c>
      <c r="F54" s="184">
        <f>'数据-取费表'!B41</f>
        <v>5.5000000000000007E-2</v>
      </c>
      <c r="G54" s="2483"/>
      <c r="H54" s="2484"/>
      <c r="I54" s="2481"/>
      <c r="J54" s="1812">
        <v>3</v>
      </c>
      <c r="K54" s="3092" t="s">
        <v>2221</v>
      </c>
      <c r="L54" s="3092"/>
      <c r="M54" s="1754">
        <f t="shared" ca="1" si="0"/>
        <v>1275</v>
      </c>
      <c r="N54" s="1812" t="str">
        <f t="shared" si="0"/>
        <v>增值额×税（费）率</v>
      </c>
      <c r="O54" s="1756" t="str">
        <f t="shared" si="0"/>
        <v>——</v>
      </c>
    </row>
    <row r="55" spans="1:35" ht="24" customHeight="1">
      <c r="A55" s="3156" t="s">
        <v>2222</v>
      </c>
      <c r="B55" s="3138"/>
      <c r="C55" s="3138"/>
      <c r="D55" s="185">
        <f ca="1">IF(H55="个人住宅",0,ROUND(D45*I55,0))</f>
        <v>1</v>
      </c>
      <c r="E55" s="11" t="s">
        <v>2223</v>
      </c>
      <c r="F55" s="184">
        <f>IF(H55="正常",I55,"免征")</f>
        <v>5.0000000000000001E-4</v>
      </c>
      <c r="G55" s="2483"/>
      <c r="H55" s="2480" t="s">
        <v>2224</v>
      </c>
      <c r="I55" s="186">
        <f>'数据-取费表'!B49</f>
        <v>5.0000000000000001E-4</v>
      </c>
      <c r="J55" s="1812" t="str">
        <f>IF(H59="非个人房产","",4)</f>
        <v/>
      </c>
      <c r="K55" s="3092" t="str">
        <f>IF(H59="非个人房产","——","个人所得税")</f>
        <v>——</v>
      </c>
      <c r="L55" s="3092"/>
      <c r="M55" s="1757" t="str">
        <f>D59</f>
        <v>——</v>
      </c>
      <c r="N55" s="1810" t="str">
        <f>E59</f>
        <v>——</v>
      </c>
      <c r="O55" s="1758" t="str">
        <f>F59</f>
        <v>——</v>
      </c>
    </row>
    <row r="56" spans="1:35" ht="24.75">
      <c r="A56" s="3156" t="s">
        <v>2225</v>
      </c>
      <c r="B56" s="3138"/>
      <c r="C56" s="3138"/>
      <c r="D56" s="185">
        <f ca="1">IF(H56="个人住宅",D57,D58)</f>
        <v>1275</v>
      </c>
      <c r="E56" s="11" t="s">
        <v>2226</v>
      </c>
      <c r="F56" s="184" t="str">
        <f>IF(H56="正常",F58,"免征")</f>
        <v>——</v>
      </c>
      <c r="G56" s="2485" t="s">
        <v>2227</v>
      </c>
      <c r="H56" s="2486" t="s">
        <v>2224</v>
      </c>
      <c r="I56" s="2487"/>
      <c r="J56" s="1812"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2200</v>
      </c>
      <c r="B57" s="3123" t="s">
        <v>2228</v>
      </c>
      <c r="C57" s="3124"/>
      <c r="D57" s="187">
        <v>0</v>
      </c>
      <c r="E57" s="23" t="s">
        <v>2202</v>
      </c>
      <c r="F57" s="155"/>
      <c r="G57" s="2483"/>
      <c r="H57" s="2487"/>
      <c r="I57" s="2487"/>
      <c r="J57" s="3092">
        <f>IF(AND(J55="",J56=""),4,IF(项目基本情况!K6="上海银行",结果表!J56+1,结果表!J55+1))</f>
        <v>4</v>
      </c>
      <c r="K57" s="3092" t="s">
        <v>2229</v>
      </c>
      <c r="L57" s="2488" t="s">
        <v>2230</v>
      </c>
      <c r="M57" s="1759"/>
      <c r="N57" s="1760">
        <f ca="1">SUMIF(M52:M56,"&lt;9e307")</f>
        <v>1276</v>
      </c>
      <c r="O57" s="2489"/>
      <c r="P57" s="1753">
        <f ca="1">N57/M49</f>
        <v>0.56711111111111112</v>
      </c>
    </row>
    <row r="58" spans="1:35" ht="24.75">
      <c r="A58" s="183" t="s">
        <v>2211</v>
      </c>
      <c r="B58" s="3123" t="s">
        <v>2231</v>
      </c>
      <c r="C58" s="3136"/>
      <c r="D58" s="185">
        <f ca="1">IF(H58="转让取得",C81,C97)</f>
        <v>1275</v>
      </c>
      <c r="E58" s="11" t="s">
        <v>2226</v>
      </c>
      <c r="F58" s="24" t="s">
        <v>34</v>
      </c>
      <c r="G58" s="2483"/>
      <c r="H58" s="2486" t="s">
        <v>2232</v>
      </c>
      <c r="I58" s="2487"/>
      <c r="J58" s="3092"/>
      <c r="K58" s="3092"/>
      <c r="L58" s="2488" t="s">
        <v>2233</v>
      </c>
      <c r="M58" s="1761"/>
      <c r="N58" s="2490" t="str">
        <f ca="1">NUMBERSTRING(INT(N57*10000),2)&amp;"元整"</f>
        <v>壹仟贰佰柒拾陆万元整</v>
      </c>
      <c r="O58" s="2491"/>
    </row>
    <row r="59" spans="1:35" ht="24.75" thickBot="1">
      <c r="A59" s="3096" t="s">
        <v>2234</v>
      </c>
      <c r="B59" s="3097"/>
      <c r="C59" s="3097"/>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094">
        <f>J57+1</f>
        <v>5</v>
      </c>
      <c r="K59" s="3092" t="s">
        <v>2236</v>
      </c>
      <c r="L59" s="1812" t="s">
        <v>2230</v>
      </c>
      <c r="M59" s="1762"/>
      <c r="N59" s="1763">
        <f ca="1">M49-N57</f>
        <v>974</v>
      </c>
      <c r="O59" s="2493"/>
    </row>
    <row r="60" spans="1:35" ht="12" customHeight="1">
      <c r="A60" s="2494"/>
      <c r="B60" s="2416"/>
      <c r="C60" s="2416"/>
      <c r="D60" s="2416"/>
      <c r="E60" s="2165"/>
      <c r="F60" s="2487"/>
      <c r="G60" s="2487"/>
      <c r="H60" s="2495"/>
      <c r="I60" s="138"/>
      <c r="J60" s="3095"/>
      <c r="K60" s="3092"/>
      <c r="L60" s="2488" t="s">
        <v>2233</v>
      </c>
      <c r="M60" s="1761"/>
      <c r="N60" s="2490" t="str">
        <f ca="1">NUMBERSTRING(INT(N59*10000),2)&amp;"元整"</f>
        <v>玖佰柒拾肆万元整</v>
      </c>
      <c r="O60" s="2491"/>
    </row>
    <row r="61" spans="1:35" ht="13.5" thickBot="1">
      <c r="A61" s="3155" t="s">
        <v>2237</v>
      </c>
      <c r="B61" s="3155"/>
      <c r="C61" s="3155"/>
      <c r="D61" s="3155"/>
      <c r="E61" s="3155"/>
      <c r="F61" s="2487"/>
      <c r="G61" s="2487"/>
      <c r="H61" s="2495"/>
      <c r="I61" s="138"/>
      <c r="J61" s="1812">
        <f>J59+1</f>
        <v>6</v>
      </c>
      <c r="K61" s="3092" t="s">
        <v>2238</v>
      </c>
      <c r="L61" s="3092"/>
      <c r="M61" s="1764"/>
      <c r="N61" s="1765">
        <f ca="1">ROUND(N59*10000/'数据-汇总表'!E3,0)</f>
        <v>2798</v>
      </c>
      <c r="O61" s="2496"/>
    </row>
    <row r="62" spans="1:35" ht="12.75">
      <c r="A62" s="3112" t="s">
        <v>2239</v>
      </c>
      <c r="B62" s="3113"/>
      <c r="C62" s="1804"/>
      <c r="D62" s="1804" t="s">
        <v>2240</v>
      </c>
      <c r="E62" s="192" t="s">
        <v>2241</v>
      </c>
      <c r="F62" s="2487"/>
      <c r="G62" s="2487"/>
      <c r="H62" s="2495"/>
      <c r="I62" s="138"/>
    </row>
    <row r="63" spans="1:35" ht="12.75">
      <c r="A63" s="203" t="s">
        <v>775</v>
      </c>
      <c r="B63" s="193" t="s">
        <v>2242</v>
      </c>
      <c r="C63" s="194">
        <f ca="1">ROUND((C64+C65)/(1+'数据-取费表'!C42),0)</f>
        <v>2143</v>
      </c>
      <c r="D63" s="195"/>
      <c r="E63" s="196"/>
      <c r="F63" s="2487"/>
      <c r="G63" s="2487"/>
      <c r="H63" s="2495"/>
      <c r="I63" s="138"/>
      <c r="J63" s="3077" t="s">
        <v>2243</v>
      </c>
      <c r="K63" s="2497" t="s">
        <v>2244</v>
      </c>
      <c r="L63" s="1752">
        <f ca="1">IF(M49&gt;10000,M49*0.5%,IF(AND(M49&gt;1000,M49&lt;=10000),M49*1%,IF(AND(M49&gt;100,M49&lt;=1000),M49*3%,IF(AND(M49&gt;10,M49&lt;=100),M49*5%,M49*8%))))</f>
        <v>22.5</v>
      </c>
      <c r="M63" s="24">
        <f ca="1">ROUND(L63,1)</f>
        <v>22.5</v>
      </c>
      <c r="Z63" s="2421"/>
      <c r="AI63" s="2422"/>
    </row>
    <row r="64" spans="1:35" ht="14.25" customHeight="1">
      <c r="A64" s="197" t="s">
        <v>770</v>
      </c>
      <c r="B64" s="198" t="s">
        <v>2245</v>
      </c>
      <c r="C64" s="199">
        <f ca="1">D45</f>
        <v>2250</v>
      </c>
      <c r="D64" s="200" t="s">
        <v>32</v>
      </c>
      <c r="E64" s="201"/>
      <c r="F64" s="2487"/>
      <c r="G64" s="2487"/>
      <c r="H64" s="2495"/>
      <c r="I64" s="138"/>
      <c r="J64" s="3077"/>
      <c r="K64" s="2497" t="s">
        <v>2246</v>
      </c>
      <c r="L64" s="1752">
        <f ca="1">IF(M49&gt;2000,M49*0.5%,IF(AND(M49&gt;1000,M49&lt;=2000),M49*0.6%,IF(AND(M49&gt;500,M49&lt;=1000),M49*0.7%,IF(AND(M49&gt;200,M49&lt;=500),M49*0.8%,IF(AND(M49&gt;100,M49&lt;=200),M49*0.9%,IF(AND(M49&gt;50,M49&lt;=100),M49*1%,IF(AND(M49&gt;20,M49&lt;=50),M49*1.5%,IF(AND(M49&gt;10,M49&lt;=20),M49*2%,IF(AND(M49&gt;1,M49&lt;=10),M49*2.5%)))))))))</f>
        <v>11.25</v>
      </c>
      <c r="M64" s="24">
        <f t="shared" ref="M64:M65" ca="1" si="1">ROUND(L64,1)</f>
        <v>11.3</v>
      </c>
      <c r="N64" s="138" t="s">
        <v>2247</v>
      </c>
      <c r="Z64" s="2421"/>
      <c r="AI64" s="2422"/>
    </row>
    <row r="65" spans="1:35" ht="14.25" customHeight="1">
      <c r="A65" s="197" t="s">
        <v>771</v>
      </c>
      <c r="B65" s="198" t="s">
        <v>2248</v>
      </c>
      <c r="C65" s="202"/>
      <c r="D65" s="200"/>
      <c r="E65" s="201"/>
      <c r="F65" s="2487"/>
      <c r="G65" s="2487"/>
      <c r="H65" s="2495"/>
      <c r="I65" s="138"/>
      <c r="J65" s="3077"/>
      <c r="K65" s="2497" t="s">
        <v>2249</v>
      </c>
      <c r="L65" s="1752">
        <f ca="1">IF(M49&gt;1000,M49*0.1%,IF(AND(M49&gt;500,M49&lt;=1000),M49*0.5%,IF(AND(M49&gt;50,M49&lt;=500),M49*1%,IF(AND(M49&gt;1,M49&lt;=50),M49*1.5%))))</f>
        <v>2.25</v>
      </c>
      <c r="M65" s="24">
        <f t="shared" ca="1" si="1"/>
        <v>2.2999999999999998</v>
      </c>
      <c r="N65" s="138" t="s">
        <v>2247</v>
      </c>
      <c r="Z65" s="2421"/>
      <c r="AI65" s="2422"/>
    </row>
    <row r="66" spans="1:35" ht="14.25" customHeight="1">
      <c r="A66" s="203" t="s">
        <v>772</v>
      </c>
      <c r="B66" s="204" t="s">
        <v>2250</v>
      </c>
      <c r="C66" s="205"/>
      <c r="D66" s="206" t="s">
        <v>32</v>
      </c>
      <c r="E66" s="1776" t="s">
        <v>1371</v>
      </c>
      <c r="F66" s="2487"/>
      <c r="G66" s="2487"/>
      <c r="H66" s="2495"/>
      <c r="I66" s="138"/>
      <c r="J66" s="3077"/>
      <c r="K66" s="2497" t="s">
        <v>2251</v>
      </c>
      <c r="L66" s="1752">
        <f ca="1">M49*0.5%</f>
        <v>11.25</v>
      </c>
      <c r="M66" s="24">
        <f ca="1">IF(L66&gt;0.5,0.5,ROUND(L66,0))</f>
        <v>0.5</v>
      </c>
      <c r="N66" s="138" t="s">
        <v>2252</v>
      </c>
      <c r="Z66" s="2421"/>
      <c r="AI66" s="2422"/>
    </row>
    <row r="67" spans="1:35" ht="14.25" customHeight="1">
      <c r="A67" s="203" t="s">
        <v>773</v>
      </c>
      <c r="B67" s="204" t="s">
        <v>2253</v>
      </c>
      <c r="C67" s="207">
        <f ca="1">C63-C66</f>
        <v>2143</v>
      </c>
      <c r="D67" s="200" t="s">
        <v>32</v>
      </c>
      <c r="E67" s="201"/>
      <c r="F67" s="2487"/>
      <c r="G67" s="2487"/>
      <c r="H67" s="2495"/>
      <c r="I67" s="138"/>
      <c r="J67" s="3077"/>
      <c r="K67" s="2497"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2255</v>
      </c>
      <c r="C68" s="210">
        <f ca="1">IF(C67&lt;=0,0,ROUND(C67*D68,0))</f>
        <v>118</v>
      </c>
      <c r="D68" s="211">
        <f>'数据-取费表'!B41</f>
        <v>5.5000000000000007E-2</v>
      </c>
      <c r="E68" s="212"/>
      <c r="F68" s="2487"/>
      <c r="G68" s="2487"/>
      <c r="H68" s="2495"/>
      <c r="I68" s="138"/>
      <c r="J68" s="3077"/>
      <c r="K68" s="2497" t="s">
        <v>2256</v>
      </c>
      <c r="L68" s="1752">
        <f ca="1">IF(M49&gt;10000,M49*0.5%,IF(AND(M49&gt;5000,M49&lt;=10000),M49*1%,IF(AND(M49&gt;1000,M49&lt;=5000),M49*2%,IF(AND(M49&gt;200,M49&lt;=1000),M49*3%,M49*5%))))</f>
        <v>45</v>
      </c>
      <c r="M68" s="24">
        <f ca="1">ROUND(L68,1)</f>
        <v>45</v>
      </c>
      <c r="Z68" s="2421"/>
      <c r="AI68" s="2422"/>
    </row>
    <row r="69" spans="1:35" s="2444" customFormat="1" ht="16.5" customHeight="1">
      <c r="A69" s="2498"/>
      <c r="B69" s="2499"/>
      <c r="C69" s="2500"/>
      <c r="D69" s="2501"/>
      <c r="E69" s="2502"/>
      <c r="F69" s="2165"/>
      <c r="G69" s="2165"/>
      <c r="H69" s="2164"/>
      <c r="I69" s="2416"/>
      <c r="J69" s="3077"/>
      <c r="K69" s="2497" t="s">
        <v>2257</v>
      </c>
      <c r="L69" s="2503"/>
      <c r="M69" s="24">
        <f ca="1">ROUND(SUM(M63:M68),0)</f>
        <v>84</v>
      </c>
      <c r="N69" s="1753">
        <f ca="1">M69/M49</f>
        <v>3.7333333333333336E-2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1" t="s">
        <v>2258</v>
      </c>
      <c r="B70" s="3122"/>
      <c r="C70" s="3122"/>
      <c r="D70" s="3122"/>
      <c r="E70" s="3122"/>
      <c r="F70" s="3122"/>
      <c r="G70" s="3122"/>
      <c r="H70" s="312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2" t="s">
        <v>2239</v>
      </c>
      <c r="B71" s="3113"/>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2143</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11</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18" t="s">
        <v>2267</v>
      </c>
      <c r="F76" s="3117"/>
      <c r="G76" s="3117"/>
      <c r="H76" s="312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11</v>
      </c>
      <c r="D78" s="226">
        <f>'数据-取费表'!B43</f>
        <v>5.000000000000001E-3</v>
      </c>
      <c r="E78" s="3109" t="s">
        <v>2272</v>
      </c>
      <c r="F78" s="3110"/>
      <c r="G78" s="3110"/>
      <c r="H78" s="311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2132</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193.81818181818181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1275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1" t="s">
        <v>2276</v>
      </c>
      <c r="B83" s="3122"/>
      <c r="C83" s="3122"/>
      <c r="D83" s="3122"/>
      <c r="E83" s="3122"/>
      <c r="F83" s="3122"/>
      <c r="G83" s="3122"/>
      <c r="H83" s="312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2" t="s">
        <v>2239</v>
      </c>
      <c r="B84" s="3113"/>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2143</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11</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109" t="s">
        <v>2285</v>
      </c>
      <c r="F91" s="3110"/>
      <c r="G91" s="3110"/>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109" t="s">
        <v>2289</v>
      </c>
      <c r="F92" s="3110"/>
      <c r="G92" s="3110"/>
      <c r="H92" s="311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11</v>
      </c>
      <c r="D93" s="226">
        <f>'数据-取费表'!B43</f>
        <v>5.000000000000001E-3</v>
      </c>
      <c r="E93" s="3109" t="s">
        <v>2272</v>
      </c>
      <c r="F93" s="3110"/>
      <c r="G93" s="3110"/>
      <c r="H93" s="311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57" t="s">
        <v>2293</v>
      </c>
      <c r="F94" s="3158"/>
      <c r="G94" s="3158"/>
      <c r="H94" s="315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2132</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193.81818181818181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1275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61" t="s">
        <v>2295</v>
      </c>
      <c r="B100" s="3062"/>
      <c r="C100" s="3062"/>
      <c r="D100" s="3093"/>
      <c r="E100" s="3062" t="s">
        <v>2296</v>
      </c>
      <c r="F100" s="3062"/>
      <c r="G100" s="3062"/>
      <c r="H100" s="3093"/>
      <c r="I100" s="138"/>
    </row>
    <row r="101" spans="1:35" ht="18.75" customHeight="1">
      <c r="A101" s="3101" t="s">
        <v>2297</v>
      </c>
      <c r="B101" s="3102"/>
      <c r="C101" s="736" t="str">
        <f>C4</f>
        <v>成本法</v>
      </c>
      <c r="D101" s="737" t="str">
        <f>D4</f>
        <v>收益法 (元)</v>
      </c>
      <c r="E101" s="3073" t="s">
        <v>2298</v>
      </c>
      <c r="F101" s="3074"/>
      <c r="G101" s="2518" t="s">
        <v>2299</v>
      </c>
      <c r="H101" s="1048">
        <f ca="1">H118</f>
        <v>2250</v>
      </c>
      <c r="I101" s="138"/>
    </row>
    <row r="102" spans="1:35" ht="18.75" customHeight="1">
      <c r="A102" s="3103" t="s">
        <v>2300</v>
      </c>
      <c r="B102" s="2518" t="s">
        <v>2299</v>
      </c>
      <c r="C102" s="736">
        <f ca="1">C19</f>
        <v>1784</v>
      </c>
      <c r="D102" s="737">
        <f ca="1">D19</f>
        <v>2560</v>
      </c>
      <c r="E102" s="3073"/>
      <c r="F102" s="3074"/>
      <c r="G102" s="2518" t="s">
        <v>2301</v>
      </c>
      <c r="H102" s="371">
        <f ca="1">I118</f>
        <v>6464</v>
      </c>
      <c r="I102" s="138"/>
    </row>
    <row r="103" spans="1:35" ht="42.75" customHeight="1">
      <c r="A103" s="3103"/>
      <c r="B103" s="2518" t="s">
        <v>2301</v>
      </c>
      <c r="C103" s="738">
        <f ca="1">C20</f>
        <v>5125</v>
      </c>
      <c r="D103" s="739">
        <f ca="1">D20</f>
        <v>7354</v>
      </c>
      <c r="E103" s="3067" t="s">
        <v>2302</v>
      </c>
      <c r="F103" s="3068"/>
      <c r="G103" s="2519" t="s">
        <v>2303</v>
      </c>
      <c r="H103" s="1048">
        <f>IF(D36="正常操作",H104+H105+H106,H105+H106)</f>
        <v>0</v>
      </c>
      <c r="I103" s="138"/>
    </row>
    <row r="104" spans="1:35" ht="18.75" customHeight="1">
      <c r="A104" s="3103" t="s">
        <v>2304</v>
      </c>
      <c r="B104" s="2520" t="s">
        <v>2299</v>
      </c>
      <c r="C104" s="740">
        <f ca="1">H118</f>
        <v>2250</v>
      </c>
      <c r="D104" s="741"/>
      <c r="E104" s="2266" t="s">
        <v>2305</v>
      </c>
      <c r="F104" s="2257"/>
      <c r="G104" s="2519" t="s">
        <v>2303</v>
      </c>
      <c r="H104" s="1049">
        <f>IF(D36="同一抵押权人同一抵押物续贷",C36&amp;"（未扣减，详见特别提示）",C36)</f>
        <v>0</v>
      </c>
      <c r="I104" s="138"/>
    </row>
    <row r="105" spans="1:35" ht="18.75" customHeight="1" thickBot="1">
      <c r="A105" s="3115"/>
      <c r="B105" s="2521" t="s">
        <v>2301</v>
      </c>
      <c r="C105" s="742">
        <f ca="1">I118</f>
        <v>6464</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04" t="str">
        <f>IF(项目基本情况!E8="已注销","——","3.房地产抵押价值")</f>
        <v>3.房地产抵押价值</v>
      </c>
      <c r="F107" s="3074"/>
      <c r="G107" s="2518" t="s">
        <v>2299</v>
      </c>
      <c r="H107" s="1048">
        <f ca="1">IF(E107="——","——",H101-H103)</f>
        <v>2250</v>
      </c>
      <c r="I107" s="138"/>
    </row>
    <row r="108" spans="1:35" ht="18.75" customHeight="1">
      <c r="A108" s="138"/>
      <c r="B108" s="138"/>
      <c r="C108" s="138"/>
      <c r="D108" s="138"/>
      <c r="E108" s="3104"/>
      <c r="F108" s="3074"/>
      <c r="G108" s="2518" t="s">
        <v>2301</v>
      </c>
      <c r="H108" s="371">
        <f ca="1">ROUND(H107*10000/'数据-汇总表'!E3,0)</f>
        <v>6464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8" t="s">
        <v>2299</v>
      </c>
      <c r="H109" s="348" t="str">
        <f>IF(E109="——","——",H101-H105-H106)</f>
        <v>——</v>
      </c>
      <c r="I109" s="138"/>
    </row>
    <row r="110" spans="1:35" ht="18.75" customHeight="1">
      <c r="A110" s="138"/>
      <c r="B110" s="138"/>
      <c r="C110" s="138"/>
      <c r="D110" s="138"/>
      <c r="E110" s="3104"/>
      <c r="F110" s="3074"/>
      <c r="G110" s="2518" t="s">
        <v>2301</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8" t="s">
        <v>2299</v>
      </c>
      <c r="H111" s="1048" t="str">
        <f>IF(E111="——","——",N59)</f>
        <v>——</v>
      </c>
      <c r="I111" s="138"/>
    </row>
    <row r="112" spans="1:35" ht="18.75" customHeight="1" thickBot="1">
      <c r="A112" s="138"/>
      <c r="B112" s="138"/>
      <c r="C112" s="138"/>
      <c r="D112" s="138"/>
      <c r="E112" s="3107"/>
      <c r="F112" s="3108"/>
      <c r="G112" s="2523" t="s">
        <v>2301</v>
      </c>
      <c r="H112" s="790" t="str">
        <f>IF(E111="——","——",N61)</f>
        <v>——</v>
      </c>
      <c r="I112" s="138"/>
    </row>
    <row r="113" spans="1:11" ht="18.75" customHeight="1">
      <c r="A113" s="138"/>
      <c r="B113" s="138"/>
      <c r="C113" s="138"/>
      <c r="D113" s="138"/>
      <c r="E113" s="3116" t="s">
        <v>2307</v>
      </c>
      <c r="F113" s="3116"/>
      <c r="G113" s="3116"/>
      <c r="H113" s="3116"/>
      <c r="I113" s="138"/>
    </row>
    <row r="114" spans="1:11" ht="3.75" customHeight="1">
      <c r="A114" s="2416"/>
      <c r="B114" s="2416"/>
      <c r="C114" s="2416"/>
      <c r="D114" s="2416"/>
      <c r="E114" s="2494"/>
      <c r="F114" s="2494"/>
      <c r="G114" s="2494"/>
      <c r="H114" s="2494"/>
      <c r="I114" s="2416"/>
    </row>
    <row r="115" spans="1:11" ht="18.75" customHeight="1">
      <c r="A115" s="3129" t="s">
        <v>2309</v>
      </c>
      <c r="B115" s="3130"/>
      <c r="C115" s="3130"/>
      <c r="D115" s="3130"/>
      <c r="E115" s="3130"/>
      <c r="F115" s="3130"/>
      <c r="G115" s="3130"/>
      <c r="H115" s="3130"/>
      <c r="I115" s="3131"/>
    </row>
    <row r="116" spans="1:11" ht="27" customHeight="1">
      <c r="A116" s="3040" t="s">
        <v>2310</v>
      </c>
      <c r="B116" s="3083" t="s">
        <v>2311</v>
      </c>
      <c r="C116" s="3083" t="s">
        <v>2312</v>
      </c>
      <c r="D116" s="3089" t="s">
        <v>2313</v>
      </c>
      <c r="E116" s="3090"/>
      <c r="F116" s="3125" t="s">
        <v>3257</v>
      </c>
      <c r="G116" s="3125"/>
      <c r="H116" s="3040" t="s">
        <v>2314</v>
      </c>
      <c r="I116" s="3040"/>
    </row>
    <row r="117" spans="1:11" ht="18.75" customHeight="1">
      <c r="A117" s="3040"/>
      <c r="B117" s="3084"/>
      <c r="C117" s="3084"/>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北京市顺义区东支路北法信段23号2幢工业用房房地产</v>
      </c>
      <c r="B118" s="1798">
        <f>M18</f>
        <v>3480.91</v>
      </c>
      <c r="C118" s="1798">
        <f>M19</f>
        <v>3036.74</v>
      </c>
      <c r="D118" s="1798">
        <f ca="1">ROUND(IF(D32="总价",C34,E118*B118/10000),0)</f>
        <v>747</v>
      </c>
      <c r="E118" s="1798">
        <f ca="1">ROUND(IF(C33="自定义",IF(D32="楼面单价",C34,D118*10000/B118),I118-G118),0)</f>
        <v>2146</v>
      </c>
      <c r="F118" s="1798">
        <f ca="1">ROUND(IF(D32="总价",C35,G118*B118/10000),0)</f>
        <v>1503</v>
      </c>
      <c r="G118" s="1798">
        <f ca="1">ROUND(IF(D32="楼面单价",C35,F118*10000/B118),0)</f>
        <v>4318</v>
      </c>
      <c r="H118" s="1798">
        <f ca="1">ROUND(IF(D32="总价",C32,I118*B118/10000),0)</f>
        <v>2250</v>
      </c>
      <c r="I118" s="1798">
        <f ca="1">ROUND(IF(D32="楼面单价",C32,H118*10000/B118),0)</f>
        <v>6464</v>
      </c>
    </row>
    <row r="119" spans="1:11" ht="18.75" customHeight="1">
      <c r="A119" s="3040" t="s">
        <v>2318</v>
      </c>
      <c r="B119" s="3040"/>
      <c r="C119" s="3040"/>
      <c r="D119" s="3085" t="str">
        <f ca="1">NUMBERSTRING(INT(D118*10000),2)&amp;"元整"</f>
        <v>柒佰肆拾柒万元整</v>
      </c>
      <c r="E119" s="3086"/>
      <c r="F119" s="3085" t="str">
        <f ca="1">NUMBERSTRING(INT(F118*10000),2)&amp;"元整"</f>
        <v>壹仟伍佰零叁万元整</v>
      </c>
      <c r="G119" s="3086"/>
      <c r="H119" s="3085" t="str">
        <f ca="1">NUMBERSTRING(INT(H118*10000),2)&amp;"元整"</f>
        <v>贰仟贰佰伍拾万元整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1" t="str">
        <f>IF(D120=0,"故，本次评估不存在"&amp;A120,"故，本次评估"&amp;A120&amp;"为人民币"&amp;D120&amp;"万元整。")</f>
        <v>故，本次评估不存在估价师知悉的法定优先受偿款</v>
      </c>
    </row>
    <row r="121" spans="1:11" ht="18.75" customHeight="1">
      <c r="A121" s="3126" t="s">
        <v>2318</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2250</v>
      </c>
      <c r="E122" s="3081"/>
      <c r="F122" s="3081"/>
      <c r="G122" s="3081"/>
      <c r="H122" s="3081"/>
      <c r="I122" s="3082"/>
    </row>
    <row r="123" spans="1:11" ht="18.75" customHeight="1">
      <c r="A123" s="3040" t="s">
        <v>2318</v>
      </c>
      <c r="B123" s="3040"/>
      <c r="C123" s="3040"/>
      <c r="D123" s="3085" t="str">
        <f ca="1">NUMBERSTRING(INT(D122*10000),2)&amp;"元整"</f>
        <v>贰仟贰佰伍拾万元整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2318</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2318</v>
      </c>
      <c r="B127" s="3040"/>
      <c r="C127" s="3040"/>
      <c r="D127" s="3085" t="e">
        <f>NUMBERSTRING(INT(D126*10000),2)&amp;"元整"</f>
        <v>#VALUE!</v>
      </c>
      <c r="E127" s="3087"/>
      <c r="F127" s="3087"/>
      <c r="G127" s="3087"/>
      <c r="H127" s="3087"/>
      <c r="I127" s="3086"/>
    </row>
    <row r="128" spans="1:11" ht="21.75" customHeight="1">
      <c r="A128" s="3088" t="s">
        <v>2319</v>
      </c>
      <c r="B128" s="3088"/>
      <c r="C128" s="3088"/>
      <c r="D128" s="3088"/>
      <c r="E128" s="3088"/>
      <c r="F128" s="3088"/>
      <c r="G128" s="3088"/>
      <c r="H128" s="3088"/>
      <c r="I128" s="3088"/>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C7" sqref="C7:I9"/>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446</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1281</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191" t="s">
        <v>2649</v>
      </c>
      <c r="AC4" s="3190" t="s">
        <v>2650</v>
      </c>
    </row>
    <row r="5" spans="1:29" ht="15">
      <c r="A5" s="404"/>
      <c r="B5" s="405"/>
      <c r="C5" s="3256" t="s">
        <v>3137</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191"/>
      <c r="AC5" s="3191"/>
    </row>
    <row r="6" spans="1:29" ht="50.25" customHeight="1" thickBot="1">
      <c r="A6" s="406"/>
      <c r="B6" s="407"/>
      <c r="C6" s="3257" t="s">
        <v>3136</v>
      </c>
      <c r="D6" s="3258"/>
      <c r="E6" s="3259" t="str">
        <f>土地案例!A2</f>
        <v>顺义新城第14街区SY00-0014-6001M1一类工业用地项目</v>
      </c>
      <c r="F6" s="3260"/>
      <c r="G6" s="3261" t="str">
        <f>土地案例!A6</f>
        <v>顺义区金马工业区D1-01-1地块</v>
      </c>
      <c r="H6" s="3258"/>
      <c r="I6" s="3261" t="str">
        <f>土地案例!A7</f>
        <v>顺义区高丽营镇中关村临空国际3-2-4(南区)地块工业项目</v>
      </c>
      <c r="J6" s="3258"/>
      <c r="K6" s="610" t="s">
        <v>2548</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93" t="s">
        <v>2550</v>
      </c>
      <c r="Q7" s="3221"/>
      <c r="R7" s="770" t="s">
        <v>17</v>
      </c>
      <c r="S7" s="771">
        <f t="shared" ref="S7:S15" si="0">F7</f>
        <v>98</v>
      </c>
      <c r="T7" s="770" t="s">
        <v>17</v>
      </c>
      <c r="U7" s="771">
        <f t="shared" ref="U7:U15" si="1">H7</f>
        <v>94</v>
      </c>
      <c r="V7" s="770" t="s">
        <v>17</v>
      </c>
      <c r="W7" s="771">
        <f t="shared" ref="W7:W15" si="2">J7</f>
        <v>88</v>
      </c>
      <c r="X7" s="772"/>
      <c r="Y7" s="3193" t="s">
        <v>2550</v>
      </c>
      <c r="Z7" s="3194"/>
      <c r="AA7" s="773">
        <f>D7/F7</f>
        <v>1.0204081632653061</v>
      </c>
      <c r="AB7" s="773">
        <f>D7/H7</f>
        <v>1.0638297872340425</v>
      </c>
      <c r="AC7" s="773">
        <f>D7/J7</f>
        <v>1.1363636363636365</v>
      </c>
    </row>
    <row r="8" spans="1:29" s="117" customFormat="1" ht="15.75" thickBot="1">
      <c r="A8" s="408" t="s">
        <v>2551</v>
      </c>
      <c r="B8" s="409"/>
      <c r="C8" s="414" t="s">
        <v>2552</v>
      </c>
      <c r="D8" s="411">
        <v>100</v>
      </c>
      <c r="E8" s="414" t="s">
        <v>3231</v>
      </c>
      <c r="F8" s="413">
        <f>SUMIF(68:68,E8,69:69)-SUMIF(68:68,C8,69:69)+100</f>
        <v>100</v>
      </c>
      <c r="G8" s="414" t="s">
        <v>3231</v>
      </c>
      <c r="H8" s="411">
        <f>SUMIF(68:68,G8,69:69)-SUMIF(68:68,C8,69:69)+100</f>
        <v>100</v>
      </c>
      <c r="I8" s="414" t="s">
        <v>3231</v>
      </c>
      <c r="J8" s="411">
        <f>SUMIF(68:68,I8,69:69)-SUMIF(68:68,C8,69:69)+100</f>
        <v>100</v>
      </c>
      <c r="K8" s="611"/>
      <c r="L8" s="1135"/>
      <c r="M8" s="1136"/>
      <c r="N8" s="1136"/>
      <c r="O8" s="1136"/>
      <c r="P8" s="3193" t="s">
        <v>2553</v>
      </c>
      <c r="Q8" s="3194"/>
      <c r="R8" s="770" t="s">
        <v>17</v>
      </c>
      <c r="S8" s="771">
        <f t="shared" si="0"/>
        <v>100</v>
      </c>
      <c r="T8" s="770" t="s">
        <v>17</v>
      </c>
      <c r="U8" s="771">
        <f t="shared" si="1"/>
        <v>100</v>
      </c>
      <c r="V8" s="770" t="s">
        <v>17</v>
      </c>
      <c r="W8" s="771">
        <f t="shared" si="2"/>
        <v>100</v>
      </c>
      <c r="X8" s="772"/>
      <c r="Y8" s="3193" t="s">
        <v>2553</v>
      </c>
      <c r="Z8" s="3194"/>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32">
        <v>41.83</v>
      </c>
      <c r="D10" s="136">
        <v>100</v>
      </c>
      <c r="E10" s="432">
        <v>50</v>
      </c>
      <c r="F10" s="136">
        <f>ROUND(100/'数据-取费表'!G16,0)</f>
        <v>106</v>
      </c>
      <c r="G10" s="432">
        <v>50</v>
      </c>
      <c r="H10" s="136">
        <f>ROUND(100/'数据-取费表'!G16,0)</f>
        <v>106</v>
      </c>
      <c r="I10" s="432">
        <v>50</v>
      </c>
      <c r="J10" s="136">
        <f>ROUND(100/'数据-取费表'!G16,0)</f>
        <v>106</v>
      </c>
      <c r="K10" s="672"/>
      <c r="L10" s="1138"/>
      <c r="M10" s="1139"/>
      <c r="N10" s="1139"/>
      <c r="O10" s="1140"/>
      <c r="P10" s="3225"/>
      <c r="Q10" s="1798" t="str">
        <f t="shared" si="6"/>
        <v>土地使用年限（年）</v>
      </c>
      <c r="R10" s="770" t="s">
        <v>17</v>
      </c>
      <c r="S10" s="771">
        <f t="shared" si="0"/>
        <v>106</v>
      </c>
      <c r="T10" s="770" t="s">
        <v>17</v>
      </c>
      <c r="U10" s="771">
        <f t="shared" si="1"/>
        <v>106</v>
      </c>
      <c r="V10" s="770" t="s">
        <v>17</v>
      </c>
      <c r="W10" s="771">
        <f t="shared" si="2"/>
        <v>106</v>
      </c>
      <c r="X10" s="772"/>
      <c r="Y10" s="3040"/>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f>'数据-汇总表'!I6</f>
        <v>1.1499999999999999</v>
      </c>
      <c r="D11" s="136">
        <v>100</v>
      </c>
      <c r="E11" s="429">
        <f>土地案例!L2</f>
        <v>0.8</v>
      </c>
      <c r="F11" s="136">
        <f>LOOKUP(E11,75:75,76:76)-LOOKUP(C11,75:75,76:76)+100</f>
        <v>99</v>
      </c>
      <c r="G11" s="430">
        <f>土地案例!L6</f>
        <v>0.8</v>
      </c>
      <c r="H11" s="136">
        <f>LOOKUP(G11,75:75,76:76)-LOOKUP(C11,75:75,76:76)+100</f>
        <v>99</v>
      </c>
      <c r="I11" s="429">
        <f>土地案例!L7</f>
        <v>0.8</v>
      </c>
      <c r="J11" s="136">
        <f>LOOKUP(I11,75:75,76:76)-LOOKUP(C11,75:75,76:76)+100</f>
        <v>99</v>
      </c>
      <c r="K11" s="673">
        <v>1</v>
      </c>
      <c r="L11" s="1141"/>
      <c r="M11" s="1134"/>
      <c r="N11" s="1134"/>
      <c r="O11" s="1142"/>
      <c r="P11" s="3225"/>
      <c r="Q11" s="1798" t="str">
        <f t="shared" si="6"/>
        <v>容积率</v>
      </c>
      <c r="R11" s="770" t="s">
        <v>17</v>
      </c>
      <c r="S11" s="771">
        <f t="shared" si="0"/>
        <v>99</v>
      </c>
      <c r="T11" s="770" t="s">
        <v>17</v>
      </c>
      <c r="U11" s="771">
        <f t="shared" si="1"/>
        <v>99</v>
      </c>
      <c r="V11" s="770" t="s">
        <v>17</v>
      </c>
      <c r="W11" s="771">
        <f t="shared" si="2"/>
        <v>99</v>
      </c>
      <c r="X11" s="772"/>
      <c r="Y11" s="3040"/>
      <c r="Z11" s="55" t="str">
        <f t="shared" si="7"/>
        <v>容积率</v>
      </c>
      <c r="AA11" s="773">
        <f t="shared" si="3"/>
        <v>1.0101010101010102</v>
      </c>
      <c r="AB11" s="773">
        <f t="shared" si="4"/>
        <v>1.0101010101010102</v>
      </c>
      <c r="AC11" s="773">
        <f t="shared" si="5"/>
        <v>1.0101010101010102</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5" t="s">
        <v>3242</v>
      </c>
      <c r="F15" s="441">
        <f>SUMIF(83:83,E16,84:84)-SUMIF(83:83,C16,84:84)+100</f>
        <v>98</v>
      </c>
      <c r="G15" s="2965" t="s">
        <v>3239</v>
      </c>
      <c r="H15" s="441">
        <f>SUMIF(83:83,G16,84:84)-SUMIF(83:83,C16,84:84)+100</f>
        <v>100</v>
      </c>
      <c r="I15" s="2966" t="s">
        <v>3234</v>
      </c>
      <c r="J15" s="441">
        <f>SUMIF(83:83,I16,84:84)-SUMIF(83:83,C16,84:84)+100</f>
        <v>100</v>
      </c>
      <c r="K15" s="673">
        <v>2</v>
      </c>
      <c r="L15" s="1143"/>
      <c r="M15" s="1134"/>
      <c r="N15" s="1134"/>
      <c r="O15" s="1142"/>
      <c r="P15" s="3227" t="s">
        <v>2561</v>
      </c>
      <c r="Q15" s="1813" t="str">
        <f t="shared" si="6"/>
        <v>产业集聚程度</v>
      </c>
      <c r="R15" s="774" t="s">
        <v>17</v>
      </c>
      <c r="S15" s="775">
        <f t="shared" si="0"/>
        <v>98</v>
      </c>
      <c r="T15" s="774" t="s">
        <v>17</v>
      </c>
      <c r="U15" s="775">
        <f t="shared" si="1"/>
        <v>100</v>
      </c>
      <c r="V15" s="774" t="s">
        <v>17</v>
      </c>
      <c r="W15" s="775">
        <f t="shared" si="2"/>
        <v>100</v>
      </c>
      <c r="X15" s="1816"/>
      <c r="Y15" s="3227" t="s">
        <v>2561</v>
      </c>
      <c r="Z15" s="1817" t="str">
        <f t="shared" si="7"/>
        <v>产业集聚程度</v>
      </c>
      <c r="AA15" s="1814">
        <f t="shared" si="3"/>
        <v>1.0204081632653061</v>
      </c>
      <c r="AB15" s="1814">
        <f t="shared" si="4"/>
        <v>1</v>
      </c>
      <c r="AC15" s="1814">
        <f t="shared" si="5"/>
        <v>1</v>
      </c>
    </row>
    <row r="16" spans="1:29" ht="15">
      <c r="A16" s="428"/>
      <c r="B16" s="630"/>
      <c r="C16" s="447" t="s">
        <v>3101</v>
      </c>
      <c r="D16" s="448"/>
      <c r="E16" s="2611" t="s">
        <v>3102</v>
      </c>
      <c r="F16" s="448"/>
      <c r="G16" s="2611" t="s">
        <v>3101</v>
      </c>
      <c r="H16" s="450"/>
      <c r="I16" s="2967" t="s">
        <v>3101</v>
      </c>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3243</v>
      </c>
      <c r="F17" s="455">
        <f>SUMIF(85:85,E18,86:86)-SUMIF(85:85,C18,86:86)+100</f>
        <v>98</v>
      </c>
      <c r="G17" s="452" t="s">
        <v>3241</v>
      </c>
      <c r="H17" s="455">
        <f>SUMIF(85:85,G18,86:86)-SUMIF(85:85,C18,86:86)+100</f>
        <v>100</v>
      </c>
      <c r="I17" s="2968" t="s">
        <v>3240</v>
      </c>
      <c r="J17" s="450">
        <f>SUMIF(85:85,I18,86:86)-SUMIF(85:85,C18,86:86)+100</f>
        <v>96</v>
      </c>
      <c r="K17" s="673">
        <v>2</v>
      </c>
      <c r="L17" s="1143"/>
      <c r="M17" s="1134"/>
      <c r="N17" s="1134"/>
      <c r="O17" s="1142"/>
      <c r="P17" s="3228"/>
      <c r="Q17" s="1813" t="str">
        <f>B17</f>
        <v>交通便捷度</v>
      </c>
      <c r="R17" s="774" t="s">
        <v>17</v>
      </c>
      <c r="S17" s="775">
        <f>F17</f>
        <v>98</v>
      </c>
      <c r="T17" s="774" t="s">
        <v>17</v>
      </c>
      <c r="U17" s="775">
        <f>H17</f>
        <v>100</v>
      </c>
      <c r="V17" s="774" t="s">
        <v>17</v>
      </c>
      <c r="W17" s="775">
        <f>J17</f>
        <v>96</v>
      </c>
      <c r="X17" s="1816"/>
      <c r="Y17" s="3228"/>
      <c r="Z17" s="1817" t="str">
        <f>Q17</f>
        <v>交通便捷度</v>
      </c>
      <c r="AA17" s="1814">
        <f t="shared" si="3"/>
        <v>1.0204081632653061</v>
      </c>
      <c r="AB17" s="1814">
        <f t="shared" si="4"/>
        <v>1</v>
      </c>
      <c r="AC17" s="1814">
        <f t="shared" si="5"/>
        <v>1.0416666666666667</v>
      </c>
    </row>
    <row r="18" spans="1:29" ht="15">
      <c r="A18" s="428"/>
      <c r="B18" s="632"/>
      <c r="C18" s="447" t="s">
        <v>3101</v>
      </c>
      <c r="D18" s="448"/>
      <c r="E18" s="2605" t="s">
        <v>3102</v>
      </c>
      <c r="F18" s="448"/>
      <c r="G18" s="2605" t="s">
        <v>3101</v>
      </c>
      <c r="H18" s="448"/>
      <c r="I18" s="2969" t="s">
        <v>3235</v>
      </c>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8" t="s">
        <v>3091</v>
      </c>
      <c r="F19" s="455">
        <f>SUMIF(87:87,E20,88:88)-SUMIF(87:87,C20,88:88)+100</f>
        <v>100</v>
      </c>
      <c r="G19" s="2968" t="s">
        <v>3091</v>
      </c>
      <c r="H19" s="455">
        <f>SUMIF(87:87,G20,88:88)-SUMIF(87:87,C20,88:88)+100</f>
        <v>100</v>
      </c>
      <c r="I19" s="2968" t="s">
        <v>3091</v>
      </c>
      <c r="J19" s="455">
        <f>SUMIF(87:87,I20,88:88)-SUMIF(87:87,C20,88:88)+100</f>
        <v>100</v>
      </c>
      <c r="K19" s="673">
        <v>2</v>
      </c>
      <c r="L19" s="1143"/>
      <c r="M19" s="1134"/>
      <c r="N19" s="1134"/>
      <c r="O19" s="1142"/>
      <c r="P19" s="3228"/>
      <c r="Q19" s="1813" t="str">
        <f t="shared" ref="Q19:Q33" si="8">B19</f>
        <v>区域土地利用方向</v>
      </c>
      <c r="R19" s="774" t="s">
        <v>17</v>
      </c>
      <c r="S19" s="775">
        <f>F19</f>
        <v>100</v>
      </c>
      <c r="T19" s="774" t="s">
        <v>17</v>
      </c>
      <c r="U19" s="775">
        <f>H19</f>
        <v>100</v>
      </c>
      <c r="V19" s="774" t="s">
        <v>17</v>
      </c>
      <c r="W19" s="775">
        <f>J19</f>
        <v>100</v>
      </c>
      <c r="X19" s="1816"/>
      <c r="Y19" s="3228"/>
      <c r="Z19" s="1817" t="str">
        <f>Q19</f>
        <v>区域土地利用方向</v>
      </c>
      <c r="AA19" s="1814">
        <f t="shared" si="3"/>
        <v>1</v>
      </c>
      <c r="AB19" s="1814">
        <f t="shared" si="4"/>
        <v>1</v>
      </c>
      <c r="AC19" s="1814">
        <f t="shared" si="5"/>
        <v>1</v>
      </c>
    </row>
    <row r="20" spans="1:29" ht="15">
      <c r="A20" s="404"/>
      <c r="B20" s="632"/>
      <c r="C20" s="447" t="s">
        <v>3101</v>
      </c>
      <c r="D20" s="448"/>
      <c r="E20" s="2605" t="s">
        <v>3101</v>
      </c>
      <c r="F20" s="448"/>
      <c r="G20" s="2605" t="s">
        <v>3101</v>
      </c>
      <c r="H20" s="448"/>
      <c r="I20" s="2969" t="s">
        <v>3101</v>
      </c>
      <c r="J20" s="448"/>
      <c r="K20" s="812"/>
      <c r="L20" s="1143"/>
      <c r="M20" s="1134"/>
      <c r="N20" s="1134"/>
      <c r="O20" s="1142"/>
      <c r="P20" s="3228"/>
      <c r="Q20" s="1813"/>
      <c r="R20" s="774"/>
      <c r="S20" s="775"/>
      <c r="T20" s="774"/>
      <c r="U20" s="775"/>
      <c r="V20" s="774"/>
      <c r="W20" s="775"/>
      <c r="X20" s="1816"/>
      <c r="Y20" s="3228"/>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8" t="s">
        <v>3236</v>
      </c>
      <c r="F21" s="450">
        <f>SUMIF(89:89,E22,90:90)-SUMIF(89:89,C22,90:90)+100</f>
        <v>100</v>
      </c>
      <c r="G21" s="2968" t="s">
        <v>3236</v>
      </c>
      <c r="H21" s="450">
        <f>SUMIF(89:89,G22,90:90)-SUMIF(89:89,C22,90:90)+100</f>
        <v>100</v>
      </c>
      <c r="I21" s="2968" t="s">
        <v>3236</v>
      </c>
      <c r="J21" s="450">
        <f>SUMIF(89:89,I22,90:90)-SUMIF(89:89,C22,90:90)+100</f>
        <v>100</v>
      </c>
      <c r="K21" s="673">
        <v>2</v>
      </c>
      <c r="L21" s="1143"/>
      <c r="M21" s="1134"/>
      <c r="N21" s="1134"/>
      <c r="O21" s="1142"/>
      <c r="P21" s="3228"/>
      <c r="Q21" s="1813" t="str">
        <f t="shared" si="8"/>
        <v>环境状况</v>
      </c>
      <c r="R21" s="774" t="s">
        <v>17</v>
      </c>
      <c r="S21" s="775">
        <f>F21</f>
        <v>100</v>
      </c>
      <c r="T21" s="774" t="s">
        <v>17</v>
      </c>
      <c r="U21" s="775">
        <f>H21</f>
        <v>100</v>
      </c>
      <c r="V21" s="774" t="s">
        <v>17</v>
      </c>
      <c r="W21" s="775">
        <f>J21</f>
        <v>100</v>
      </c>
      <c r="X21" s="1816"/>
      <c r="Y21" s="3228"/>
      <c r="Z21" s="1817" t="str">
        <f>Q21</f>
        <v>环境状况</v>
      </c>
      <c r="AA21" s="1814">
        <f t="shared" si="3"/>
        <v>1</v>
      </c>
      <c r="AB21" s="1814">
        <f t="shared" si="4"/>
        <v>1</v>
      </c>
      <c r="AC21" s="1814">
        <f t="shared" si="5"/>
        <v>1</v>
      </c>
    </row>
    <row r="22" spans="1:29" ht="15">
      <c r="A22" s="404"/>
      <c r="B22" s="632"/>
      <c r="C22" s="447" t="s">
        <v>3101</v>
      </c>
      <c r="D22" s="448"/>
      <c r="E22" s="2611" t="s">
        <v>3101</v>
      </c>
      <c r="F22" s="448"/>
      <c r="G22" s="2611" t="s">
        <v>3101</v>
      </c>
      <c r="H22" s="448"/>
      <c r="I22" s="2970" t="s">
        <v>3101</v>
      </c>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8" t="s">
        <v>3247</v>
      </c>
      <c r="F23" s="450">
        <f>SUMIF(91:91,E24,92:92)-SUMIF(91:91,C24,92:92)+100</f>
        <v>100</v>
      </c>
      <c r="G23" s="2968" t="s">
        <v>3246</v>
      </c>
      <c r="H23" s="450">
        <f>SUMIF(91:91,G24,92:92)-SUMIF(91:91,C24,92:92)+100</f>
        <v>100</v>
      </c>
      <c r="I23" s="2968" t="s">
        <v>3246</v>
      </c>
      <c r="J23" s="450">
        <f>SUMIF(91:91,I24,92:92)-SUMIF(91:91,C24,92:92)+100</f>
        <v>98</v>
      </c>
      <c r="K23" s="673">
        <v>2</v>
      </c>
      <c r="L23" s="1135"/>
      <c r="M23" s="1136"/>
      <c r="N23" s="1136"/>
      <c r="O23" s="1137"/>
      <c r="P23" s="3228"/>
      <c r="Q23" s="1798" t="str">
        <f t="shared" si="8"/>
        <v>公共配套设施</v>
      </c>
      <c r="R23" s="770" t="s">
        <v>17</v>
      </c>
      <c r="S23" s="771">
        <f>F23</f>
        <v>100</v>
      </c>
      <c r="T23" s="770" t="s">
        <v>17</v>
      </c>
      <c r="U23" s="771">
        <f>H23</f>
        <v>100</v>
      </c>
      <c r="V23" s="770" t="s">
        <v>17</v>
      </c>
      <c r="W23" s="771">
        <f>J23</f>
        <v>98</v>
      </c>
      <c r="X23" s="772"/>
      <c r="Y23" s="3228"/>
      <c r="Z23" s="55" t="str">
        <f>Q23</f>
        <v>公共配套设施</v>
      </c>
      <c r="AA23" s="1814">
        <f>D23/F23</f>
        <v>1</v>
      </c>
      <c r="AB23" s="1814">
        <f>D23/H23</f>
        <v>1</v>
      </c>
      <c r="AC23" s="1814">
        <f>D23/J23</f>
        <v>1.0204081632653061</v>
      </c>
    </row>
    <row r="24" spans="1:29" s="117" customFormat="1" ht="15">
      <c r="A24" s="649"/>
      <c r="B24" s="632"/>
      <c r="C24" s="2700" t="s">
        <v>3102</v>
      </c>
      <c r="D24" s="448"/>
      <c r="E24" s="2611" t="s">
        <v>3102</v>
      </c>
      <c r="F24" s="448"/>
      <c r="G24" s="2611" t="s">
        <v>3102</v>
      </c>
      <c r="H24" s="448"/>
      <c r="I24" s="2970" t="s">
        <v>3235</v>
      </c>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71" t="s">
        <v>3245</v>
      </c>
      <c r="F25" s="450">
        <f>SUMIF(93:93,E26,94:94)-SUMIF(93:93,C26,94:94)+100</f>
        <v>100</v>
      </c>
      <c r="G25" s="2971" t="s">
        <v>3245</v>
      </c>
      <c r="H25" s="450">
        <f>SUMIF(93:93,G26,94:94)-SUMIF(93:93,C26,94:94)+100</f>
        <v>100</v>
      </c>
      <c r="I25" s="2971" t="s">
        <v>3245</v>
      </c>
      <c r="J25" s="450">
        <f>SUMIF(93:93,I26,94:94)-SUMIF(93:93,C26,94:94)+100</f>
        <v>100</v>
      </c>
      <c r="K25" s="673">
        <v>1</v>
      </c>
      <c r="L25" s="1135"/>
      <c r="M25" s="1136"/>
      <c r="N25" s="1136"/>
      <c r="O25" s="1137"/>
      <c r="P25" s="3228"/>
      <c r="Q25" s="1798"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4">
        <f>D25/F25</f>
        <v>1</v>
      </c>
      <c r="AB25" s="1814">
        <f>D25/H25</f>
        <v>1</v>
      </c>
      <c r="AC25" s="1814">
        <f>D25/J25</f>
        <v>1</v>
      </c>
    </row>
    <row r="26" spans="1:29" s="117" customFormat="1" ht="15">
      <c r="A26" s="649"/>
      <c r="B26" s="632"/>
      <c r="C26" s="2700" t="s">
        <v>3103</v>
      </c>
      <c r="D26" s="448"/>
      <c r="E26" s="2701" t="s">
        <v>3103</v>
      </c>
      <c r="F26" s="448"/>
      <c r="G26" s="2701" t="s">
        <v>3103</v>
      </c>
      <c r="H26" s="448"/>
      <c r="I26" s="2972" t="s">
        <v>3103</v>
      </c>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2657</v>
      </c>
      <c r="C27" s="616" t="s">
        <v>3129</v>
      </c>
      <c r="D27" s="435">
        <v>100</v>
      </c>
      <c r="E27" s="634" t="s">
        <v>3129</v>
      </c>
      <c r="F27" s="435">
        <f>SUMIF(95:95,E27,96:96)-SUMIF(95:95,C27,96:96)+100</f>
        <v>100</v>
      </c>
      <c r="G27" s="634" t="s">
        <v>3129</v>
      </c>
      <c r="H27" s="435">
        <f>SUMIF(95:95,G27,96:96)-SUMIF(95:95,C27,96:96)+100</f>
        <v>100</v>
      </c>
      <c r="I27" s="2967" t="s">
        <v>3237</v>
      </c>
      <c r="J27" s="435">
        <f>SUMIF(95:95,I27,96:96)-SUMIF(95:95,C27,96:96)+100</f>
        <v>101</v>
      </c>
      <c r="K27" s="673">
        <v>1</v>
      </c>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228"/>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t="s">
        <v>3130</v>
      </c>
      <c r="D29" s="448"/>
      <c r="E29" s="2611" t="s">
        <v>3130</v>
      </c>
      <c r="F29" s="448"/>
      <c r="G29" s="2611" t="s">
        <v>3130</v>
      </c>
      <c r="H29" s="448"/>
      <c r="I29" s="2611" t="s">
        <v>3130</v>
      </c>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2566</v>
      </c>
      <c r="Q32" s="1813">
        <f t="shared" si="8"/>
        <v>111</v>
      </c>
      <c r="R32" s="774" t="s">
        <v>17</v>
      </c>
      <c r="S32" s="775">
        <f t="shared" si="10"/>
        <v>100</v>
      </c>
      <c r="T32" s="774" t="s">
        <v>17</v>
      </c>
      <c r="U32" s="775">
        <f t="shared" si="11"/>
        <v>100</v>
      </c>
      <c r="V32" s="774" t="s">
        <v>17</v>
      </c>
      <c r="W32" s="775">
        <f t="shared" si="12"/>
        <v>100</v>
      </c>
      <c r="X32" s="1816"/>
      <c r="Y32" s="3232"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2"/>
      <c r="Q33" s="1813">
        <f t="shared" si="8"/>
        <v>111</v>
      </c>
      <c r="R33" s="777" t="s">
        <v>17</v>
      </c>
      <c r="S33" s="778">
        <f t="shared" si="10"/>
        <v>100</v>
      </c>
      <c r="T33" s="777" t="s">
        <v>17</v>
      </c>
      <c r="U33" s="778">
        <f t="shared" si="11"/>
        <v>100</v>
      </c>
      <c r="V33" s="777" t="s">
        <v>17</v>
      </c>
      <c r="W33" s="778">
        <f t="shared" si="12"/>
        <v>100</v>
      </c>
      <c r="X33" s="779"/>
      <c r="Y33" s="3232"/>
      <c r="Z33" s="780">
        <f t="shared" si="13"/>
        <v>111</v>
      </c>
      <c r="AA33" s="1814">
        <f t="shared" si="3"/>
        <v>1</v>
      </c>
      <c r="AB33" s="1814">
        <f t="shared" si="4"/>
        <v>1</v>
      </c>
      <c r="AC33" s="1814">
        <f t="shared" si="5"/>
        <v>1</v>
      </c>
    </row>
    <row r="34" spans="1:29" ht="15">
      <c r="A34" s="440" t="s">
        <v>2564</v>
      </c>
      <c r="B34" s="456" t="s">
        <v>2752</v>
      </c>
      <c r="C34" s="13">
        <v>3480.91</v>
      </c>
      <c r="D34" s="467">
        <v>100</v>
      </c>
      <c r="E34" s="679">
        <f>土地案例!J2</f>
        <v>4280.58</v>
      </c>
      <c r="F34" s="467">
        <f>LOOKUP(E34,108:108,109:109)-LOOKUP(C34,108:108,109:109)+100</f>
        <v>100</v>
      </c>
      <c r="G34" s="679">
        <f>土地案例!J6</f>
        <v>11912.8</v>
      </c>
      <c r="H34" s="467">
        <f>LOOKUP(G34,108:108,109:109)-LOOKUP(C34,108:108,109:109)+100</f>
        <v>102</v>
      </c>
      <c r="I34" s="530">
        <f>土地案例!J7</f>
        <v>13289.21</v>
      </c>
      <c r="J34" s="467">
        <f>LOOKUP(I34,108:108,109:109)-LOOKUP(C34,108:108,109:109)+100</f>
        <v>102</v>
      </c>
      <c r="K34" s="613"/>
      <c r="L34" s="1143"/>
      <c r="M34" s="1134"/>
      <c r="N34" s="1134"/>
      <c r="O34" s="1142"/>
      <c r="P34" s="3232"/>
      <c r="Q34" s="1813" t="str">
        <f>B34</f>
        <v>宗地面积</v>
      </c>
      <c r="R34" s="774" t="s">
        <v>17</v>
      </c>
      <c r="S34" s="775">
        <f t="shared" si="10"/>
        <v>100</v>
      </c>
      <c r="T34" s="774" t="s">
        <v>17</v>
      </c>
      <c r="U34" s="775">
        <f t="shared" si="11"/>
        <v>102</v>
      </c>
      <c r="V34" s="774" t="s">
        <v>17</v>
      </c>
      <c r="W34" s="775">
        <f t="shared" si="12"/>
        <v>102</v>
      </c>
      <c r="X34" s="1816"/>
      <c r="Y34" s="3232"/>
      <c r="Z34" s="1817" t="str">
        <f t="shared" si="13"/>
        <v>宗地面积</v>
      </c>
      <c r="AA34" s="1814">
        <f t="shared" si="3"/>
        <v>1</v>
      </c>
      <c r="AB34" s="1814">
        <f t="shared" si="4"/>
        <v>0.98039215686274506</v>
      </c>
      <c r="AC34" s="1814">
        <f t="shared" si="5"/>
        <v>0.98039215686274506</v>
      </c>
    </row>
    <row r="35" spans="1:29" ht="15">
      <c r="A35" s="472"/>
      <c r="B35" s="422" t="s">
        <v>2753</v>
      </c>
      <c r="C35" s="2959" t="s">
        <v>3131</v>
      </c>
      <c r="D35" s="435">
        <v>100</v>
      </c>
      <c r="E35" s="2613" t="s">
        <v>3253</v>
      </c>
      <c r="F35" s="435">
        <f>SUMIF(110:110,E35,111:111)-SUMIF(110:110,C35,111:111)+100</f>
        <v>100</v>
      </c>
      <c r="G35" s="2613" t="s">
        <v>3253</v>
      </c>
      <c r="H35" s="435">
        <f>SUMIF(110:110,G35,111:111)-SUMIF(110:110,C35,111:111)+100</f>
        <v>100</v>
      </c>
      <c r="I35" s="2613" t="s">
        <v>3253</v>
      </c>
      <c r="J35" s="435">
        <f>SUMIF(110:110,I35,111:111)-SUMIF(110:110,C35,111:111)+100</f>
        <v>100</v>
      </c>
      <c r="K35" s="612">
        <v>1</v>
      </c>
      <c r="L35" s="1143"/>
      <c r="M35" s="1134"/>
      <c r="N35" s="1134"/>
      <c r="O35" s="1142"/>
      <c r="P35" s="3232"/>
      <c r="Q35" s="1813" t="str">
        <f t="shared" ref="Q35:Q40" si="14">B35</f>
        <v>宗地形状</v>
      </c>
      <c r="R35" s="774" t="s">
        <v>17</v>
      </c>
      <c r="S35" s="775">
        <f t="shared" si="10"/>
        <v>100</v>
      </c>
      <c r="T35" s="774" t="s">
        <v>17</v>
      </c>
      <c r="U35" s="775">
        <f t="shared" si="11"/>
        <v>100</v>
      </c>
      <c r="V35" s="774" t="s">
        <v>17</v>
      </c>
      <c r="W35" s="775">
        <f t="shared" si="12"/>
        <v>100</v>
      </c>
      <c r="X35" s="1816"/>
      <c r="Y35" s="3232"/>
      <c r="Z35" s="1817" t="str">
        <f t="shared" si="13"/>
        <v>宗地形状</v>
      </c>
      <c r="AA35" s="1814">
        <f t="shared" si="3"/>
        <v>1</v>
      </c>
      <c r="AB35" s="1814">
        <f t="shared" si="4"/>
        <v>1</v>
      </c>
      <c r="AC35" s="1814">
        <f t="shared" si="5"/>
        <v>1</v>
      </c>
    </row>
    <row r="36" spans="1:29" s="117" customFormat="1" ht="15">
      <c r="A36" s="473"/>
      <c r="B36" s="422" t="s">
        <v>2755</v>
      </c>
      <c r="C36" s="2702" t="s">
        <v>3138</v>
      </c>
      <c r="D36" s="136">
        <v>100</v>
      </c>
      <c r="E36" s="2702" t="s">
        <v>3248</v>
      </c>
      <c r="F36" s="435">
        <f>SUMIF(112:112,E36,113:113)-SUMIF(112:112,C36,113:113)+100</f>
        <v>99</v>
      </c>
      <c r="G36" s="2702" t="s">
        <v>3249</v>
      </c>
      <c r="H36" s="435">
        <f>SUMIF(112:112,G36,113:113)-SUMIF(112:112,C36,113:113)+100</f>
        <v>97</v>
      </c>
      <c r="I36" s="2702" t="s">
        <v>3132</v>
      </c>
      <c r="J36" s="435">
        <f>SUMIF(112:112,I36,113:113)-SUMIF(112:112,C36,113:113)+100</f>
        <v>101</v>
      </c>
      <c r="K36" s="612">
        <v>1</v>
      </c>
      <c r="L36" s="1135"/>
      <c r="M36" s="1136"/>
      <c r="N36" s="1136"/>
      <c r="O36" s="1137"/>
      <c r="P36" s="3232"/>
      <c r="Q36" s="1813" t="str">
        <f t="shared" si="14"/>
        <v>宗地开发程度</v>
      </c>
      <c r="R36" s="770" t="s">
        <v>17</v>
      </c>
      <c r="S36" s="771">
        <f t="shared" si="10"/>
        <v>99</v>
      </c>
      <c r="T36" s="770" t="s">
        <v>17</v>
      </c>
      <c r="U36" s="771">
        <f t="shared" si="11"/>
        <v>97</v>
      </c>
      <c r="V36" s="770" t="s">
        <v>17</v>
      </c>
      <c r="W36" s="771">
        <f t="shared" si="12"/>
        <v>101</v>
      </c>
      <c r="X36" s="772"/>
      <c r="Y36" s="3232"/>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32" t="s">
        <v>2566</v>
      </c>
      <c r="Q37" s="1813" t="str">
        <f t="shared" si="14"/>
        <v>工程地质条件</v>
      </c>
      <c r="R37" s="774" t="s">
        <v>17</v>
      </c>
      <c r="S37" s="775">
        <f t="shared" si="10"/>
        <v>100</v>
      </c>
      <c r="T37" s="774" t="s">
        <v>17</v>
      </c>
      <c r="U37" s="775">
        <f t="shared" si="11"/>
        <v>100</v>
      </c>
      <c r="V37" s="774" t="s">
        <v>17</v>
      </c>
      <c r="W37" s="775">
        <f t="shared" si="12"/>
        <v>100</v>
      </c>
      <c r="X37" s="1816"/>
      <c r="Y37" s="3232"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2"/>
      <c r="Q38" s="1813">
        <f t="shared" si="14"/>
        <v>111</v>
      </c>
      <c r="R38" s="774" t="s">
        <v>17</v>
      </c>
      <c r="S38" s="775">
        <f t="shared" si="10"/>
        <v>100</v>
      </c>
      <c r="T38" s="774" t="s">
        <v>17</v>
      </c>
      <c r="U38" s="775">
        <f t="shared" si="11"/>
        <v>100</v>
      </c>
      <c r="V38" s="774" t="s">
        <v>17</v>
      </c>
      <c r="W38" s="775">
        <f t="shared" si="12"/>
        <v>100</v>
      </c>
      <c r="X38" s="1816"/>
      <c r="Y38" s="323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2"/>
      <c r="Q39" s="1813">
        <f t="shared" si="14"/>
        <v>111</v>
      </c>
      <c r="R39" s="774" t="s">
        <v>17</v>
      </c>
      <c r="S39" s="775">
        <f t="shared" si="10"/>
        <v>100</v>
      </c>
      <c r="T39" s="774" t="s">
        <v>17</v>
      </c>
      <c r="U39" s="775">
        <f t="shared" si="11"/>
        <v>100</v>
      </c>
      <c r="V39" s="774" t="s">
        <v>17</v>
      </c>
      <c r="W39" s="775">
        <f t="shared" si="12"/>
        <v>100</v>
      </c>
      <c r="X39" s="1816"/>
      <c r="Y39" s="3232"/>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2"/>
      <c r="Q40" s="1813">
        <f t="shared" si="14"/>
        <v>111</v>
      </c>
      <c r="R40" s="777" t="s">
        <v>17</v>
      </c>
      <c r="S40" s="778">
        <f t="shared" si="10"/>
        <v>100</v>
      </c>
      <c r="T40" s="777" t="s">
        <v>17</v>
      </c>
      <c r="U40" s="778">
        <f t="shared" si="11"/>
        <v>100</v>
      </c>
      <c r="V40" s="777" t="s">
        <v>17</v>
      </c>
      <c r="W40" s="778">
        <f t="shared" si="12"/>
        <v>100</v>
      </c>
      <c r="X40" s="779"/>
      <c r="Y40" s="3232"/>
      <c r="Z40" s="780">
        <f t="shared" si="13"/>
        <v>111</v>
      </c>
      <c r="AA40" s="1814">
        <f t="shared" si="3"/>
        <v>1</v>
      </c>
      <c r="AB40" s="1814">
        <f t="shared" si="4"/>
        <v>1</v>
      </c>
      <c r="AC40" s="1814">
        <f t="shared" si="5"/>
        <v>1</v>
      </c>
    </row>
    <row r="41" spans="1:29" ht="15">
      <c r="A41" s="479" t="s">
        <v>2721</v>
      </c>
      <c r="B41" s="2704" t="s">
        <v>3254</v>
      </c>
      <c r="C41" s="682" t="s">
        <v>1</v>
      </c>
      <c r="D41" s="481"/>
      <c r="E41" s="482">
        <f>ROUND(土地案例!AS2,0)</f>
        <v>1500</v>
      </c>
      <c r="F41" s="483"/>
      <c r="G41" s="484">
        <v>1509</v>
      </c>
      <c r="H41" s="485"/>
      <c r="I41" s="482">
        <v>1202</v>
      </c>
      <c r="J41" s="485"/>
      <c r="K41" s="783"/>
      <c r="L41" s="1146"/>
      <c r="M41" s="1134"/>
      <c r="N41" s="1134"/>
      <c r="O41" s="1147"/>
      <c r="P41" s="3225" t="str">
        <f>A41</f>
        <v>成交单价</v>
      </c>
      <c r="Q41" s="3225"/>
      <c r="R41" s="3220">
        <f>E41</f>
        <v>1500</v>
      </c>
      <c r="S41" s="3220"/>
      <c r="T41" s="3220">
        <f>G41</f>
        <v>1509</v>
      </c>
      <c r="U41" s="3220"/>
      <c r="V41" s="3220">
        <f>I41</f>
        <v>1202</v>
      </c>
      <c r="W41" s="3220"/>
      <c r="X41" s="759"/>
      <c r="Y41" s="781"/>
      <c r="Z41" s="759"/>
      <c r="AA41" s="759"/>
      <c r="AB41" s="759"/>
      <c r="AC41" s="759"/>
    </row>
    <row r="42" spans="1:29" ht="15.75" thickBot="1">
      <c r="A42" s="486" t="s">
        <v>2670</v>
      </c>
      <c r="B42" s="683"/>
      <c r="C42" s="490">
        <f>R43</f>
        <v>1470</v>
      </c>
      <c r="D42" s="489"/>
      <c r="E42" s="490">
        <f>R42</f>
        <v>1534</v>
      </c>
      <c r="F42" s="491"/>
      <c r="G42" s="488">
        <f>T42</f>
        <v>1546</v>
      </c>
      <c r="H42" s="489"/>
      <c r="I42" s="490">
        <f>V42</f>
        <v>1330</v>
      </c>
      <c r="J42" s="489"/>
      <c r="K42" s="784"/>
      <c r="L42" s="1146"/>
      <c r="M42" s="1134"/>
      <c r="N42" s="1134"/>
      <c r="O42" s="1147"/>
      <c r="P42" s="3225" t="str">
        <f>A42</f>
        <v>比较价值（元/平方米）</v>
      </c>
      <c r="Q42" s="3225"/>
      <c r="R42" s="3252">
        <f>ROUND(PRODUCT(R41,AA7:AA40),0)</f>
        <v>1534</v>
      </c>
      <c r="S42" s="3252"/>
      <c r="T42" s="3252">
        <f>ROUND(PRODUCT(T41,AB7:AB40),0)</f>
        <v>1546</v>
      </c>
      <c r="U42" s="3252"/>
      <c r="V42" s="3252">
        <f>ROUND(PRODUCT(V41,AC7:AC40),0)</f>
        <v>1330</v>
      </c>
      <c r="W42" s="3252"/>
      <c r="X42" s="759"/>
      <c r="Y42" s="759"/>
      <c r="Z42" s="759"/>
      <c r="AA42" s="759"/>
      <c r="AB42" s="759"/>
      <c r="AC42" s="759"/>
    </row>
    <row r="43" spans="1:29" ht="15.75" thickBot="1">
      <c r="A43" s="492" t="s">
        <v>2671</v>
      </c>
      <c r="B43" s="493"/>
      <c r="C43" s="494">
        <f>R43</f>
        <v>1470</v>
      </c>
      <c r="D43" s="494"/>
      <c r="E43" s="494"/>
      <c r="F43" s="494"/>
      <c r="G43" s="494"/>
      <c r="H43" s="494"/>
      <c r="I43" s="494"/>
      <c r="J43" s="494"/>
      <c r="K43" s="785"/>
      <c r="L43" s="1146"/>
      <c r="M43" s="1134"/>
      <c r="N43" s="1134"/>
      <c r="O43" s="1147"/>
      <c r="P43" s="3222" t="str">
        <f>A43</f>
        <v>估价对象XX用房的比较价值（楼面单价，元/平方米）</v>
      </c>
      <c r="Q43" s="3223"/>
      <c r="R43" s="3253">
        <f>ROUND(AVERAGE(R42:V42),0)</f>
        <v>1470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2.2666666666666613E-2</v>
      </c>
      <c r="F46" s="500" t="str">
        <f>IF(OR(E46&gt;=0.3,E46&lt;=-0.3),"超过30%","")</f>
        <v/>
      </c>
      <c r="G46" s="499">
        <f>IF(G41&lt;G42,G42/G41-1,G41/G42-1)</f>
        <v>2.4519549370443983E-2</v>
      </c>
      <c r="H46" s="500" t="str">
        <f>IF(OR(G46&gt;=0.3,G46&lt;=-0.3),"超过30%","")</f>
        <v/>
      </c>
      <c r="I46" s="499">
        <f>IF(I41&lt;I42,I42/I41-1,I41/I42-1)</f>
        <v>0.10648918469217961</v>
      </c>
      <c r="J46" s="500" t="str">
        <f>IF(OR(I46&gt;=0.3,I46&lt;=-0.3),"超过30%","")</f>
        <v/>
      </c>
      <c r="K46" s="1108"/>
      <c r="L46" s="1109"/>
      <c r="M46" s="1134"/>
      <c r="N46" s="1134"/>
      <c r="O46" s="1147"/>
    </row>
    <row r="47" spans="1:29" ht="13.5" customHeight="1">
      <c r="A47" s="1147"/>
      <c r="B47" s="1147"/>
      <c r="C47" s="497" t="s">
        <v>2673</v>
      </c>
      <c r="D47" s="501"/>
      <c r="E47" s="499">
        <f>IF(E42&lt;G42,G42/E42-1,E42/G42-1)</f>
        <v>7.8226857887875312E-3</v>
      </c>
      <c r="F47" s="500" t="str">
        <f>IF(OR(E47&gt;=0.2,E47&lt;=-0.2),"超过20%","")</f>
        <v/>
      </c>
      <c r="G47" s="499">
        <f>IF(G42&lt;I42,I42/G42-1,G42/I42-1)</f>
        <v>0.16240601503759389</v>
      </c>
      <c r="H47" s="500" t="str">
        <f>IF(OR(G47&gt;=0.2,G47&lt;=-0.2),"超过20%","")</f>
        <v/>
      </c>
      <c r="I47" s="499">
        <f>IF(I42&lt;E42,E42/I42-1,I42/E42-1)</f>
        <v>0.15338345864661651</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208" t="s">
        <v>2765</v>
      </c>
      <c r="H50" s="3254"/>
      <c r="I50" s="1817" t="s">
        <v>2800</v>
      </c>
      <c r="J50" s="1817">
        <f>项目基本情况!F35</f>
        <v>0</v>
      </c>
      <c r="K50" s="2708" t="s">
        <v>2767</v>
      </c>
      <c r="L50" s="1109"/>
      <c r="M50" s="1147"/>
      <c r="N50" s="1147"/>
      <c r="O50" s="1147"/>
    </row>
    <row r="51" spans="1:17" s="692" customFormat="1">
      <c r="A51" s="688" t="s">
        <v>2768</v>
      </c>
      <c r="B51" s="689">
        <f>C43</f>
        <v>1470</v>
      </c>
      <c r="C51" s="690">
        <v>1</v>
      </c>
      <c r="D51" s="1166">
        <v>1</v>
      </c>
      <c r="E51" s="690">
        <f>'数据-汇总表'!E8+'数据-汇总表'!E9</f>
        <v>3480.91</v>
      </c>
      <c r="F51" s="691">
        <f t="shared" ref="F51:F60" si="15">ROUND(B51*E51/10000,0)</f>
        <v>512</v>
      </c>
      <c r="G51" s="3207"/>
      <c r="H51" s="3225"/>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255"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255"/>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255"/>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255"/>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55</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3036.74</v>
      </c>
      <c r="F61" s="697">
        <f>IF(B41="楼面地价",SUM(F51:F60),ROUND(C43*E61/10000,0))</f>
        <v>446</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3109</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3104</v>
      </c>
      <c r="D97" s="2951" t="s">
        <v>3105</v>
      </c>
      <c r="E97" s="2951" t="s">
        <v>3106</v>
      </c>
      <c r="F97" s="2951" t="s">
        <v>3107</v>
      </c>
      <c r="G97" s="2951" t="s">
        <v>3108</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3110</v>
      </c>
      <c r="D99" s="583" t="s">
        <v>3111</v>
      </c>
      <c r="E99" s="583" t="s">
        <v>3112</v>
      </c>
      <c r="F99" s="583" t="s">
        <v>3113</v>
      </c>
      <c r="G99" s="583" t="s">
        <v>3114</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3115</v>
      </c>
      <c r="D110" s="2953" t="s">
        <v>3116</v>
      </c>
      <c r="E110" s="2953" t="s">
        <v>3117</v>
      </c>
      <c r="F110" s="2953" t="s">
        <v>3118</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3119</v>
      </c>
      <c r="D112" s="2951" t="s">
        <v>3120</v>
      </c>
      <c r="E112" s="2951" t="s">
        <v>3121</v>
      </c>
      <c r="F112" s="2951" t="s">
        <v>3122</v>
      </c>
      <c r="G112" s="2951" t="s">
        <v>3123</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3124</v>
      </c>
      <c r="D114" s="2951" t="s">
        <v>3125</v>
      </c>
      <c r="E114" s="2953" t="s">
        <v>3126</v>
      </c>
      <c r="F114" s="2953" t="s">
        <v>3127</v>
      </c>
      <c r="G114" s="2953" t="s">
        <v>3128</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北京市顺义区东支路北法信段23号2幢工业用房房地产抵押价值预评估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6</v>
      </c>
    </row>
    <row r="2" spans="1:9" s="244" customFormat="1" ht="18" customHeight="1">
      <c r="A2" s="245" t="s">
        <v>2328</v>
      </c>
      <c r="B2" s="246">
        <f ca="1">IF(D2="——",C52,C52-E2)</f>
        <v>1784</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5125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460</v>
      </c>
      <c r="D5" s="255" t="s">
        <v>2335</v>
      </c>
      <c r="E5" s="256" t="s">
        <v>2336</v>
      </c>
      <c r="F5" s="256" t="s">
        <v>2337</v>
      </c>
      <c r="G5" s="257"/>
    </row>
    <row r="6" spans="1:9" s="258" customFormat="1" ht="13.5" customHeight="1">
      <c r="A6" s="952" t="s">
        <v>2338</v>
      </c>
      <c r="B6" s="259" t="s">
        <v>2339</v>
      </c>
      <c r="C6" s="260">
        <f>'土地比较法-工业'!B2</f>
        <v>446</v>
      </c>
      <c r="D6" s="261"/>
      <c r="E6" s="262"/>
      <c r="F6" s="262"/>
      <c r="G6" s="263"/>
    </row>
    <row r="7" spans="1:9" s="258" customFormat="1" ht="13.5" customHeight="1">
      <c r="A7" s="952" t="s">
        <v>2340</v>
      </c>
      <c r="B7" s="259" t="s">
        <v>2341</v>
      </c>
      <c r="C7" s="264">
        <f>ROUND(C6*F7,0)</f>
        <v>14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3480.91</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3480.91</v>
      </c>
      <c r="E19" s="255">
        <f>'数据-取费表'!B31</f>
        <v>200</v>
      </c>
      <c r="F19" s="275"/>
      <c r="G19" s="2550" t="s">
        <v>3093</v>
      </c>
    </row>
    <row r="20" spans="1:7" s="258" customFormat="1" ht="13.5" customHeight="1">
      <c r="A20" s="299" t="s">
        <v>2359</v>
      </c>
      <c r="B20" s="254" t="s">
        <v>2360</v>
      </c>
      <c r="C20" s="276">
        <f>ROUND((C5+C19)*F20,0)</f>
        <v>14</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20</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20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47</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47</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592</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1109</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975</v>
      </c>
      <c r="D34" s="261"/>
      <c r="E34" s="264"/>
      <c r="F34" s="301">
        <f ca="1">IF('数据-取费表'!B24=0,1,IF(B1="",'数据-取费表'!N16,INDIRECT("'数据-取费表'!n"&amp;$G$1)))</f>
        <v>1</v>
      </c>
      <c r="G34" s="263" t="s">
        <v>2392</v>
      </c>
    </row>
    <row r="35" spans="1:10" ht="13.5" customHeight="1">
      <c r="A35" s="954" t="s">
        <v>796</v>
      </c>
      <c r="B35" s="259" t="s">
        <v>2393</v>
      </c>
      <c r="C35" s="264">
        <f ca="1">ROUND(C34*F35,0)</f>
        <v>49</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70</v>
      </c>
      <c r="D37" s="261">
        <f ca="1">D19</f>
        <v>3480.91</v>
      </c>
      <c r="E37" s="293">
        <f>'数据-取费表'!B35</f>
        <v>200</v>
      </c>
      <c r="F37" s="303"/>
      <c r="G37" s="305" t="s">
        <v>2398</v>
      </c>
    </row>
    <row r="38" spans="1:10" ht="13.5" customHeight="1">
      <c r="A38" s="954" t="s">
        <v>799</v>
      </c>
      <c r="B38" s="259" t="s">
        <v>2399</v>
      </c>
      <c r="C38" s="264">
        <f ca="1">ROUND(C34*F38,0)</f>
        <v>15</v>
      </c>
      <c r="D38" s="264"/>
      <c r="E38" s="264"/>
      <c r="F38" s="303">
        <f>'数据-取费表'!B36</f>
        <v>1.4999999999999999E-2</v>
      </c>
      <c r="G38" s="263" t="s">
        <v>2394</v>
      </c>
    </row>
    <row r="39" spans="1:10" s="258" customFormat="1" ht="13.5" customHeight="1">
      <c r="A39" s="299" t="s">
        <v>2400</v>
      </c>
      <c r="B39" s="254" t="s">
        <v>2401</v>
      </c>
      <c r="C39" s="276">
        <f ca="1">ROUND(C33*F20,0)</f>
        <v>33</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25</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24</v>
      </c>
      <c r="D42" s="282"/>
      <c r="E42" s="282"/>
      <c r="F42" s="283"/>
      <c r="G42" s="3160" t="s">
        <v>2410</v>
      </c>
    </row>
    <row r="43" spans="1:10" ht="13.5" customHeight="1">
      <c r="A43" s="954" t="s">
        <v>792</v>
      </c>
      <c r="B43" s="259" t="s">
        <v>2411</v>
      </c>
      <c r="C43" s="282">
        <f ca="1">ROUND(IF('数据-取费表'!B22&lt;=1,C39*F22*'数据-取费表'!B21/2,C39*(POWER((1+F22),'数据-取费表'!B21/2)-1)),0)</f>
        <v>1</v>
      </c>
      <c r="D43" s="282"/>
      <c r="E43" s="282"/>
      <c r="F43" s="283"/>
      <c r="G43" s="3161"/>
      <c r="J43" s="295" t="s">
        <v>3135</v>
      </c>
    </row>
    <row r="44" spans="1:10" ht="13.5" customHeight="1">
      <c r="A44" s="954" t="s">
        <v>793</v>
      </c>
      <c r="B44" s="259" t="s">
        <v>2412</v>
      </c>
      <c r="C44" s="282">
        <f ca="1">ROUND(IF('数据-取费表'!B22&lt;=1,C40*F22*'数据-取费表'!B21/2,C40*(POWER((1+F22),'数据-取费表'!B21/2)-1)),4)</f>
        <v>6.9999999999999999E-4</v>
      </c>
      <c r="D44" s="282"/>
      <c r="E44" s="282"/>
      <c r="F44" s="283"/>
      <c r="G44" s="3162"/>
    </row>
    <row r="45" spans="1:10" s="258" customFormat="1" ht="13.5" customHeight="1">
      <c r="A45" s="299" t="s">
        <v>2413</v>
      </c>
      <c r="B45" s="288" t="s">
        <v>2379</v>
      </c>
      <c r="C45" s="289">
        <f ca="1">C46</f>
        <v>114</v>
      </c>
      <c r="D45" s="279">
        <f ca="1">C47</f>
        <v>3.0000000000000001E-3</v>
      </c>
      <c r="E45" s="280" t="s">
        <v>2405</v>
      </c>
      <c r="F45" s="290"/>
      <c r="G45" s="291" t="s">
        <v>2414</v>
      </c>
    </row>
    <row r="46" spans="1:10" s="258" customFormat="1" ht="13.5" customHeight="1">
      <c r="A46" s="954" t="s">
        <v>791</v>
      </c>
      <c r="B46" s="292" t="s">
        <v>2415</v>
      </c>
      <c r="C46" s="293">
        <f ca="1">ROUND((C33+C39)*F27,0)</f>
        <v>114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1402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1192</v>
      </c>
      <c r="D51" s="276"/>
      <c r="E51" s="276"/>
      <c r="F51" s="308"/>
      <c r="G51" s="278" t="s">
        <v>2426</v>
      </c>
    </row>
    <row r="52" spans="1:7" s="252" customFormat="1" ht="16.5" thickBot="1">
      <c r="A52" s="309" t="s">
        <v>2427</v>
      </c>
      <c r="B52" s="310"/>
      <c r="C52" s="311">
        <f ca="1">C31+C51</f>
        <v>1784</v>
      </c>
      <c r="D52" s="310"/>
      <c r="E52" s="310"/>
      <c r="F52" s="310"/>
      <c r="G52" s="312"/>
    </row>
    <row r="55" spans="1:7" ht="15">
      <c r="B55" s="314" t="s">
        <v>2428</v>
      </c>
      <c r="C55" s="315"/>
    </row>
    <row r="56" spans="1:7">
      <c r="B56" s="317" t="s">
        <v>1513</v>
      </c>
      <c r="C56" s="319">
        <f ca="1">1-C57</f>
        <v>0.33199999999999996</v>
      </c>
    </row>
    <row r="57" spans="1:7">
      <c r="B57" s="317" t="s">
        <v>1514</v>
      </c>
      <c r="C57" s="318">
        <f ca="1">ROUND(C51/C52,3)</f>
        <v>0.66800000000000004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6</v>
      </c>
      <c r="H1" s="1285" t="str">
        <f>IF(ISERROR(FIND("住宅",B1)),"非住宅","住宅")</f>
        <v>非住宅</v>
      </c>
    </row>
    <row r="2" spans="1:8" s="244" customFormat="1" ht="18" customHeight="1">
      <c r="A2" s="245" t="s">
        <v>2328</v>
      </c>
      <c r="B2" s="246">
        <f ca="1">ROUND(IF(D2="——",C52/10000,C52/10000-E2),0)</f>
        <v>1280</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3677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3480.91</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696182</v>
      </c>
      <c r="D19" s="1039">
        <f ca="1">D9+D10</f>
        <v>3480.91</v>
      </c>
      <c r="E19" s="255">
        <f>'数据-取费表'!B31</f>
        <v>200</v>
      </c>
      <c r="F19" s="275"/>
      <c r="G19" s="2550"/>
    </row>
    <row r="20" spans="1:7" s="258" customFormat="1" ht="13.5" customHeight="1">
      <c r="A20" s="299" t="s">
        <v>2440</v>
      </c>
      <c r="B20" s="254" t="s">
        <v>2441</v>
      </c>
      <c r="C20" s="276">
        <f ca="1">ROUND((C5+C19)*F20,0)</f>
        <v>20885</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30738</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30284</v>
      </c>
      <c r="D24" s="282"/>
      <c r="E24" s="282"/>
      <c r="F24" s="283"/>
      <c r="G24" s="284" t="s">
        <v>2452</v>
      </c>
    </row>
    <row r="25" spans="1:7" s="258" customFormat="1" ht="24">
      <c r="A25" s="954" t="s">
        <v>2342</v>
      </c>
      <c r="B25" s="259" t="s">
        <v>2453</v>
      </c>
      <c r="C25" s="1384">
        <f ca="1">ROUND(IF('数据-取费表'!B22&lt;=1,C20*F22*'数据-取费表'!B22/2,C20*(POWER((1+F22),'数据-取费表'!B22/2)-1)),0)</f>
        <v>454</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71707</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71707</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896720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11076255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9746548</v>
      </c>
      <c r="D34" s="261"/>
      <c r="E34" s="264"/>
      <c r="F34" s="301"/>
      <c r="G34" s="263"/>
    </row>
    <row r="35" spans="1:7" ht="13.5" customHeight="1">
      <c r="A35" s="954" t="s">
        <v>796</v>
      </c>
      <c r="B35" s="259" t="s">
        <v>2393</v>
      </c>
      <c r="C35" s="264">
        <f ca="1">ROUND(C34*F35,0)</f>
        <v>487327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696182</v>
      </c>
      <c r="D37" s="261">
        <f ca="1">D19</f>
        <v>3480.91</v>
      </c>
      <c r="E37" s="293">
        <f>'数据-取费表'!B35</f>
        <v>200</v>
      </c>
      <c r="F37" s="303"/>
      <c r="G37" s="305"/>
    </row>
    <row r="38" spans="1:7" ht="13.5" customHeight="1">
      <c r="A38" s="954" t="s">
        <v>799</v>
      </c>
      <c r="B38" s="259" t="s">
        <v>2399</v>
      </c>
      <c r="C38" s="264">
        <f ca="1">ROUND(C34*F38,0)</f>
        <v>146198</v>
      </c>
      <c r="D38" s="264"/>
      <c r="E38" s="264"/>
      <c r="F38" s="303">
        <f>'数据-取费表'!B36</f>
        <v>1.4999999999999999E-2</v>
      </c>
      <c r="G38" s="263" t="s">
        <v>2394</v>
      </c>
    </row>
    <row r="39" spans="1:7" s="258" customFormat="1" ht="13.5" customHeight="1">
      <c r="A39" s="299" t="s">
        <v>2400</v>
      </c>
      <c r="B39" s="254" t="s">
        <v>2401</v>
      </c>
      <c r="C39" s="276">
        <f ca="1">ROUND(C33*F20,0)</f>
        <v>332288</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248136</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240909</v>
      </c>
      <c r="D42" s="282"/>
      <c r="E42" s="282"/>
      <c r="F42" s="283"/>
      <c r="G42" s="3160" t="s">
        <v>2457</v>
      </c>
    </row>
    <row r="43" spans="1:7" ht="13.5" customHeight="1">
      <c r="A43" s="954" t="s">
        <v>792</v>
      </c>
      <c r="B43" s="259" t="s">
        <v>2411</v>
      </c>
      <c r="C43" s="282">
        <f ca="1">ROUND(IF('数据-取费表'!B22&lt;=1,C39*F22*'数据-取费表'!B20/2,C39*(POWER((1+F22),'数据-取费表'!B20/2)-1)),0)</f>
        <v>7227</v>
      </c>
      <c r="D43" s="282"/>
      <c r="E43" s="282"/>
      <c r="F43" s="283"/>
      <c r="G43" s="3161"/>
    </row>
    <row r="44" spans="1:7" ht="13.5" customHeight="1">
      <c r="A44" s="954" t="s">
        <v>793</v>
      </c>
      <c r="B44" s="259" t="s">
        <v>2412</v>
      </c>
      <c r="C44" s="282">
        <f ca="1">ROUND(IF('数据-取费表'!B22&lt;=1,C40*F22*'数据-取费表'!B20/2,C40*(POWER((1+F22),'数据-取费表'!B20/2)-1)),4)</f>
        <v>6.9999999999999999E-4</v>
      </c>
      <c r="D44" s="282"/>
      <c r="E44" s="282"/>
      <c r="F44" s="283"/>
      <c r="G44" s="3162"/>
    </row>
    <row r="45" spans="1:7" s="258" customFormat="1" ht="13.5" customHeight="1">
      <c r="A45" s="299" t="s">
        <v>2413</v>
      </c>
      <c r="B45" s="288" t="s">
        <v>2379</v>
      </c>
      <c r="C45" s="289">
        <f ca="1">C46</f>
        <v>1140854</v>
      </c>
      <c r="D45" s="279">
        <f ca="1">C47</f>
        <v>3.0000000000000001E-3</v>
      </c>
      <c r="E45" s="280" t="s">
        <v>2405</v>
      </c>
      <c r="F45" s="290"/>
      <c r="G45" s="291" t="s">
        <v>2414</v>
      </c>
    </row>
    <row r="46" spans="1:7" s="258" customFormat="1" ht="13.5" customHeight="1">
      <c r="A46" s="954" t="s">
        <v>791</v>
      </c>
      <c r="B46" s="292" t="s">
        <v>2415</v>
      </c>
      <c r="C46" s="293">
        <f ca="1">ROUND((C33+C39)*F27,0)</f>
        <v>1140854</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14003209</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11902728</v>
      </c>
      <c r="D51" s="276"/>
      <c r="E51" s="276"/>
      <c r="F51" s="308"/>
      <c r="G51" s="278" t="s">
        <v>2426</v>
      </c>
    </row>
    <row r="52" spans="1:7" s="252" customFormat="1" ht="16.5" thickBot="1">
      <c r="A52" s="309" t="s">
        <v>2427</v>
      </c>
      <c r="B52" s="310"/>
      <c r="C52" s="311">
        <f ca="1">C31+C51</f>
        <v>12799448</v>
      </c>
      <c r="D52" s="310"/>
      <c r="E52" s="310"/>
      <c r="F52" s="310"/>
      <c r="G52" s="312"/>
    </row>
    <row r="55" spans="1:7" ht="15">
      <c r="B55" s="314" t="s">
        <v>2428</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6</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3480.91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3480.91</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3480.91</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3092</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#N/A</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165" t="s">
        <v>1403</v>
      </c>
      <c r="C6" s="1299" t="e">
        <f ca="1">ROUND(F6*F8*F7*(1-F9)/10000,0)</f>
        <v>#N/A</v>
      </c>
      <c r="D6" s="164" t="s">
        <v>3033</v>
      </c>
      <c r="E6" s="347" t="s">
        <v>1405</v>
      </c>
      <c r="F6" s="348" t="e">
        <f ca="1">INDIRECT("'数据-取费表'!u"&amp;$G$1)</f>
        <v>#N/A</v>
      </c>
      <c r="G6" s="1854"/>
      <c r="H6" s="1294" t="s">
        <v>1035</v>
      </c>
      <c r="I6" s="3165" t="s">
        <v>1403</v>
      </c>
      <c r="J6" s="346" t="e">
        <f ca="1">ROUND(M6*M8*M7*(1-M9)/10000,0)</f>
        <v>#N/A</v>
      </c>
      <c r="K6" s="164" t="s">
        <v>3032</v>
      </c>
      <c r="L6" s="347" t="s">
        <v>1405</v>
      </c>
      <c r="M6" s="348" t="e">
        <f ca="1">INDIRECT("'数据-取费表'!z"&amp;$G$1)</f>
        <v>#N/A</v>
      </c>
    </row>
    <row r="7" spans="1:37" ht="18" customHeight="1">
      <c r="A7" s="1298"/>
      <c r="B7" s="3166"/>
      <c r="C7" s="1300"/>
      <c r="D7" s="352"/>
      <c r="E7" s="1301" t="s">
        <v>1406</v>
      </c>
      <c r="F7" s="348" t="e">
        <f ca="1">IF(INDIRECT("'数据-取费表'!ah"&amp;$G$1)="",INDIRECT("'数据-取费表'!k"&amp;$G$1),INDIRECT("'数据-取费表'!ah"&amp;$G$1))</f>
        <v>#N/A</v>
      </c>
      <c r="G7" s="1854"/>
      <c r="H7" s="349"/>
      <c r="I7" s="3166"/>
      <c r="J7" s="351"/>
      <c r="K7" s="352"/>
      <c r="L7" s="347" t="s">
        <v>1406</v>
      </c>
      <c r="M7" s="348" t="e">
        <f ca="1">F7</f>
        <v>#N/A</v>
      </c>
    </row>
    <row r="8" spans="1:37" ht="18" customHeight="1">
      <c r="A8" s="349"/>
      <c r="B8" s="3166"/>
      <c r="C8" s="351"/>
      <c r="D8" s="352"/>
      <c r="E8" s="347" t="s">
        <v>1407</v>
      </c>
      <c r="F8" s="348" t="e">
        <f ca="1">INDIRECT("'数据-取费表'!ai"&amp;$G$1)</f>
        <v>#N/A</v>
      </c>
      <c r="G8" s="1854"/>
      <c r="H8" s="349"/>
      <c r="I8" s="3166"/>
      <c r="J8" s="351"/>
      <c r="K8" s="352"/>
      <c r="L8" s="347" t="s">
        <v>1407</v>
      </c>
      <c r="M8" s="348" t="e">
        <f ca="1">INDIRECT("'数据-取费表'!ai"&amp;$G$1)</f>
        <v>#N/A</v>
      </c>
    </row>
    <row r="9" spans="1:37" ht="18" customHeight="1">
      <c r="A9" s="349"/>
      <c r="B9" s="3167"/>
      <c r="C9" s="351"/>
      <c r="D9" s="352"/>
      <c r="E9" s="347" t="s">
        <v>1408</v>
      </c>
      <c r="F9" s="357" t="e">
        <f ca="1">INDIRECT("'数据-取费表'!w"&amp;$G$1)</f>
        <v>#N/A</v>
      </c>
      <c r="G9" s="1854"/>
      <c r="H9" s="349"/>
      <c r="I9" s="3167"/>
      <c r="J9" s="351"/>
      <c r="K9" s="352"/>
      <c r="L9" s="358" t="s">
        <v>1408</v>
      </c>
      <c r="M9" s="359" t="e">
        <f ca="1">INDIRECT("'数据-取费表'!ab"&amp;$G$1)</f>
        <v>#N/A</v>
      </c>
    </row>
    <row r="10" spans="1:37" ht="18" customHeight="1">
      <c r="A10" s="1294" t="s">
        <v>1039</v>
      </c>
      <c r="B10" s="1826" t="s">
        <v>1409</v>
      </c>
      <c r="C10" s="361" t="e">
        <f ca="1">ROUND(IF(F10="押一",C6/12*F11,IF(F10="押二",C6/12*2*F11,IF(F10="押三",C6/12*3*F11,C11*F11))),0)</f>
        <v>#N/A</v>
      </c>
      <c r="D10" s="1827" t="s">
        <v>3042</v>
      </c>
      <c r="E10" s="358" t="s">
        <v>1410</v>
      </c>
      <c r="F10" s="1369" t="s">
        <v>3096</v>
      </c>
      <c r="G10" s="1854"/>
      <c r="H10" s="1294" t="s">
        <v>1039</v>
      </c>
      <c r="I10" s="1826" t="s">
        <v>1409</v>
      </c>
      <c r="J10" s="346" t="e">
        <f ca="1">ROUND(IF(M10="押一",J6/12*M11,IF(M10="押二",J6/12*2*M11,IF(M10="押三",J6/12*3*M11,J11*M11))),0)</f>
        <v>#N/A</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INDIRECT("'数据-取费表'!m"&amp;$G$1)+INDIRECT("'数据-取费表'!t"&amp;$G$1)</f>
        <v>#N/A</v>
      </c>
      <c r="D14" s="1803" t="s">
        <v>1418</v>
      </c>
      <c r="E14" s="1797"/>
      <c r="F14" s="364"/>
      <c r="G14" s="1854"/>
      <c r="H14" s="1204" t="s">
        <v>1035</v>
      </c>
      <c r="I14" s="347" t="s">
        <v>1419</v>
      </c>
      <c r="J14" s="24" t="e">
        <f ca="1">C29</f>
        <v>#N/A</v>
      </c>
      <c r="K14" s="15"/>
      <c r="L14" s="982"/>
      <c r="M14" s="983"/>
    </row>
    <row r="15" spans="1:37" s="1861" customFormat="1" ht="18" customHeight="1" thickBot="1">
      <c r="A15" s="1204" t="s">
        <v>1036</v>
      </c>
      <c r="B15" s="347" t="s">
        <v>1420</v>
      </c>
      <c r="C15" s="24" t="e">
        <f ca="1">ROUND(C14*F15,0)</f>
        <v>#N/A</v>
      </c>
      <c r="D15" s="365" t="s">
        <v>1421</v>
      </c>
      <c r="E15" s="365" t="s">
        <v>1422</v>
      </c>
      <c r="F15" s="366">
        <f>'数据-取费表'!B33</f>
        <v>0.05</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1341"/>
      <c r="M16" s="1297"/>
    </row>
    <row r="17" spans="1:37" s="1861" customFormat="1" ht="18" customHeight="1">
      <c r="A17" s="1204" t="s">
        <v>1390</v>
      </c>
      <c r="B17" s="347" t="s">
        <v>1426</v>
      </c>
      <c r="C17" s="24" t="e">
        <f ca="1">ROUND(F17*(F43+INDIRECT("'数据-取费表'!S"&amp;$G$1))/10000,0)</f>
        <v>#N/A</v>
      </c>
      <c r="D17" s="347" t="s">
        <v>1427</v>
      </c>
      <c r="E17" s="347" t="s">
        <v>1428</v>
      </c>
      <c r="F17" s="26">
        <f>'数据-取费表'!B35</f>
        <v>200</v>
      </c>
      <c r="G17" s="1857"/>
      <c r="H17" s="1204" t="s">
        <v>1035</v>
      </c>
      <c r="I17" s="347" t="s">
        <v>1429</v>
      </c>
      <c r="J17" s="24" t="e">
        <f ca="1">ROUND(IF(项目基本情况!B11="自然人",J5*M17,J18+J19+J20),1)</f>
        <v>#N/A</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ROUND(J5*M18/(1+'数据-取费表'!C42),2)</f>
        <v>#N/A</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1821"/>
      <c r="F19" s="26"/>
      <c r="G19" s="1854"/>
      <c r="H19" s="1204" t="s">
        <v>1036</v>
      </c>
      <c r="I19" s="347" t="s">
        <v>1437</v>
      </c>
      <c r="J19" s="24" t="e">
        <f ca="1">IF(K19="按租金收入计税",ROUND(J5*M19,2),ROUND(C29*M19*0.7,2))</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0.03</v>
      </c>
      <c r="G20" s="1857"/>
      <c r="H20" s="1204" t="s">
        <v>1389</v>
      </c>
      <c r="I20" s="164" t="s">
        <v>1441</v>
      </c>
      <c r="J20" s="25" t="e">
        <f ca="1">ROUND(M20*M21/10000,2)</f>
        <v>#N/A</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ROUND(J14*M22,1)</f>
        <v>#N/A</v>
      </c>
      <c r="K22" s="1801"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t="e">
        <f ca="1">ROUND(J13*M23,1)</f>
        <v>#N/A</v>
      </c>
      <c r="K23" s="1801" t="s">
        <v>1454</v>
      </c>
      <c r="L23" s="347" t="s">
        <v>1455</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t="e">
        <f ca="1">ROUND(J5*M24,1)</f>
        <v>#N/A</v>
      </c>
      <c r="K24" s="1345" t="s">
        <v>1459</v>
      </c>
      <c r="L24" s="1343" t="s">
        <v>1455</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#N/A</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t="e">
        <f ca="1">IF(项目基本情况!B11="自然人","——",ROUND(C5*F32/(1+'数据-取费表'!C42),2))</f>
        <v>#N/A</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t="e">
        <f ca="1">IF(项目基本情况!B11="自然人","——",ROUND(F34*F35/10000,2))</f>
        <v>#N/A</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ROUND(C29*F36,1)</f>
        <v>#N/A</v>
      </c>
      <c r="D36" s="1801"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ROUND(C13*F37,1)</f>
        <v>#N/A</v>
      </c>
      <c r="D37" s="1801" t="s">
        <v>1454</v>
      </c>
      <c r="E37" s="347" t="s">
        <v>1455</v>
      </c>
      <c r="F37" s="376" t="e">
        <f ca="1">INDIRECT("'数据-取费表'!Al"&amp;$G$1)</f>
        <v>#N/A</v>
      </c>
      <c r="G37" s="1854"/>
      <c r="H37" s="1862"/>
      <c r="I37" s="1863"/>
      <c r="J37" s="1864"/>
      <c r="K37" s="751"/>
      <c r="L37" s="1862"/>
      <c r="M37" s="1862"/>
    </row>
    <row r="38" spans="1:18" ht="18" customHeight="1" thickBot="1">
      <c r="A38" s="1342" t="s">
        <v>1393</v>
      </c>
      <c r="B38" s="1343" t="s">
        <v>1439</v>
      </c>
      <c r="C38" s="1344" t="e">
        <f ca="1">ROUND(C5*F38,1)</f>
        <v>#N/A</v>
      </c>
      <c r="D38" s="1345" t="s">
        <v>1459</v>
      </c>
      <c r="E38" s="1343" t="s">
        <v>1455</v>
      </c>
      <c r="F38" s="1339" t="e">
        <f ca="1">INDIRECT("'数据-取费表'!Am"&amp;$G$1)</f>
        <v>#N/A</v>
      </c>
      <c r="G38" s="1854"/>
      <c r="H38" s="1862"/>
      <c r="I38" s="1863"/>
      <c r="J38" s="1864"/>
      <c r="K38" s="1868"/>
      <c r="L38" s="1862"/>
      <c r="M38" s="1862"/>
    </row>
    <row r="39" spans="1:18" ht="24.6" customHeight="1" thickTop="1">
      <c r="A39" s="1332" t="s">
        <v>1031</v>
      </c>
      <c r="B39" s="1347" t="s">
        <v>1483</v>
      </c>
      <c r="C39" s="355" t="e">
        <f ca="1">C5-C30</f>
        <v>#N/A</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#N/A</v>
      </c>
      <c r="D46" s="1875" t="str">
        <f>C2</f>
        <v>万元</v>
      </c>
      <c r="E46" s="1869"/>
      <c r="F46" s="1869"/>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3097</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1820" t="e">
        <f ca="1">C49+C53+C55</f>
        <v>#N/A</v>
      </c>
      <c r="D48" s="1365"/>
      <c r="E48" s="1366"/>
      <c r="F48" s="1184"/>
      <c r="G48" s="792"/>
      <c r="H48" s="793"/>
      <c r="I48" s="1890" t="s">
        <v>1530</v>
      </c>
      <c r="J48" s="1891" t="s">
        <v>3098</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ROUND(F49*F51*F50*(1-F52)/10000,0)</f>
        <v>#N/A</v>
      </c>
      <c r="D49" s="1279" t="s">
        <v>3034</v>
      </c>
      <c r="E49" s="1833" t="s">
        <v>1491</v>
      </c>
      <c r="F49" s="1284"/>
      <c r="G49" s="1894"/>
      <c r="H49" s="793"/>
      <c r="I49" s="1890" t="s">
        <v>1534</v>
      </c>
      <c r="J49" s="1895">
        <v>2009</v>
      </c>
      <c r="K49" s="1892" t="s">
        <v>1535</v>
      </c>
      <c r="L49" s="1896"/>
      <c r="O49" s="1897" t="s">
        <v>1042</v>
      </c>
      <c r="P49" s="1888" t="s">
        <v>1536</v>
      </c>
      <c r="Q49" s="1889" t="e">
        <f ca="1">C29</f>
        <v>#N/A</v>
      </c>
      <c r="R49" s="1889" t="s">
        <v>1529</v>
      </c>
    </row>
    <row r="50" spans="1:18" s="1845" customFormat="1" ht="13.5" thickBot="1">
      <c r="A50" s="1198"/>
      <c r="B50" s="1201"/>
      <c r="C50" s="1371"/>
      <c r="D50" s="1175"/>
      <c r="E50" s="1280" t="s">
        <v>1406</v>
      </c>
      <c r="F50" s="1281" t="e">
        <f ca="1">F7</f>
        <v>#N/A</v>
      </c>
      <c r="H50" s="793"/>
      <c r="I50" s="1890" t="s">
        <v>1537</v>
      </c>
      <c r="J50" s="1898">
        <f>SUMPRODUCT((I63:I65=J47)*(J62:L62=J48)*(J63:L65))</f>
        <v>60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51</v>
      </c>
      <c r="K51" s="1903" t="s">
        <v>1541</v>
      </c>
      <c r="L51" s="1904" t="e">
        <f ca="1">ROUND(-PV(INDIRECT("'数据-取费表'!h"&amp;$G$1),L48,(C39-C13*C76),0),0)</f>
        <v>#N/A</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t="e">
        <f ca="1">J53</f>
        <v>#N/A</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e">
        <f ca="1">IF(M47="住宅",J51,IF(D1="——",MIN(J51,L48),IF(D1="在建（套用方法）",MIN(J51,L48-'数据-取费表'!B24),IF(D1="土地（套用方法）",MIN(J51,L48-'数据-取费表'!B20)))))</f>
        <v>#N/A</v>
      </c>
      <c r="K53" s="3163" t="s">
        <v>1548</v>
      </c>
      <c r="L53" s="3164"/>
      <c r="O53" s="1887" t="s">
        <v>1046</v>
      </c>
      <c r="P53" s="1888" t="s">
        <v>1549</v>
      </c>
      <c r="Q53" s="1889" t="e">
        <f ca="1">Q47+Q48</f>
        <v>#N/A</v>
      </c>
      <c r="R53" s="1889" t="s">
        <v>1047</v>
      </c>
    </row>
    <row r="54" spans="1:18" s="1845" customFormat="1" ht="13.5" thickBot="1">
      <c r="A54" s="1409"/>
      <c r="B54" s="1828" t="s">
        <v>1388</v>
      </c>
      <c r="C54" s="1181"/>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#N/A</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#N/A</v>
      </c>
      <c r="D56" s="1917"/>
      <c r="E56" s="1918"/>
      <c r="F56" s="1910"/>
      <c r="I56" s="1919" t="s">
        <v>1554</v>
      </c>
      <c r="J56" s="1920" t="s">
        <v>3086</v>
      </c>
      <c r="K56" s="1890" t="s">
        <v>1555</v>
      </c>
      <c r="L56" s="1893" t="e">
        <f ca="1">IF(L48&lt;J51,"——",L48-J53)</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1557</v>
      </c>
      <c r="L57" s="1893" t="e">
        <f ca="1">IF(L48&lt;J51,"——",IF(L55="比较法",L49,IF(L55="基准地价",L50,L51)))</f>
        <v>#N/A</v>
      </c>
      <c r="O57" s="1887" t="s">
        <v>1041</v>
      </c>
      <c r="P57" s="1888" t="s">
        <v>1558</v>
      </c>
      <c r="Q57" s="1889" t="e">
        <f ca="1">L60</f>
        <v>#N/A</v>
      </c>
      <c r="R57" s="1889" t="s">
        <v>1559</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1561</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IF(项目基本情况!B11="自然人","——",ROUND(C48*F60/(1+'数据-取费表'!C42),2))</f>
        <v>#N/A</v>
      </c>
      <c r="D60" s="1186" t="s">
        <v>1434</v>
      </c>
      <c r="E60" s="1172" t="s">
        <v>1422</v>
      </c>
      <c r="F60" s="377">
        <f t="shared" ref="F60:F66" si="0">F32</f>
        <v>5.5000000000000007E-2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#N/A</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#N/A</v>
      </c>
      <c r="R61" s="1889" t="s">
        <v>1569</v>
      </c>
    </row>
    <row r="62" spans="1:18" s="1845" customFormat="1" ht="13.5" thickBot="1">
      <c r="A62" s="1204" t="s">
        <v>1495</v>
      </c>
      <c r="B62" s="1171" t="s">
        <v>1496</v>
      </c>
      <c r="C62" s="25" t="e">
        <f ca="1">IF(项目基本情况!B11="自然人","——",ROUND(F62*F63/10000,2))</f>
        <v>#N/A</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#N/A</v>
      </c>
      <c r="R62" s="1889" t="s">
        <v>1047</v>
      </c>
    </row>
    <row r="63" spans="1:18" s="1845" customFormat="1" ht="13.5" thickBot="1">
      <c r="A63" s="372"/>
      <c r="B63" s="1178"/>
      <c r="C63" s="29"/>
      <c r="D63" s="1188"/>
      <c r="E63" s="1172" t="s">
        <v>1499</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#N/A</v>
      </c>
      <c r="D64" s="1186" t="s">
        <v>1502</v>
      </c>
      <c r="E64" s="1172" t="s">
        <v>1494</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#N/A</v>
      </c>
      <c r="D65" s="1186" t="s">
        <v>1454</v>
      </c>
      <c r="E65" s="1172" t="s">
        <v>1455</v>
      </c>
      <c r="F65" s="376" t="e">
        <f t="shared" ca="1" si="0"/>
        <v>#N/A</v>
      </c>
      <c r="I65" s="1932" t="s">
        <v>1579</v>
      </c>
      <c r="J65" s="1933">
        <v>40</v>
      </c>
      <c r="K65" s="1933">
        <v>30</v>
      </c>
      <c r="L65" s="1933">
        <v>50</v>
      </c>
      <c r="M65" s="1935">
        <v>0.02</v>
      </c>
      <c r="O65" s="1887" t="s">
        <v>1040</v>
      </c>
      <c r="P65" s="1888" t="s">
        <v>1580</v>
      </c>
      <c r="Q65" s="1889" t="e">
        <f ca="1">C40+J29</f>
        <v>#N/A</v>
      </c>
      <c r="R65" s="1889" t="s">
        <v>1529</v>
      </c>
    </row>
    <row r="66" spans="1:18" s="1845" customFormat="1" ht="16.5" thickBot="1">
      <c r="A66" s="1204" t="s">
        <v>1504</v>
      </c>
      <c r="B66" s="1172" t="s">
        <v>1439</v>
      </c>
      <c r="C66" s="24" t="e">
        <f ca="1">ROUND(C48*F66,1)</f>
        <v>#N/A</v>
      </c>
      <c r="D66" s="1186" t="s">
        <v>1505</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c r="O70" s="1897" t="s">
        <v>1049</v>
      </c>
      <c r="P70" s="1937" t="s">
        <v>1585</v>
      </c>
      <c r="Q70" s="1889" t="e">
        <f ca="1">C13</f>
        <v>#N/A</v>
      </c>
      <c r="R70" s="1889" t="s">
        <v>1529</v>
      </c>
    </row>
    <row r="71" spans="1:18" s="1845" customFormat="1" ht="13.5" thickBot="1">
      <c r="A71" s="1193" t="s">
        <v>1033</v>
      </c>
      <c r="B71" s="1194" t="s">
        <v>1487</v>
      </c>
      <c r="C71" s="382" t="e">
        <f ca="1">ROUND(C68*10000/F71,0)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3094</v>
      </c>
      <c r="D1" s="1823" t="s">
        <v>70</v>
      </c>
      <c r="E1" s="1824" t="s">
        <v>1387</v>
      </c>
      <c r="F1" s="1286">
        <f ca="1">J53</f>
        <v>40.83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2560</v>
      </c>
      <c r="C2" s="1848" t="s">
        <v>1591</v>
      </c>
      <c r="D2" s="1941">
        <f ca="1">C40+J29+L46</f>
        <v>25599761</v>
      </c>
      <c r="E2" s="1849" t="s">
        <v>1592</v>
      </c>
      <c r="F2" s="1850"/>
      <c r="G2" s="1851"/>
      <c r="H2" s="1843"/>
      <c r="I2" s="1843"/>
      <c r="J2" s="1843"/>
      <c r="K2" s="1844"/>
      <c r="L2" s="1843"/>
      <c r="M2" s="1843"/>
    </row>
    <row r="3" spans="1:37" ht="18" customHeight="1" thickBot="1">
      <c r="A3" s="1852" t="s">
        <v>1593</v>
      </c>
      <c r="B3" s="1853">
        <f ca="1">IF(ISERROR(D2/F43),0,ROUND(D2/F43,0))</f>
        <v>7354</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1660117</v>
      </c>
      <c r="D5" s="1825" t="s">
        <v>1601</v>
      </c>
      <c r="E5" s="1296"/>
      <c r="F5" s="1297"/>
      <c r="G5" s="1854"/>
      <c r="H5" s="344">
        <v>1</v>
      </c>
      <c r="I5" s="345" t="s">
        <v>1600</v>
      </c>
      <c r="J5" s="1295">
        <f ca="1">J6+J10+J12</f>
        <v>0</v>
      </c>
      <c r="K5" s="1825" t="s">
        <v>1601</v>
      </c>
      <c r="L5" s="1296"/>
      <c r="M5" s="1297"/>
    </row>
    <row r="6" spans="1:37" ht="18" customHeight="1">
      <c r="A6" s="1294" t="s">
        <v>1035</v>
      </c>
      <c r="B6" s="3165" t="s">
        <v>1403</v>
      </c>
      <c r="C6" s="1299">
        <f ca="1">ROUND(F6*F8*F7*(1-F9),0)</f>
        <v>1658044</v>
      </c>
      <c r="D6" s="164" t="s">
        <v>3030</v>
      </c>
      <c r="E6" s="347" t="s">
        <v>1405</v>
      </c>
      <c r="F6" s="348">
        <f ca="1">INDIRECT("'数据-取费表'!u"&amp;$G$1)</f>
        <v>1.45</v>
      </c>
      <c r="G6" s="1854"/>
      <c r="H6" s="1294" t="s">
        <v>1035</v>
      </c>
      <c r="I6" s="3165" t="s">
        <v>1403</v>
      </c>
      <c r="J6" s="346">
        <f ca="1">ROUND(M6*M8*M7*(1-M9),0)</f>
        <v>0</v>
      </c>
      <c r="K6" s="1837" t="s">
        <v>3031</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3480.91</v>
      </c>
      <c r="G7" s="1854"/>
      <c r="H7" s="349"/>
      <c r="I7" s="3166"/>
      <c r="J7" s="351"/>
      <c r="K7" s="352"/>
      <c r="L7" s="347" t="s">
        <v>1406</v>
      </c>
      <c r="M7" s="348">
        <f ca="1">F7</f>
        <v>3480.91</v>
      </c>
    </row>
    <row r="8" spans="1:37" ht="18" customHeight="1">
      <c r="A8" s="349"/>
      <c r="B8" s="3166"/>
      <c r="C8" s="351"/>
      <c r="D8" s="352"/>
      <c r="E8" s="347" t="s">
        <v>1407</v>
      </c>
      <c r="F8" s="348">
        <f ca="1">INDIRECT("'数据-取费表'!ai"&amp;$G$1)</f>
        <v>365</v>
      </c>
      <c r="G8" s="1854"/>
      <c r="H8" s="349"/>
      <c r="I8" s="3166"/>
      <c r="J8" s="351"/>
      <c r="K8" s="352"/>
      <c r="L8" s="347" t="s">
        <v>1407</v>
      </c>
      <c r="M8" s="348">
        <f ca="1">INDIRECT("'数据-取费表'!ai"&amp;$G$1)</f>
        <v>365</v>
      </c>
    </row>
    <row r="9" spans="1:37" ht="18" customHeight="1">
      <c r="A9" s="349"/>
      <c r="B9" s="3167"/>
      <c r="C9" s="351"/>
      <c r="D9" s="352"/>
      <c r="E9" s="347" t="s">
        <v>1408</v>
      </c>
      <c r="F9" s="357">
        <f ca="1">INDIRECT("'数据-取费表'!w"&amp;$G$1)</f>
        <v>0.1</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2073</v>
      </c>
      <c r="D10" s="1827" t="s">
        <v>3041</v>
      </c>
      <c r="E10" s="358" t="s">
        <v>1410</v>
      </c>
      <c r="F10" s="1369" t="s">
        <v>3096</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11902728</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9746548</v>
      </c>
      <c r="D14" s="1803" t="s">
        <v>1418</v>
      </c>
      <c r="E14" s="1797"/>
      <c r="F14" s="364"/>
      <c r="G14" s="1854"/>
      <c r="H14" s="1204" t="s">
        <v>1035</v>
      </c>
      <c r="I14" s="347" t="s">
        <v>1419</v>
      </c>
      <c r="J14" s="24">
        <f ca="1">C29</f>
        <v>14003209</v>
      </c>
      <c r="K14" s="15"/>
      <c r="L14" s="982"/>
      <c r="M14" s="983"/>
    </row>
    <row r="15" spans="1:37" s="1861" customFormat="1" ht="18" customHeight="1" thickBot="1">
      <c r="A15" s="1204" t="s">
        <v>1036</v>
      </c>
      <c r="B15" s="347" t="s">
        <v>1420</v>
      </c>
      <c r="C15" s="24">
        <f ca="1">ROUND(C14*F15,0)</f>
        <v>487327</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332230</v>
      </c>
      <c r="K16" s="1340" t="s">
        <v>1425</v>
      </c>
      <c r="L16" s="1341"/>
      <c r="M16" s="1297"/>
    </row>
    <row r="17" spans="1:37" s="1861" customFormat="1" ht="18" customHeight="1">
      <c r="A17" s="1204" t="s">
        <v>1390</v>
      </c>
      <c r="B17" s="347" t="s">
        <v>1426</v>
      </c>
      <c r="C17" s="24">
        <f ca="1">ROUND(F17*(F43+INDIRECT("'数据-取费表'!S"&amp;$G$1)),0)</f>
        <v>696182</v>
      </c>
      <c r="D17" s="347" t="s">
        <v>1427</v>
      </c>
      <c r="E17" s="347" t="s">
        <v>1428</v>
      </c>
      <c r="F17" s="26">
        <f>'数据-取费表'!B35</f>
        <v>200</v>
      </c>
      <c r="G17" s="1857"/>
      <c r="H17" s="1204" t="s">
        <v>1035</v>
      </c>
      <c r="I17" s="347" t="s">
        <v>1429</v>
      </c>
      <c r="J17" s="24">
        <f ca="1">ROUND(IF(项目基本情况!B11="自然人",J5*M17,J18+J19+J20),0)</f>
        <v>122182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146198</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11076255</v>
      </c>
      <c r="D19" s="140" t="s">
        <v>1436</v>
      </c>
      <c r="E19" s="1821"/>
      <c r="F19" s="26"/>
      <c r="G19" s="1854"/>
      <c r="H19" s="1204" t="s">
        <v>1036</v>
      </c>
      <c r="I19" s="347" t="s">
        <v>1437</v>
      </c>
      <c r="J19" s="24">
        <f ca="1">IF(K19="按租金收入计税",ROUND(J5*M19,0),ROUND(C29*M19*0.7,0))</f>
        <v>117627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332288</v>
      </c>
      <c r="D20" s="369" t="s">
        <v>1440</v>
      </c>
      <c r="E20" s="347" t="s">
        <v>1422</v>
      </c>
      <c r="F20" s="367">
        <f>'数据-取费表'!B37</f>
        <v>0.03</v>
      </c>
      <c r="G20" s="1857"/>
      <c r="H20" s="1204" t="s">
        <v>1389</v>
      </c>
      <c r="I20" s="164" t="s">
        <v>1441</v>
      </c>
      <c r="J20" s="25">
        <f ca="1">ROUND(M20*M21,0)</f>
        <v>4555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3036.74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210048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248136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-332230</v>
      </c>
      <c r="K25" s="1348" t="s">
        <v>1464</v>
      </c>
      <c r="L25" s="1349"/>
      <c r="M25" s="1350"/>
    </row>
    <row r="26" spans="1:37" ht="18" customHeight="1">
      <c r="A26" s="1204" t="s">
        <v>1034</v>
      </c>
      <c r="B26" s="347" t="s">
        <v>1465</v>
      </c>
      <c r="C26" s="24">
        <f ca="1">ROUND((C19+C20)*F26,0)</f>
        <v>1140854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14003209</v>
      </c>
      <c r="D29" s="1345"/>
      <c r="E29" s="1343"/>
      <c r="F29" s="1346"/>
      <c r="G29" s="1857"/>
      <c r="H29" s="380" t="s">
        <v>1033</v>
      </c>
      <c r="I29" s="381" t="s">
        <v>1479</v>
      </c>
      <c r="J29" s="382">
        <f ca="1">ROUND(J26/(1+F40)^F41,0)</f>
        <v>0</v>
      </c>
      <c r="K29" s="383" t="s">
        <v>1480</v>
      </c>
      <c r="L29" s="384"/>
      <c r="M29" s="385">
        <f ca="1">INDIRECT("'数据-取费表'!k"&amp;$G$1)</f>
        <v>3480.91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461945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209141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86959</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117627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4555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3036.74</v>
      </c>
      <c r="G35" s="1854"/>
      <c r="H35" s="745"/>
      <c r="I35" s="1863"/>
      <c r="J35" s="1864"/>
      <c r="K35" s="1865"/>
      <c r="L35" s="1862"/>
      <c r="M35" s="1862"/>
    </row>
    <row r="36" spans="1:18" ht="18" customHeight="1">
      <c r="A36" s="1355" t="s">
        <v>1039</v>
      </c>
      <c r="B36" s="347" t="s">
        <v>1449</v>
      </c>
      <c r="C36" s="24">
        <f ca="1">ROUND(C29*F36,0)</f>
        <v>210048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17854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24901.8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1198172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25599761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7354</v>
      </c>
      <c r="D43" s="383" t="s">
        <v>1488</v>
      </c>
      <c r="E43" s="384" t="s">
        <v>1489</v>
      </c>
      <c r="F43" s="385">
        <f ca="1">INDIRECT("'数据-取费表'!k"&amp;$G$1)</f>
        <v>3480.91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-33079544</v>
      </c>
      <c r="D45" s="1943" t="s">
        <v>1604</v>
      </c>
      <c r="E45" s="1869"/>
      <c r="F45" s="1869"/>
      <c r="O45" s="1872" t="s">
        <v>1519</v>
      </c>
      <c r="P45" s="1842"/>
      <c r="Q45" s="1842"/>
      <c r="R45" s="1842"/>
    </row>
    <row r="46" spans="1:18" s="1845" customFormat="1" ht="13.5" thickBot="1">
      <c r="A46" s="1873" t="s">
        <v>1520</v>
      </c>
      <c r="C46" s="1874">
        <f ca="1">ROUND(C45/10000,0)</f>
        <v>-3308</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3097</v>
      </c>
      <c r="K47" s="1885" t="s">
        <v>1527</v>
      </c>
      <c r="L47" s="1886">
        <f ca="1">INDIRECT("'数据-取费表'!d"&amp;$G$1)</f>
        <v>50</v>
      </c>
      <c r="M47" s="1841" t="str">
        <f>IF(ISNUMBER(FIND("住宅",C1)),"住宅","非住宅")</f>
        <v>非住宅</v>
      </c>
      <c r="O47" s="1887" t="s">
        <v>1040</v>
      </c>
      <c r="P47" s="1888" t="s">
        <v>1528</v>
      </c>
      <c r="Q47" s="1889">
        <f ca="1">C40+J29</f>
        <v>25599761</v>
      </c>
      <c r="R47" s="1889" t="s">
        <v>1529</v>
      </c>
    </row>
    <row r="48" spans="1:18" s="1845" customFormat="1" ht="28.5" thickBot="1">
      <c r="A48" s="1363" t="s">
        <v>1135</v>
      </c>
      <c r="B48" s="345" t="s">
        <v>1401</v>
      </c>
      <c r="C48" s="1820">
        <f ca="1">C49+C53+C55</f>
        <v>0</v>
      </c>
      <c r="D48" s="1365"/>
      <c r="E48" s="1366"/>
      <c r="F48" s="1184"/>
      <c r="G48" s="792"/>
      <c r="H48" s="793"/>
      <c r="I48" s="1890" t="s">
        <v>1530</v>
      </c>
      <c r="J48" s="1891" t="s">
        <v>3098</v>
      </c>
      <c r="K48" s="1892" t="s">
        <v>1531</v>
      </c>
      <c r="L48" s="1893">
        <f ca="1">INDIRECT("'数据-取费表'!f"&amp;$G$1)</f>
        <v>40.83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14003209</v>
      </c>
      <c r="R49" s="1889" t="s">
        <v>1529</v>
      </c>
    </row>
    <row r="50" spans="1:18" s="1845" customFormat="1" ht="13.5" thickBot="1">
      <c r="A50" s="1198"/>
      <c r="B50" s="1201"/>
      <c r="C50" s="1202"/>
      <c r="D50" s="1175"/>
      <c r="E50" s="1280" t="s">
        <v>1406</v>
      </c>
      <c r="F50" s="1281">
        <f ca="1">F7</f>
        <v>3480.91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3220163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40.83</v>
      </c>
      <c r="K53" s="3163" t="s">
        <v>1548</v>
      </c>
      <c r="L53" s="3164"/>
      <c r="O53" s="1887" t="s">
        <v>1046</v>
      </c>
      <c r="P53" s="1888" t="s">
        <v>1549</v>
      </c>
      <c r="Q53" s="1889">
        <f ca="1">Q47+Q48</f>
        <v>25599761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11902728</v>
      </c>
      <c r="D56" s="1917"/>
      <c r="E56" s="1918"/>
      <c r="F56" s="1910"/>
      <c r="I56" s="1919" t="s">
        <v>1554</v>
      </c>
      <c r="J56" s="1920" t="s">
        <v>3086</v>
      </c>
      <c r="K56" s="1890" t="s">
        <v>1555</v>
      </c>
      <c r="L56" s="1893" t="str">
        <f ca="1">IF(L48&lt;J51,"——",L48-J51)</f>
        <v>——</v>
      </c>
      <c r="O56" s="1887" t="s">
        <v>1040</v>
      </c>
      <c r="P56" s="1888" t="s">
        <v>1528</v>
      </c>
      <c r="Q56" s="1889">
        <f ca="1">C40+J29</f>
        <v>25599761</v>
      </c>
      <c r="R56" s="1889" t="s">
        <v>1529</v>
      </c>
    </row>
    <row r="57" spans="1:18" s="1845" customFormat="1" ht="24.75" thickBot="1">
      <c r="A57" s="1921"/>
      <c r="B57" s="1172" t="s">
        <v>1478</v>
      </c>
      <c r="C57" s="282">
        <f ca="1">C29</f>
        <v>14003209</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350084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122182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117627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4555</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25599761</v>
      </c>
      <c r="R62" s="1889" t="s">
        <v>1047</v>
      </c>
    </row>
    <row r="63" spans="1:18" s="1845" customFormat="1" ht="13.5" thickBot="1">
      <c r="A63" s="372"/>
      <c r="B63" s="1178"/>
      <c r="C63" s="29"/>
      <c r="D63" s="1188"/>
      <c r="E63" s="1172" t="s">
        <v>1499</v>
      </c>
      <c r="F63" s="348">
        <f t="shared" ca="1" si="0"/>
        <v>3036.74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210048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17854</v>
      </c>
      <c r="D65" s="1186" t="s">
        <v>1454</v>
      </c>
      <c r="E65" s="1172" t="s">
        <v>1455</v>
      </c>
      <c r="F65" s="376">
        <f t="shared" ca="1" si="0"/>
        <v>1.5E-3</v>
      </c>
      <c r="I65" s="1932" t="s">
        <v>1579</v>
      </c>
      <c r="J65" s="1933">
        <v>40</v>
      </c>
      <c r="K65" s="1933">
        <v>30</v>
      </c>
      <c r="L65" s="1933">
        <v>50</v>
      </c>
      <c r="M65" s="1935">
        <v>0.02</v>
      </c>
      <c r="O65" s="1887" t="s">
        <v>1040</v>
      </c>
      <c r="P65" s="1888" t="s">
        <v>1580</v>
      </c>
      <c r="Q65" s="1889">
        <f ca="1">C40+J29</f>
        <v>25599761</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-350084</v>
      </c>
      <c r="D67" s="1185" t="s">
        <v>1464</v>
      </c>
      <c r="E67" s="1190"/>
      <c r="F67" s="1191"/>
      <c r="O67" s="1897" t="s">
        <v>1042</v>
      </c>
      <c r="P67" s="1888" t="s">
        <v>1562</v>
      </c>
      <c r="Q67" s="1936">
        <f ca="1">L51</f>
        <v>3220163</v>
      </c>
      <c r="R67" s="1889" t="s">
        <v>1582</v>
      </c>
    </row>
    <row r="68" spans="1:18" s="1845" customFormat="1" ht="16.5" thickBot="1">
      <c r="A68" s="1169" t="s">
        <v>1032</v>
      </c>
      <c r="B68" s="1170" t="s">
        <v>1485</v>
      </c>
      <c r="C68" s="346">
        <f ca="1">ROUND(C67*(1-((1+F70)/(1+F68))^F69)/(F68-F70),0)</f>
        <v>-7479783</v>
      </c>
      <c r="D68" s="1187" t="s">
        <v>1469</v>
      </c>
      <c r="E68" s="1172" t="s">
        <v>1470</v>
      </c>
      <c r="F68" s="357">
        <f ca="1">F40</f>
        <v>5.5E-2</v>
      </c>
      <c r="O68" s="1897" t="s">
        <v>1043</v>
      </c>
      <c r="P68" s="1937" t="s">
        <v>1583</v>
      </c>
      <c r="Q68" s="1889">
        <f ca="1">ROUND(Q69-Q70*Q71,0)</f>
        <v>186440</v>
      </c>
      <c r="R68" s="1889" t="s">
        <v>1051</v>
      </c>
    </row>
    <row r="69" spans="1:18" s="1845" customFormat="1" ht="13.5" thickBot="1">
      <c r="A69" s="1173"/>
      <c r="B69" s="1174"/>
      <c r="C69" s="351"/>
      <c r="D69" s="1192" t="s">
        <v>1473</v>
      </c>
      <c r="E69" s="1172" t="s">
        <v>1474</v>
      </c>
      <c r="F69" s="379">
        <f ca="1">F41</f>
        <v>40.83</v>
      </c>
      <c r="O69" s="1897" t="s">
        <v>1048</v>
      </c>
      <c r="P69" s="1937" t="s">
        <v>1584</v>
      </c>
      <c r="Q69" s="1889">
        <f ca="1">C39</f>
        <v>1198172</v>
      </c>
      <c r="R69" s="1889" t="s">
        <v>1529</v>
      </c>
    </row>
    <row r="70" spans="1:18" s="1845" customFormat="1" ht="13.5" thickBot="1">
      <c r="A70" s="1176"/>
      <c r="B70" s="1177"/>
      <c r="C70" s="355"/>
      <c r="D70" s="1188"/>
      <c r="E70" s="1172" t="s">
        <v>1477</v>
      </c>
      <c r="F70" s="1278">
        <f ca="1">F42</f>
        <v>0.02</v>
      </c>
      <c r="O70" s="1897" t="s">
        <v>1049</v>
      </c>
      <c r="P70" s="1937" t="s">
        <v>1585</v>
      </c>
      <c r="Q70" s="1889">
        <f ca="1">C13</f>
        <v>11902728</v>
      </c>
      <c r="R70" s="1889" t="s">
        <v>1529</v>
      </c>
    </row>
    <row r="71" spans="1:18" s="1845" customFormat="1" ht="13.5" thickBot="1">
      <c r="A71" s="1193" t="s">
        <v>1033</v>
      </c>
      <c r="B71" s="1194" t="s">
        <v>1487</v>
      </c>
      <c r="C71" s="382">
        <f ca="1">ROUND(C68/F71,0)</f>
        <v>-2149</v>
      </c>
      <c r="D71" s="1195" t="s">
        <v>1488</v>
      </c>
      <c r="E71" s="1196" t="s">
        <v>1489</v>
      </c>
      <c r="F71" s="385">
        <f ca="1">F43</f>
        <v>3480.91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1011732</v>
      </c>
      <c r="D75" s="1845"/>
      <c r="E75" s="1845"/>
      <c r="F75" s="1845"/>
      <c r="K75" s="1871"/>
      <c r="L75" s="1845"/>
      <c r="O75" s="1887" t="s">
        <v>1046</v>
      </c>
      <c r="P75" s="1888" t="s">
        <v>1549</v>
      </c>
      <c r="Q75" s="1889">
        <f ca="1">Q65+Q66</f>
        <v>25599761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0.15600000000000003</v>
      </c>
    </row>
    <row r="80" spans="1:18">
      <c r="B80" s="386" t="s">
        <v>1511</v>
      </c>
      <c r="C80" s="318">
        <f ca="1">ROUND(C75/C39,3)</f>
        <v>0.84399999999999997</v>
      </c>
    </row>
    <row r="81" spans="2:3">
      <c r="B81" s="314" t="s">
        <v>1512</v>
      </c>
      <c r="C81" s="282"/>
    </row>
    <row r="82" spans="2:3">
      <c r="B82" s="317" t="s">
        <v>1513</v>
      </c>
      <c r="C82" s="319">
        <f ca="1">1-C83</f>
        <v>0.53499999999999992</v>
      </c>
    </row>
    <row r="83" spans="2:3">
      <c r="B83" s="317" t="s">
        <v>1514</v>
      </c>
      <c r="C83" s="318">
        <f ca="1">ROUND(C13/C40,3)</f>
        <v>0.46500000000000002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t="e">
        <f ca="1">SUMIF(B6:B13,"&lt;&gt;#ref!",B6:B13)</f>
        <v>#N/A</v>
      </c>
      <c r="C2" s="2566" t="s">
        <v>2520</v>
      </c>
      <c r="D2" s="2567" t="s">
        <v>2521</v>
      </c>
      <c r="E2" s="2568">
        <f>SUM(E6:E13)</f>
        <v>3480.91</v>
      </c>
    </row>
    <row r="3" spans="1:6" ht="15.75">
      <c r="A3" s="2564" t="s">
        <v>1395</v>
      </c>
      <c r="B3" s="2565" t="e">
        <f ca="1">ROUND(B2*10000/E2,0)</f>
        <v>#N/A</v>
      </c>
      <c r="C3" s="2566" t="s">
        <v>2528</v>
      </c>
      <c r="D3" s="2569"/>
      <c r="E3" s="2570"/>
    </row>
    <row r="4" spans="1:6" ht="15.75">
      <c r="A4" s="2571"/>
      <c r="B4" s="2569"/>
      <c r="C4" s="2569"/>
      <c r="D4" s="2569"/>
      <c r="E4" s="2570"/>
    </row>
    <row r="5" spans="1:6" ht="15">
      <c r="A5" s="2572" t="s">
        <v>2522</v>
      </c>
      <c r="B5" s="3168" t="s">
        <v>2523</v>
      </c>
      <c r="C5" s="3168"/>
      <c r="D5" s="2573"/>
      <c r="E5" s="2574" t="s">
        <v>2524</v>
      </c>
      <c r="F5" s="2575" t="s">
        <v>2525</v>
      </c>
    </row>
    <row r="6" spans="1:6">
      <c r="A6" s="2576" t="str">
        <f>'数据-取费表'!AN6</f>
        <v>收益法</v>
      </c>
      <c r="B6" s="2575" t="e">
        <f ca="1">IF(F6="是",'数据-取费表'!AO6,0)</f>
        <v>#N/A</v>
      </c>
      <c r="C6" s="2566" t="s">
        <v>2520</v>
      </c>
      <c r="D6" s="2569"/>
      <c r="E6" s="2577">
        <f>IF(OR(A6=0,F6="否"),0,'数据-取费表'!K6+'数据-取费表'!S6)</f>
        <v>0</v>
      </c>
      <c r="F6" s="2578" t="s">
        <v>2526</v>
      </c>
    </row>
    <row r="7" spans="1:6">
      <c r="A7" s="2576" t="str">
        <f>'数据-取费表'!AN7</f>
        <v>收益法 (元)</v>
      </c>
      <c r="B7" s="2575">
        <f ca="1">IF(F7="是",'数据-取费表'!AO7,0)</f>
        <v>2560</v>
      </c>
      <c r="C7" s="2566" t="s">
        <v>2520</v>
      </c>
      <c r="D7" s="2569"/>
      <c r="E7" s="2577">
        <f>IF(OR(A7=0,F7="否"),0,'数据-取费表'!K7+'数据-取费表'!S7)</f>
        <v>3480.91</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74" t="s">
        <v>1077</v>
      </c>
      <c r="B2" s="3175" t="s">
        <v>1078</v>
      </c>
      <c r="C2" s="3175"/>
      <c r="D2" s="1304" t="s">
        <v>1079</v>
      </c>
      <c r="E2" s="1304" t="s">
        <v>1080</v>
      </c>
      <c r="F2" s="1304" t="s">
        <v>1081</v>
      </c>
      <c r="G2" s="1304" t="s">
        <v>1082</v>
      </c>
      <c r="H2" s="1304" t="s">
        <v>1083</v>
      </c>
      <c r="I2" s="1305" t="s">
        <v>1084</v>
      </c>
    </row>
    <row r="3" spans="1:9">
      <c r="A3" s="3174"/>
      <c r="B3" s="3175" t="s">
        <v>1085</v>
      </c>
      <c r="C3" s="3175"/>
      <c r="D3" s="1306"/>
      <c r="E3" s="1304"/>
      <c r="F3" s="1307"/>
      <c r="G3" s="1307"/>
      <c r="H3" s="1308"/>
      <c r="I3" s="1309">
        <f>ROUND(D3*E3*F3*G3*H3/10000,0)</f>
        <v>0</v>
      </c>
    </row>
    <row r="4" spans="1:9">
      <c r="A4" s="3174"/>
      <c r="B4" s="3175" t="s">
        <v>1086</v>
      </c>
      <c r="C4" s="3175"/>
      <c r="D4" s="1306"/>
      <c r="E4" s="1304"/>
      <c r="F4" s="1307"/>
      <c r="G4" s="1307"/>
      <c r="H4" s="1308"/>
      <c r="I4" s="1309">
        <f t="shared" ref="I4:I9" si="0">ROUND(D4*E4*F4*G4*H4/10000,0)</f>
        <v>0</v>
      </c>
    </row>
    <row r="5" spans="1:9">
      <c r="A5" s="3174"/>
      <c r="B5" s="3175" t="s">
        <v>1087</v>
      </c>
      <c r="C5" s="3175"/>
      <c r="D5" s="1306"/>
      <c r="E5" s="1304"/>
      <c r="F5" s="1307"/>
      <c r="G5" s="1307"/>
      <c r="H5" s="1308"/>
      <c r="I5" s="1309">
        <f t="shared" si="0"/>
        <v>0</v>
      </c>
    </row>
    <row r="6" spans="1:9">
      <c r="A6" s="3174"/>
      <c r="B6" s="3175" t="s">
        <v>1088</v>
      </c>
      <c r="C6" s="3175"/>
      <c r="D6" s="1306"/>
      <c r="E6" s="1304"/>
      <c r="F6" s="1307"/>
      <c r="G6" s="1307"/>
      <c r="H6" s="1308"/>
      <c r="I6" s="1309">
        <f t="shared" si="0"/>
        <v>0</v>
      </c>
    </row>
    <row r="7" spans="1:9">
      <c r="A7" s="3174"/>
      <c r="B7" s="3175" t="s">
        <v>1089</v>
      </c>
      <c r="C7" s="3175"/>
      <c r="D7" s="1306"/>
      <c r="E7" s="1304"/>
      <c r="F7" s="1307"/>
      <c r="G7" s="1307"/>
      <c r="H7" s="1308"/>
      <c r="I7" s="1309">
        <f t="shared" si="0"/>
        <v>0</v>
      </c>
    </row>
    <row r="8" spans="1:9">
      <c r="A8" s="3174"/>
      <c r="B8" s="3175" t="s">
        <v>1090</v>
      </c>
      <c r="C8" s="3175"/>
      <c r="D8" s="1306"/>
      <c r="E8" s="1304"/>
      <c r="F8" s="1307"/>
      <c r="G8" s="1307"/>
      <c r="H8" s="1308"/>
      <c r="I8" s="1309">
        <f t="shared" si="0"/>
        <v>0</v>
      </c>
    </row>
    <row r="9" spans="1:9">
      <c r="A9" s="3174"/>
      <c r="B9" s="3175" t="s">
        <v>1091</v>
      </c>
      <c r="C9" s="3175"/>
      <c r="D9" s="1306"/>
      <c r="E9" s="1304"/>
      <c r="F9" s="1307"/>
      <c r="G9" s="1307"/>
      <c r="H9" s="1308"/>
      <c r="I9" s="1309">
        <f t="shared" si="0"/>
        <v>0</v>
      </c>
    </row>
    <row r="10" spans="1:9">
      <c r="A10" s="3174"/>
      <c r="B10" s="3176" t="s">
        <v>1092</v>
      </c>
      <c r="C10" s="3176"/>
      <c r="D10" s="1310"/>
      <c r="E10" s="1310" t="e">
        <f>ROUND(D1*10000/D10/H9,0)</f>
        <v>#DIV/0!</v>
      </c>
      <c r="F10" s="1311"/>
      <c r="G10" s="1311"/>
      <c r="H10" s="1312"/>
      <c r="I10" s="1313">
        <f>SUM(I3:I9)</f>
        <v>0</v>
      </c>
    </row>
    <row r="11" spans="1:9" ht="14.25">
      <c r="A11" s="3174" t="s">
        <v>1093</v>
      </c>
      <c r="B11" s="3175" t="s">
        <v>1094</v>
      </c>
      <c r="C11" s="3175"/>
      <c r="D11" s="1306" t="s">
        <v>1095</v>
      </c>
      <c r="E11" s="1306" t="s">
        <v>1096</v>
      </c>
      <c r="F11" s="1307" t="s">
        <v>1097</v>
      </c>
      <c r="G11" s="1307" t="s">
        <v>1083</v>
      </c>
      <c r="H11" s="1314" t="s">
        <v>1098</v>
      </c>
      <c r="I11" s="1305" t="s">
        <v>1084</v>
      </c>
    </row>
    <row r="12" spans="1:9">
      <c r="A12" s="3174"/>
      <c r="B12" s="3175" t="s">
        <v>1099</v>
      </c>
      <c r="C12" s="3175"/>
      <c r="D12" s="1306"/>
      <c r="E12" s="1306"/>
      <c r="F12" s="1307"/>
      <c r="G12" s="1308"/>
      <c r="H12" s="1315"/>
      <c r="I12" s="1305">
        <f>ROUND(D12*E12*F12*G12/10000,0)</f>
        <v>0</v>
      </c>
    </row>
    <row r="13" spans="1:9">
      <c r="A13" s="3174"/>
      <c r="B13" s="3175" t="s">
        <v>1100</v>
      </c>
      <c r="C13" s="3175"/>
      <c r="D13" s="1306"/>
      <c r="E13" s="1306"/>
      <c r="F13" s="1307"/>
      <c r="G13" s="1308"/>
      <c r="H13" s="1315"/>
      <c r="I13" s="1305">
        <f>ROUND(D13*E13*F13*G13/10000,0)</f>
        <v>0</v>
      </c>
    </row>
    <row r="14" spans="1:9">
      <c r="A14" s="3174"/>
      <c r="B14" s="3175" t="s">
        <v>1101</v>
      </c>
      <c r="C14" s="3175"/>
      <c r="D14" s="1306"/>
      <c r="E14" s="1306"/>
      <c r="F14" s="1307"/>
      <c r="G14" s="1308"/>
      <c r="H14" s="1315"/>
      <c r="I14" s="1305">
        <f>ROUND(D14*E14*F14*G14/10000,0)</f>
        <v>0</v>
      </c>
    </row>
    <row r="15" spans="1:9">
      <c r="A15" s="3174"/>
      <c r="B15" s="3176" t="s">
        <v>1092</v>
      </c>
      <c r="C15" s="3176"/>
      <c r="D15" s="1310"/>
      <c r="E15" s="1310">
        <f>SUM(E12:E14)</f>
        <v>0</v>
      </c>
      <c r="F15" s="1311"/>
      <c r="G15" s="1308"/>
      <c r="H15" s="1315"/>
      <c r="I15" s="1316">
        <f>SUM(I12:I14)</f>
        <v>0</v>
      </c>
    </row>
    <row r="16" spans="1:9" ht="24">
      <c r="A16" s="3174" t="s">
        <v>1102</v>
      </c>
      <c r="B16" s="3175" t="s">
        <v>1103</v>
      </c>
      <c r="C16" s="3175"/>
      <c r="D16" s="1306" t="s">
        <v>1079</v>
      </c>
      <c r="E16" s="1317" t="s">
        <v>1104</v>
      </c>
      <c r="F16" s="1307" t="s">
        <v>1105</v>
      </c>
      <c r="G16" s="1308" t="s">
        <v>1083</v>
      </c>
      <c r="H16" s="1314" t="s">
        <v>1098</v>
      </c>
      <c r="I16" s="1305" t="s">
        <v>1084</v>
      </c>
    </row>
    <row r="17" spans="1:9" ht="14.25">
      <c r="A17" s="3174"/>
      <c r="B17" s="3175" t="s">
        <v>1106</v>
      </c>
      <c r="C17" s="3175"/>
      <c r="D17" s="1306"/>
      <c r="E17" s="1306"/>
      <c r="F17" s="1307"/>
      <c r="G17" s="1308"/>
      <c r="H17" s="1318"/>
      <c r="I17" s="1319">
        <f>ROUND(D17*E17*F17*G17/10000,0)</f>
        <v>0</v>
      </c>
    </row>
    <row r="18" spans="1:9" ht="14.25">
      <c r="A18" s="3174"/>
      <c r="B18" s="3175" t="s">
        <v>1107</v>
      </c>
      <c r="C18" s="3175"/>
      <c r="D18" s="1306"/>
      <c r="E18" s="1306"/>
      <c r="F18" s="1307"/>
      <c r="G18" s="1308"/>
      <c r="H18" s="1318"/>
      <c r="I18" s="1319">
        <f>ROUND(D18*E18*F18*G18/10000,0)</f>
        <v>0</v>
      </c>
    </row>
    <row r="19" spans="1:9" ht="14.25">
      <c r="A19" s="3174"/>
      <c r="B19" s="3175" t="s">
        <v>1108</v>
      </c>
      <c r="C19" s="3175"/>
      <c r="D19" s="1306"/>
      <c r="E19" s="1306"/>
      <c r="F19" s="1307"/>
      <c r="G19" s="1308"/>
      <c r="H19" s="1318"/>
      <c r="I19" s="1319">
        <f>ROUND(D19*E19*F19*G19/10000,0)</f>
        <v>0</v>
      </c>
    </row>
    <row r="20" spans="1:9">
      <c r="A20" s="3174"/>
      <c r="B20" s="3176" t="s">
        <v>1092</v>
      </c>
      <c r="C20" s="3176"/>
      <c r="D20" s="1310">
        <f>SUM(D17:D19)</f>
        <v>0</v>
      </c>
      <c r="E20" s="1310"/>
      <c r="F20" s="1311"/>
      <c r="G20" s="1308"/>
      <c r="H20" s="1315"/>
      <c r="I20" s="1316">
        <f>SUM(I17:I19)</f>
        <v>0</v>
      </c>
    </row>
    <row r="21" spans="1:9">
      <c r="A21" s="3174" t="s">
        <v>1109</v>
      </c>
      <c r="B21" s="3178"/>
      <c r="C21" s="3178"/>
      <c r="D21" s="3178"/>
      <c r="E21" s="3178"/>
      <c r="F21" s="3178"/>
      <c r="G21" s="3178"/>
      <c r="H21" s="1768">
        <v>0.1</v>
      </c>
      <c r="I21" s="1313">
        <f>ROUND(I10*H21,0)</f>
        <v>0</v>
      </c>
    </row>
    <row r="22" spans="1:9" ht="14.25">
      <c r="A22" s="3179" t="s">
        <v>1110</v>
      </c>
      <c r="B22" s="3180"/>
      <c r="C22" s="3181"/>
      <c r="D22" s="1320" t="s">
        <v>1111</v>
      </c>
      <c r="E22" s="1320" t="s">
        <v>1112</v>
      </c>
      <c r="F22" s="1321" t="s">
        <v>1113</v>
      </c>
      <c r="G22" s="1321" t="s">
        <v>1114</v>
      </c>
      <c r="H22" s="1314" t="s">
        <v>1115</v>
      </c>
      <c r="I22" s="1305" t="s">
        <v>1116</v>
      </c>
    </row>
    <row r="23" spans="1:9" ht="14.25" thickBot="1">
      <c r="A23" s="3182"/>
      <c r="B23" s="3183"/>
      <c r="C23" s="3184"/>
      <c r="D23" s="1322"/>
      <c r="E23" s="1322"/>
      <c r="F23" s="1322"/>
      <c r="G23" s="1323"/>
      <c r="H23" s="1324"/>
      <c r="I23" s="1325">
        <f>ROUND(E23*D23*F23*(1-G23)/10000,0)</f>
        <v>0</v>
      </c>
    </row>
    <row r="26" spans="1:9">
      <c r="A26" s="1326" t="s">
        <v>1117</v>
      </c>
      <c r="B26" s="1326"/>
      <c r="C26" s="1326"/>
      <c r="D26" s="1326"/>
      <c r="E26" s="3185">
        <f>C27-C30-C31-C32</f>
        <v>0</v>
      </c>
      <c r="F26" s="3185"/>
      <c r="G26" s="3185"/>
      <c r="H26" s="1740" t="s">
        <v>1340</v>
      </c>
    </row>
    <row r="27" spans="1:9">
      <c r="A27" s="1327">
        <v>1</v>
      </c>
      <c r="B27" s="1328" t="s">
        <v>1118</v>
      </c>
      <c r="C27" s="1328">
        <f>C28+C29</f>
        <v>0</v>
      </c>
      <c r="D27" s="1328"/>
      <c r="E27" s="3186"/>
      <c r="F27" s="3186"/>
      <c r="G27" s="3186"/>
    </row>
    <row r="28" spans="1:9">
      <c r="A28" s="1329" t="s">
        <v>1119</v>
      </c>
      <c r="B28" s="1328" t="s">
        <v>1120</v>
      </c>
      <c r="C28" s="1328"/>
      <c r="D28" s="1328"/>
      <c r="E28" s="3186"/>
      <c r="F28" s="3186"/>
      <c r="G28" s="318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7"/>
      <c r="F32" s="3177"/>
      <c r="G32" s="3177"/>
    </row>
    <row r="33" spans="1:7" hidden="1">
      <c r="A33" s="3187" t="s">
        <v>1129</v>
      </c>
      <c r="B33" s="3188"/>
      <c r="C33" s="3188"/>
      <c r="D33" s="3189"/>
      <c r="E33" s="3185"/>
      <c r="F33" s="3185"/>
      <c r="G33" s="3185"/>
    </row>
    <row r="34" spans="1:7" hidden="1">
      <c r="A34" s="1331">
        <v>1</v>
      </c>
      <c r="B34" s="1328" t="s">
        <v>1130</v>
      </c>
      <c r="C34" s="1328"/>
      <c r="D34" s="1328"/>
      <c r="E34" s="3186"/>
      <c r="F34" s="3186"/>
      <c r="G34" s="3186"/>
    </row>
    <row r="35" spans="1:7" hidden="1">
      <c r="A35" s="1331">
        <v>2</v>
      </c>
      <c r="B35" s="1328" t="s">
        <v>1131</v>
      </c>
      <c r="C35" s="1328"/>
      <c r="D35" s="1328"/>
      <c r="E35" s="3186"/>
      <c r="F35" s="3186"/>
      <c r="G35" s="3186"/>
    </row>
    <row r="36" spans="1:7" hidden="1">
      <c r="A36" s="1331">
        <v>3</v>
      </c>
      <c r="B36" s="1328" t="s">
        <v>1132</v>
      </c>
      <c r="C36" s="1328"/>
      <c r="D36" s="1328"/>
      <c r="E36" s="3186"/>
      <c r="F36" s="3186"/>
      <c r="G36" s="3186"/>
    </row>
    <row r="37" spans="1:7" hidden="1">
      <c r="A37" s="1331">
        <v>4</v>
      </c>
      <c r="B37" s="1328" t="s">
        <v>1133</v>
      </c>
      <c r="C37" s="1328"/>
      <c r="D37" s="1328"/>
      <c r="E37" s="3186"/>
      <c r="F37" s="3186"/>
      <c r="G37" s="3186"/>
    </row>
    <row r="38" spans="1:7" hidden="1">
      <c r="A38" s="3187" t="s">
        <v>1134</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3480.91</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208" t="s">
        <v>2537</v>
      </c>
      <c r="D4" s="3209"/>
      <c r="E4" s="3210" t="s">
        <v>2538</v>
      </c>
      <c r="F4" s="3211"/>
      <c r="G4" s="3208" t="s">
        <v>2539</v>
      </c>
      <c r="H4" s="3209"/>
      <c r="I4" s="3208" t="s">
        <v>2540</v>
      </c>
      <c r="J4" s="3209"/>
      <c r="K4" s="2596" t="s">
        <v>2541</v>
      </c>
      <c r="L4" s="1133"/>
      <c r="M4" s="1134"/>
      <c r="N4" s="1134"/>
      <c r="O4" s="1134"/>
      <c r="P4" s="3212" t="s">
        <v>2542</v>
      </c>
      <c r="Q4" s="3213"/>
      <c r="R4" s="3195" t="s">
        <v>2538</v>
      </c>
      <c r="S4" s="3196"/>
      <c r="T4" s="3195" t="s">
        <v>2539</v>
      </c>
      <c r="U4" s="3196"/>
      <c r="V4" s="3220" t="s">
        <v>2540</v>
      </c>
      <c r="W4" s="3220"/>
      <c r="X4" s="1816"/>
      <c r="Y4" s="3195" t="s">
        <v>2542</v>
      </c>
      <c r="Z4" s="3196"/>
      <c r="AA4" s="3190" t="s">
        <v>2538</v>
      </c>
      <c r="AB4" s="3190" t="s">
        <v>2539</v>
      </c>
      <c r="AC4" s="3190" t="s">
        <v>2540</v>
      </c>
    </row>
    <row r="5" spans="1:29" ht="15">
      <c r="A5" s="404"/>
      <c r="B5" s="405"/>
      <c r="C5" s="3201" t="s">
        <v>2543</v>
      </c>
      <c r="D5" s="3202"/>
      <c r="E5" s="3199" t="s">
        <v>2544</v>
      </c>
      <c r="F5" s="3200"/>
      <c r="G5" s="3201" t="s">
        <v>2545</v>
      </c>
      <c r="H5" s="3202"/>
      <c r="I5" s="3201" t="s">
        <v>2546</v>
      </c>
      <c r="J5" s="3202"/>
      <c r="K5" s="2597"/>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2547</v>
      </c>
      <c r="D6" s="3204"/>
      <c r="E6" s="3205" t="s">
        <v>2547</v>
      </c>
      <c r="F6" s="3206"/>
      <c r="G6" s="3203" t="s">
        <v>2547</v>
      </c>
      <c r="H6" s="3204"/>
      <c r="I6" s="3203" t="s">
        <v>2547</v>
      </c>
      <c r="J6" s="3204"/>
      <c r="K6" s="2597" t="s">
        <v>2548</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93" t="s">
        <v>2550</v>
      </c>
      <c r="Q7" s="3221"/>
      <c r="R7" s="770" t="s">
        <v>23</v>
      </c>
      <c r="S7" s="771">
        <f t="shared" ref="S7:S15" si="0">F7</f>
        <v>0</v>
      </c>
      <c r="T7" s="770" t="s">
        <v>23</v>
      </c>
      <c r="U7" s="771">
        <f t="shared" ref="U7:U15" si="1">H7</f>
        <v>0</v>
      </c>
      <c r="V7" s="770" t="s">
        <v>23</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93" t="s">
        <v>2553</v>
      </c>
      <c r="Q8" s="3194"/>
      <c r="R8" s="770" t="s">
        <v>23</v>
      </c>
      <c r="S8" s="771">
        <f t="shared" si="0"/>
        <v>0</v>
      </c>
      <c r="T8" s="770" t="s">
        <v>23</v>
      </c>
      <c r="U8" s="771">
        <f t="shared" si="1"/>
        <v>0</v>
      </c>
      <c r="V8" s="770" t="s">
        <v>23</v>
      </c>
      <c r="W8" s="771">
        <f t="shared" si="2"/>
        <v>0</v>
      </c>
      <c r="X8" s="772"/>
      <c r="Y8" s="3193" t="s">
        <v>2553</v>
      </c>
      <c r="Z8" s="319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7"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8"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7"/>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7"/>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7"/>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4" t="s">
        <v>2561</v>
      </c>
      <c r="Q15" s="1813" t="str">
        <f t="shared" si="6"/>
        <v>居住社区成熟度</v>
      </c>
      <c r="R15" s="774" t="s">
        <v>21</v>
      </c>
      <c r="S15" s="775">
        <f t="shared" si="0"/>
        <v>100</v>
      </c>
      <c r="T15" s="774" t="s">
        <v>21</v>
      </c>
      <c r="U15" s="775">
        <f t="shared" si="1"/>
        <v>100</v>
      </c>
      <c r="V15" s="774" t="s">
        <v>21</v>
      </c>
      <c r="W15" s="775">
        <f t="shared" si="2"/>
        <v>100</v>
      </c>
      <c r="X15" s="1816"/>
      <c r="Y15" s="3227"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35"/>
      <c r="Q16" s="1813"/>
      <c r="R16" s="774"/>
      <c r="S16" s="775"/>
      <c r="T16" s="774"/>
      <c r="U16" s="775"/>
      <c r="V16" s="774"/>
      <c r="W16" s="775"/>
      <c r="X16" s="1816"/>
      <c r="Y16" s="3228"/>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5"/>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35"/>
      <c r="Q18" s="1813"/>
      <c r="R18" s="774"/>
      <c r="S18" s="775"/>
      <c r="T18" s="774"/>
      <c r="U18" s="775"/>
      <c r="V18" s="774"/>
      <c r="W18" s="775"/>
      <c r="X18" s="1816"/>
      <c r="Y18" s="3228"/>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5"/>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35"/>
      <c r="Q20" s="1813"/>
      <c r="R20" s="774"/>
      <c r="S20" s="775"/>
      <c r="T20" s="774"/>
      <c r="U20" s="775"/>
      <c r="V20" s="774"/>
      <c r="W20" s="775"/>
      <c r="X20" s="1816"/>
      <c r="Y20" s="3228"/>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35"/>
      <c r="Q22" s="1813"/>
      <c r="R22" s="774"/>
      <c r="S22" s="775"/>
      <c r="T22" s="774"/>
      <c r="U22" s="775"/>
      <c r="V22" s="774"/>
      <c r="W22" s="775"/>
      <c r="X22" s="1816"/>
      <c r="Y22" s="3228"/>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5"/>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3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35"/>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35"/>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35"/>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35"/>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35"/>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35"/>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29" t="s">
        <v>2566</v>
      </c>
      <c r="Q32" s="1813" t="str">
        <f t="shared" si="11"/>
        <v>建筑类型</v>
      </c>
      <c r="R32" s="774" t="s">
        <v>21</v>
      </c>
      <c r="S32" s="775">
        <f t="shared" si="12"/>
        <v>100</v>
      </c>
      <c r="T32" s="774" t="s">
        <v>21</v>
      </c>
      <c r="U32" s="775">
        <f t="shared" si="13"/>
        <v>100</v>
      </c>
      <c r="V32" s="774" t="s">
        <v>21</v>
      </c>
      <c r="W32" s="775">
        <f t="shared" si="14"/>
        <v>100</v>
      </c>
      <c r="X32" s="1816"/>
      <c r="Y32" s="3232"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232"/>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232"/>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232"/>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30" t="s">
        <v>2566</v>
      </c>
      <c r="Q38" s="1813" t="str">
        <f t="shared" si="11"/>
        <v>物业管理</v>
      </c>
      <c r="R38" s="774" t="s">
        <v>21</v>
      </c>
      <c r="S38" s="775">
        <f t="shared" si="12"/>
        <v>100</v>
      </c>
      <c r="T38" s="774" t="s">
        <v>21</v>
      </c>
      <c r="U38" s="775">
        <f t="shared" si="13"/>
        <v>100</v>
      </c>
      <c r="V38" s="774" t="s">
        <v>21</v>
      </c>
      <c r="W38" s="775">
        <f t="shared" si="14"/>
        <v>100</v>
      </c>
      <c r="X38" s="1816"/>
      <c r="Y38" s="3232"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232"/>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232"/>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232"/>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23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232"/>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3480.91</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220" t="s">
        <v>2649</v>
      </c>
      <c r="AC4" s="3190" t="s">
        <v>2650</v>
      </c>
    </row>
    <row r="5" spans="1:29" ht="15">
      <c r="A5" s="404"/>
      <c r="B5" s="405"/>
      <c r="C5" s="3201" t="s">
        <v>2543</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220"/>
      <c r="AC5" s="3191"/>
    </row>
    <row r="6" spans="1:29" ht="15.75" thickBot="1">
      <c r="A6" s="406"/>
      <c r="B6" s="407"/>
      <c r="C6" s="3203" t="s">
        <v>2547</v>
      </c>
      <c r="D6" s="3204"/>
      <c r="E6" s="3205" t="s">
        <v>2547</v>
      </c>
      <c r="F6" s="3206"/>
      <c r="G6" s="3203" t="s">
        <v>2547</v>
      </c>
      <c r="H6" s="3204"/>
      <c r="I6" s="3203" t="s">
        <v>2547</v>
      </c>
      <c r="J6" s="3204"/>
      <c r="K6" s="610" t="s">
        <v>2548</v>
      </c>
      <c r="L6" s="1133"/>
      <c r="M6" s="1134"/>
      <c r="N6" s="1134"/>
      <c r="O6" s="1134"/>
      <c r="P6" s="3216"/>
      <c r="Q6" s="3217"/>
      <c r="R6" s="3197"/>
      <c r="S6" s="3198"/>
      <c r="T6" s="3218"/>
      <c r="U6" s="3219"/>
      <c r="V6" s="3220"/>
      <c r="W6" s="3220"/>
      <c r="X6" s="1816"/>
      <c r="Y6" s="3218"/>
      <c r="Z6" s="3219"/>
      <c r="AA6" s="3192"/>
      <c r="AB6" s="3220"/>
      <c r="AC6" s="3192"/>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2561</v>
      </c>
      <c r="Q15" s="1813" t="str">
        <f t="shared" si="6"/>
        <v>商业繁华度</v>
      </c>
      <c r="R15" s="774" t="s">
        <v>17</v>
      </c>
      <c r="S15" s="775">
        <f t="shared" si="0"/>
        <v>100</v>
      </c>
      <c r="T15" s="774" t="s">
        <v>17</v>
      </c>
      <c r="U15" s="775">
        <f t="shared" si="1"/>
        <v>100</v>
      </c>
      <c r="V15" s="774" t="s">
        <v>17</v>
      </c>
      <c r="W15" s="775">
        <f t="shared" si="2"/>
        <v>100</v>
      </c>
      <c r="X15" s="1816"/>
      <c r="Y15" s="3227"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35"/>
      <c r="Q18" s="1813"/>
      <c r="R18" s="774"/>
      <c r="S18" s="775"/>
      <c r="T18" s="774"/>
      <c r="U18" s="775"/>
      <c r="V18" s="774"/>
      <c r="W18" s="775"/>
      <c r="X18" s="1816"/>
      <c r="Y18" s="3228"/>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35"/>
      <c r="Q20" s="1813"/>
      <c r="R20" s="774"/>
      <c r="S20" s="775"/>
      <c r="T20" s="774"/>
      <c r="U20" s="775"/>
      <c r="V20" s="774"/>
      <c r="W20" s="775"/>
      <c r="X20" s="1816"/>
      <c r="Y20" s="3228"/>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35"/>
      <c r="Q22" s="1813"/>
      <c r="R22" s="774"/>
      <c r="S22" s="775"/>
      <c r="T22" s="774"/>
      <c r="U22" s="775"/>
      <c r="V22" s="774"/>
      <c r="W22" s="775"/>
      <c r="X22" s="1816"/>
      <c r="Y22" s="3228"/>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3" t="str">
        <f>B23</f>
        <v>自然及人文环境</v>
      </c>
      <c r="R23" s="774" t="s">
        <v>17</v>
      </c>
      <c r="S23" s="775">
        <f>F23</f>
        <v>100</v>
      </c>
      <c r="T23" s="774" t="s">
        <v>17</v>
      </c>
      <c r="U23" s="775">
        <f>H23</f>
        <v>100</v>
      </c>
      <c r="V23" s="774" t="s">
        <v>17</v>
      </c>
      <c r="W23" s="775">
        <f>J23</f>
        <v>100</v>
      </c>
      <c r="X23" s="1816"/>
      <c r="Y23" s="3228"/>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5"/>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29" t="s">
        <v>2566</v>
      </c>
      <c r="Q32" s="1813" t="str">
        <f t="shared" si="11"/>
        <v>商业类型</v>
      </c>
      <c r="R32" s="774" t="s">
        <v>17</v>
      </c>
      <c r="S32" s="775">
        <f t="shared" si="12"/>
        <v>100</v>
      </c>
      <c r="T32" s="774" t="s">
        <v>17</v>
      </c>
      <c r="U32" s="775">
        <f t="shared" si="13"/>
        <v>100</v>
      </c>
      <c r="V32" s="774" t="s">
        <v>17</v>
      </c>
      <c r="W32" s="775">
        <f t="shared" si="14"/>
        <v>100</v>
      </c>
      <c r="X32" s="1816"/>
      <c r="Y32" s="3232"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32"/>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232"/>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232"/>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3" t="str">
        <f t="shared" si="11"/>
        <v>成新度</v>
      </c>
      <c r="R36" s="774" t="s">
        <v>17</v>
      </c>
      <c r="S36" s="775" t="e">
        <f t="shared" si="12"/>
        <v>#N/A</v>
      </c>
      <c r="T36" s="774" t="s">
        <v>17</v>
      </c>
      <c r="U36" s="775" t="e">
        <f t="shared" si="13"/>
        <v>#N/A</v>
      </c>
      <c r="V36" s="774" t="s">
        <v>17</v>
      </c>
      <c r="W36" s="775" t="e">
        <f t="shared" si="14"/>
        <v>#N/A</v>
      </c>
      <c r="X36" s="1816"/>
      <c r="Y36" s="3232"/>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30" t="s">
        <v>2566</v>
      </c>
      <c r="Q38" s="1813" t="str">
        <f t="shared" si="11"/>
        <v>业态</v>
      </c>
      <c r="R38" s="774" t="s">
        <v>17</v>
      </c>
      <c r="S38" s="775">
        <f t="shared" si="12"/>
        <v>100</v>
      </c>
      <c r="T38" s="774" t="s">
        <v>17</v>
      </c>
      <c r="U38" s="775">
        <f t="shared" si="13"/>
        <v>100</v>
      </c>
      <c r="V38" s="774" t="s">
        <v>17</v>
      </c>
      <c r="W38" s="775">
        <f t="shared" si="14"/>
        <v>100</v>
      </c>
      <c r="X38" s="1816"/>
      <c r="Y38" s="3232"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232"/>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232"/>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232"/>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23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232"/>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5" t="str">
        <f>A47</f>
        <v>成交单价（元/平方米）</v>
      </c>
      <c r="Q47" s="3225"/>
      <c r="R47" s="3220">
        <f>E47</f>
        <v>0</v>
      </c>
      <c r="S47" s="3220"/>
      <c r="T47" s="3220">
        <f>G47</f>
        <v>0</v>
      </c>
      <c r="U47" s="3220"/>
      <c r="V47" s="3220">
        <f>I47</f>
        <v>0</v>
      </c>
      <c r="W47" s="322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3480.91</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42" t="s">
        <v>2652</v>
      </c>
      <c r="Q4" s="3243"/>
      <c r="R4" s="3237" t="s">
        <v>2648</v>
      </c>
      <c r="S4" s="3238"/>
      <c r="T4" s="3237" t="s">
        <v>2649</v>
      </c>
      <c r="U4" s="3238"/>
      <c r="V4" s="3246" t="s">
        <v>2650</v>
      </c>
      <c r="W4" s="3246"/>
      <c r="X4" s="2670"/>
      <c r="Y4" s="3237" t="s">
        <v>2652</v>
      </c>
      <c r="Z4" s="3238"/>
      <c r="AA4" s="3236" t="s">
        <v>2648</v>
      </c>
      <c r="AB4" s="3236" t="s">
        <v>2649</v>
      </c>
      <c r="AC4" s="3239" t="s">
        <v>2650</v>
      </c>
    </row>
    <row r="5" spans="1:29" ht="15">
      <c r="A5" s="404"/>
      <c r="B5" s="405"/>
      <c r="C5" s="3201" t="s">
        <v>2543</v>
      </c>
      <c r="D5" s="3202"/>
      <c r="E5" s="3199" t="s">
        <v>2544</v>
      </c>
      <c r="F5" s="3200"/>
      <c r="G5" s="3201" t="s">
        <v>2545</v>
      </c>
      <c r="H5" s="3202"/>
      <c r="I5" s="3201" t="s">
        <v>2546</v>
      </c>
      <c r="J5" s="3202"/>
      <c r="K5" s="610"/>
      <c r="L5" s="1133"/>
      <c r="M5" s="1134"/>
      <c r="N5" s="1134"/>
      <c r="O5" s="1134"/>
      <c r="P5" s="3244"/>
      <c r="Q5" s="3215"/>
      <c r="R5" s="3197"/>
      <c r="S5" s="3198"/>
      <c r="T5" s="3197"/>
      <c r="U5" s="3198"/>
      <c r="V5" s="3220"/>
      <c r="W5" s="3220"/>
      <c r="X5" s="1816"/>
      <c r="Y5" s="3197"/>
      <c r="Z5" s="3198"/>
      <c r="AA5" s="3191"/>
      <c r="AB5" s="3191"/>
      <c r="AC5" s="3240"/>
    </row>
    <row r="6" spans="1:29" ht="15.75" thickBot="1">
      <c r="A6" s="406"/>
      <c r="B6" s="407"/>
      <c r="C6" s="3203" t="s">
        <v>2547</v>
      </c>
      <c r="D6" s="3204"/>
      <c r="E6" s="3205" t="s">
        <v>2547</v>
      </c>
      <c r="F6" s="3206"/>
      <c r="G6" s="3203" t="s">
        <v>2547</v>
      </c>
      <c r="H6" s="3204"/>
      <c r="I6" s="3203" t="s">
        <v>2547</v>
      </c>
      <c r="J6" s="3204"/>
      <c r="K6" s="610" t="s">
        <v>2548</v>
      </c>
      <c r="L6" s="1133"/>
      <c r="M6" s="1134"/>
      <c r="N6" s="1134"/>
      <c r="O6" s="1134"/>
      <c r="P6" s="3245"/>
      <c r="Q6" s="3217"/>
      <c r="R6" s="3197"/>
      <c r="S6" s="3198"/>
      <c r="T6" s="3218"/>
      <c r="U6" s="3219"/>
      <c r="V6" s="3220"/>
      <c r="W6" s="3220"/>
      <c r="X6" s="1816"/>
      <c r="Y6" s="3218"/>
      <c r="Z6" s="3219"/>
      <c r="AA6" s="3192"/>
      <c r="AB6" s="3192"/>
      <c r="AC6" s="3241"/>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2561</v>
      </c>
      <c r="Q15" s="1813" t="str">
        <f t="shared" si="6"/>
        <v>办公集聚程度</v>
      </c>
      <c r="R15" s="774" t="s">
        <v>17</v>
      </c>
      <c r="S15" s="775">
        <f t="shared" si="0"/>
        <v>100</v>
      </c>
      <c r="T15" s="774" t="s">
        <v>17</v>
      </c>
      <c r="U15" s="775">
        <f t="shared" si="1"/>
        <v>100</v>
      </c>
      <c r="V15" s="774" t="s">
        <v>17</v>
      </c>
      <c r="W15" s="775">
        <f t="shared" si="2"/>
        <v>100</v>
      </c>
      <c r="X15" s="1816"/>
      <c r="Y15" s="3227"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35"/>
      <c r="Q18" s="1813"/>
      <c r="R18" s="774"/>
      <c r="S18" s="775"/>
      <c r="T18" s="774"/>
      <c r="U18" s="775"/>
      <c r="V18" s="774"/>
      <c r="W18" s="775"/>
      <c r="X18" s="1816"/>
      <c r="Y18" s="3228"/>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35"/>
      <c r="Q20" s="1813"/>
      <c r="R20" s="774"/>
      <c r="S20" s="775"/>
      <c r="T20" s="774"/>
      <c r="U20" s="775"/>
      <c r="V20" s="774"/>
      <c r="W20" s="775"/>
      <c r="X20" s="1816"/>
      <c r="Y20" s="3228"/>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35"/>
      <c r="Q22" s="1813"/>
      <c r="R22" s="774"/>
      <c r="S22" s="775"/>
      <c r="T22" s="774"/>
      <c r="U22" s="775"/>
      <c r="V22" s="774"/>
      <c r="W22" s="775"/>
      <c r="X22" s="1816"/>
      <c r="Y22" s="3228"/>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35"/>
      <c r="Q24" s="1813"/>
      <c r="R24" s="774"/>
      <c r="S24" s="775"/>
      <c r="T24" s="774"/>
      <c r="U24" s="775"/>
      <c r="V24" s="774"/>
      <c r="W24" s="775"/>
      <c r="X24" s="1816"/>
      <c r="Y24" s="3228"/>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35"/>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35"/>
      <c r="Q26" s="1813"/>
      <c r="R26" s="774"/>
      <c r="S26" s="775"/>
      <c r="T26" s="774"/>
      <c r="U26" s="775"/>
      <c r="V26" s="774"/>
      <c r="W26" s="775"/>
      <c r="X26" s="1816"/>
      <c r="Y26" s="3228"/>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5"/>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5"/>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5"/>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9" t="s">
        <v>2566</v>
      </c>
      <c r="Q33" s="1813" t="str">
        <f t="shared" si="11"/>
        <v>建筑类型</v>
      </c>
      <c r="R33" s="774" t="s">
        <v>17</v>
      </c>
      <c r="S33" s="775">
        <f t="shared" si="12"/>
        <v>100</v>
      </c>
      <c r="T33" s="774" t="s">
        <v>17</v>
      </c>
      <c r="U33" s="775">
        <f t="shared" si="13"/>
        <v>100</v>
      </c>
      <c r="V33" s="774" t="s">
        <v>17</v>
      </c>
      <c r="W33" s="775">
        <f t="shared" si="14"/>
        <v>100</v>
      </c>
      <c r="X33" s="1816"/>
      <c r="Y33" s="3232"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0"/>
      <c r="Q34" s="776" t="str">
        <f t="shared" si="11"/>
        <v>项目建筑规模</v>
      </c>
      <c r="R34" s="777" t="s">
        <v>17</v>
      </c>
      <c r="S34" s="778" t="e">
        <f t="shared" si="12"/>
        <v>#N/A</v>
      </c>
      <c r="T34" s="777" t="s">
        <v>17</v>
      </c>
      <c r="U34" s="778" t="e">
        <f t="shared" si="13"/>
        <v>#N/A</v>
      </c>
      <c r="V34" s="777" t="s">
        <v>17</v>
      </c>
      <c r="W34" s="778" t="e">
        <f t="shared" si="14"/>
        <v>#N/A</v>
      </c>
      <c r="X34" s="779"/>
      <c r="Y34" s="3232"/>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232"/>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232"/>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0"/>
      <c r="Q37" s="1813" t="str">
        <f t="shared" si="11"/>
        <v>成新度</v>
      </c>
      <c r="R37" s="774" t="s">
        <v>17</v>
      </c>
      <c r="S37" s="775" t="e">
        <f t="shared" si="12"/>
        <v>#N/A</v>
      </c>
      <c r="T37" s="774" t="s">
        <v>17</v>
      </c>
      <c r="U37" s="775" t="e">
        <f t="shared" si="13"/>
        <v>#N/A</v>
      </c>
      <c r="V37" s="774" t="s">
        <v>17</v>
      </c>
      <c r="W37" s="775" t="e">
        <f t="shared" si="14"/>
        <v>#N/A</v>
      </c>
      <c r="X37" s="1816"/>
      <c r="Y37" s="3232"/>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2566</v>
      </c>
      <c r="Q39" s="1813" t="str">
        <f t="shared" si="11"/>
        <v>物业管理</v>
      </c>
      <c r="R39" s="774" t="s">
        <v>17</v>
      </c>
      <c r="S39" s="775">
        <f t="shared" si="12"/>
        <v>100</v>
      </c>
      <c r="T39" s="774" t="s">
        <v>17</v>
      </c>
      <c r="U39" s="775">
        <f t="shared" si="13"/>
        <v>100</v>
      </c>
      <c r="V39" s="774" t="s">
        <v>17</v>
      </c>
      <c r="W39" s="775">
        <f t="shared" si="14"/>
        <v>100</v>
      </c>
      <c r="X39" s="1816"/>
      <c r="Y39" s="3232"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232"/>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232"/>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232"/>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232"/>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207" t="str">
        <f>A48</f>
        <v>成交单价（元/平方米）</v>
      </c>
      <c r="Q48" s="3225"/>
      <c r="R48" s="3226">
        <f>E48</f>
        <v>0</v>
      </c>
      <c r="S48" s="3226"/>
      <c r="T48" s="3226">
        <f>G48</f>
        <v>0</v>
      </c>
      <c r="U48" s="3226"/>
      <c r="V48" s="3226">
        <f>I48</f>
        <v>0</v>
      </c>
      <c r="W48" s="3226"/>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受贵公司委托，我公司对北京市顺义区东支路北法信段23号2幢工业用房房地产抵押价值进行了预评估。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2幢工业用房房地产，为北京恒晖伟业投资有限公司所有。根据《国有土地使用证》[]，估价对象（分摊）出让国有建设用地使用权面积为3036.74平方米，建筑面积为3480.91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2幢工业用房房地产,属北京恒晖伟业投资有限公司开发建设的工业项目，该项目尚在开发建设中。根据《国有土地使用证》[]，估价对象（分摊）出让国有建设用地使用权面积为3036.74平方米，规划建筑面积为3480.91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3480.91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t="s">
        <v>3100</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225"/>
      <c r="Q10" s="1798" t="str">
        <f t="shared" si="6"/>
        <v>土地使用年限（年）</v>
      </c>
      <c r="R10" s="770" t="s">
        <v>17</v>
      </c>
      <c r="S10" s="771">
        <f t="shared" si="0"/>
        <v>0</v>
      </c>
      <c r="T10" s="770" t="s">
        <v>17</v>
      </c>
      <c r="U10" s="771">
        <f t="shared" si="1"/>
        <v>0</v>
      </c>
      <c r="V10" s="770" t="s">
        <v>17</v>
      </c>
      <c r="W10" s="771">
        <f t="shared" si="2"/>
        <v>0</v>
      </c>
      <c r="X10" s="772"/>
      <c r="Y10" s="3040"/>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227" t="s">
        <v>2561</v>
      </c>
      <c r="Q15" s="1813" t="str">
        <f t="shared" si="6"/>
        <v>产业集聚程度</v>
      </c>
      <c r="R15" s="774" t="s">
        <v>17</v>
      </c>
      <c r="S15" s="775">
        <f t="shared" si="0"/>
        <v>0</v>
      </c>
      <c r="T15" s="774" t="s">
        <v>17</v>
      </c>
      <c r="U15" s="775">
        <f t="shared" si="1"/>
        <v>0</v>
      </c>
      <c r="V15" s="774" t="s">
        <v>17</v>
      </c>
      <c r="W15" s="775">
        <f t="shared" si="2"/>
        <v>0</v>
      </c>
      <c r="X15" s="1816"/>
      <c r="Y15" s="3227" t="s">
        <v>2561</v>
      </c>
      <c r="Z15" s="1817" t="str">
        <f t="shared" si="7"/>
        <v>产业集聚程度</v>
      </c>
      <c r="AA15" s="1814" t="e">
        <f t="shared" si="3"/>
        <v>#DIV/0!</v>
      </c>
      <c r="AB15" s="1814" t="e">
        <f t="shared" si="4"/>
        <v>#DIV/0!</v>
      </c>
      <c r="AC15" s="1814" t="e">
        <f t="shared" si="5"/>
        <v>#DIV/0!</v>
      </c>
    </row>
    <row r="16" spans="1:29" ht="15">
      <c r="A16" s="428"/>
      <c r="B16" s="446"/>
      <c r="C16" s="447" t="s">
        <v>3101</v>
      </c>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228"/>
      <c r="Q17" s="1813" t="str">
        <f>B17</f>
        <v>交通便捷度</v>
      </c>
      <c r="R17" s="774" t="s">
        <v>17</v>
      </c>
      <c r="S17" s="775">
        <f>F17</f>
        <v>0</v>
      </c>
      <c r="T17" s="774" t="s">
        <v>17</v>
      </c>
      <c r="U17" s="775">
        <f>H17</f>
        <v>0</v>
      </c>
      <c r="V17" s="774" t="s">
        <v>17</v>
      </c>
      <c r="W17" s="775">
        <f>J17</f>
        <v>0</v>
      </c>
      <c r="X17" s="1816"/>
      <c r="Y17" s="3228"/>
      <c r="Z17" s="1817" t="str">
        <f>Q17</f>
        <v>交通便捷度</v>
      </c>
      <c r="AA17" s="1814" t="e">
        <f t="shared" si="3"/>
        <v>#DIV/0!</v>
      </c>
      <c r="AB17" s="1814" t="e">
        <f t="shared" si="4"/>
        <v>#DIV/0!</v>
      </c>
      <c r="AC17" s="1814" t="e">
        <f t="shared" si="5"/>
        <v>#DIV/0!</v>
      </c>
    </row>
    <row r="18" spans="1:29" ht="15">
      <c r="A18" s="428"/>
      <c r="B18" s="456"/>
      <c r="C18" s="2608" t="s">
        <v>3101</v>
      </c>
      <c r="D18" s="450"/>
      <c r="E18" s="2610"/>
      <c r="F18" s="453"/>
      <c r="G18" s="2609"/>
      <c r="H18" s="448"/>
      <c r="I18" s="2610"/>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228"/>
      <c r="Q19" s="1813" t="str">
        <f>B19</f>
        <v>公共配套设施</v>
      </c>
      <c r="R19" s="774" t="s">
        <v>17</v>
      </c>
      <c r="S19" s="775">
        <f>F19</f>
        <v>0</v>
      </c>
      <c r="T19" s="774" t="s">
        <v>17</v>
      </c>
      <c r="U19" s="775">
        <f>H19</f>
        <v>0</v>
      </c>
      <c r="V19" s="774" t="s">
        <v>17</v>
      </c>
      <c r="W19" s="775">
        <f>J19</f>
        <v>0</v>
      </c>
      <c r="X19" s="1816"/>
      <c r="Y19" s="3228"/>
      <c r="Z19" s="1817" t="str">
        <f>Q19</f>
        <v>公共配套设施</v>
      </c>
      <c r="AA19" s="1814" t="e">
        <f t="shared" si="3"/>
        <v>#DIV/0!</v>
      </c>
      <c r="AB19" s="1814" t="e">
        <f t="shared" si="4"/>
        <v>#DIV/0!</v>
      </c>
      <c r="AC19" s="1814" t="e">
        <f t="shared" si="5"/>
        <v>#DIV/0!</v>
      </c>
    </row>
    <row r="20" spans="1:29" ht="15">
      <c r="A20" s="428"/>
      <c r="B20" s="456"/>
      <c r="C20" s="447" t="s">
        <v>3102</v>
      </c>
      <c r="D20" s="448"/>
      <c r="E20" s="2605"/>
      <c r="F20" s="449"/>
      <c r="G20" s="2604"/>
      <c r="H20" s="448"/>
      <c r="I20" s="2605"/>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228"/>
      <c r="Q21" s="1813" t="str">
        <f>B21</f>
        <v>基础设施水平</v>
      </c>
      <c r="R21" s="774" t="s">
        <v>17</v>
      </c>
      <c r="S21" s="775">
        <f>F21</f>
        <v>0</v>
      </c>
      <c r="T21" s="774" t="s">
        <v>17</v>
      </c>
      <c r="U21" s="775">
        <f>H21</f>
        <v>0</v>
      </c>
      <c r="V21" s="774" t="s">
        <v>17</v>
      </c>
      <c r="W21" s="775">
        <f>J21</f>
        <v>0</v>
      </c>
      <c r="X21" s="1816"/>
      <c r="Y21" s="3228"/>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3103</v>
      </c>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228"/>
      <c r="Q23" s="1813" t="str">
        <f>B23</f>
        <v>环境质量</v>
      </c>
      <c r="R23" s="774" t="s">
        <v>17</v>
      </c>
      <c r="S23" s="775">
        <f>F23</f>
        <v>0</v>
      </c>
      <c r="T23" s="774" t="s">
        <v>17</v>
      </c>
      <c r="U23" s="775">
        <f>H23</f>
        <v>0</v>
      </c>
      <c r="V23" s="774" t="s">
        <v>17</v>
      </c>
      <c r="W23" s="775">
        <f>J23</f>
        <v>0</v>
      </c>
      <c r="X23" s="1816"/>
      <c r="Y23" s="3228"/>
      <c r="Z23" s="1817" t="str">
        <f>Q23</f>
        <v>环境质量</v>
      </c>
      <c r="AA23" s="1814" t="e">
        <f t="shared" si="3"/>
        <v>#DIV/0!</v>
      </c>
      <c r="AB23" s="1814" t="e">
        <f t="shared" si="4"/>
        <v>#DIV/0!</v>
      </c>
      <c r="AC23" s="1814" t="e">
        <f t="shared" si="5"/>
        <v>#DIV/0!</v>
      </c>
    </row>
    <row r="24" spans="1:29" ht="15">
      <c r="A24" s="428"/>
      <c r="B24" s="1387"/>
      <c r="C24" s="447" t="s">
        <v>3101</v>
      </c>
      <c r="D24" s="448"/>
      <c r="E24" s="2605"/>
      <c r="F24" s="449"/>
      <c r="G24" s="2604"/>
      <c r="H24" s="448"/>
      <c r="I24" s="2605"/>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1" t="s">
        <v>2566</v>
      </c>
      <c r="Q29" s="1813" t="str">
        <f t="shared" si="11"/>
        <v>建筑类型</v>
      </c>
      <c r="R29" s="774" t="s">
        <v>17</v>
      </c>
      <c r="S29" s="775">
        <f t="shared" si="12"/>
        <v>100</v>
      </c>
      <c r="T29" s="774" t="s">
        <v>17</v>
      </c>
      <c r="U29" s="775">
        <f t="shared" si="13"/>
        <v>100</v>
      </c>
      <c r="V29" s="774" t="s">
        <v>17</v>
      </c>
      <c r="W29" s="775">
        <f t="shared" si="14"/>
        <v>100</v>
      </c>
      <c r="X29" s="1816"/>
      <c r="Y29" s="3232"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2"/>
      <c r="Q31" s="1813" t="str">
        <f t="shared" si="11"/>
        <v>建筑结构</v>
      </c>
      <c r="R31" s="774" t="s">
        <v>17</v>
      </c>
      <c r="S31" s="775">
        <f t="shared" si="12"/>
        <v>100</v>
      </c>
      <c r="T31" s="774" t="s">
        <v>17</v>
      </c>
      <c r="U31" s="775">
        <f t="shared" si="13"/>
        <v>100</v>
      </c>
      <c r="V31" s="774" t="s">
        <v>17</v>
      </c>
      <c r="W31" s="775">
        <f t="shared" si="14"/>
        <v>100</v>
      </c>
      <c r="X31" s="1816"/>
      <c r="Y31" s="3232"/>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2"/>
      <c r="Q32" s="1813" t="str">
        <f t="shared" si="11"/>
        <v>公共部分装修</v>
      </c>
      <c r="R32" s="774" t="s">
        <v>17</v>
      </c>
      <c r="S32" s="775">
        <f t="shared" si="12"/>
        <v>100</v>
      </c>
      <c r="T32" s="774" t="s">
        <v>17</v>
      </c>
      <c r="U32" s="775">
        <f t="shared" si="13"/>
        <v>100</v>
      </c>
      <c r="V32" s="774" t="s">
        <v>17</v>
      </c>
      <c r="W32" s="775">
        <f t="shared" si="14"/>
        <v>100</v>
      </c>
      <c r="X32" s="1816"/>
      <c r="Y32" s="3232"/>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2"/>
      <c r="Q33" s="1813" t="str">
        <f t="shared" si="11"/>
        <v>成新度</v>
      </c>
      <c r="R33" s="774" t="s">
        <v>17</v>
      </c>
      <c r="S33" s="775" t="e">
        <f t="shared" si="12"/>
        <v>#N/A</v>
      </c>
      <c r="T33" s="774" t="s">
        <v>17</v>
      </c>
      <c r="U33" s="775" t="e">
        <f t="shared" si="13"/>
        <v>#N/A</v>
      </c>
      <c r="V33" s="774" t="s">
        <v>17</v>
      </c>
      <c r="W33" s="775" t="e">
        <f t="shared" si="14"/>
        <v>#N/A</v>
      </c>
      <c r="X33" s="1816"/>
      <c r="Y33" s="3232"/>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2"/>
      <c r="Q34" s="1798"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2" t="s">
        <v>2566</v>
      </c>
      <c r="Q35" s="1813" t="str">
        <f t="shared" si="11"/>
        <v>市政基础设施</v>
      </c>
      <c r="R35" s="774" t="s">
        <v>17</v>
      </c>
      <c r="S35" s="775">
        <f t="shared" si="12"/>
        <v>100</v>
      </c>
      <c r="T35" s="774" t="s">
        <v>17</v>
      </c>
      <c r="U35" s="775">
        <f t="shared" si="13"/>
        <v>100</v>
      </c>
      <c r="V35" s="774" t="s">
        <v>17</v>
      </c>
      <c r="W35" s="775">
        <f t="shared" si="14"/>
        <v>100</v>
      </c>
      <c r="X35" s="1816"/>
      <c r="Y35" s="3232"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2"/>
      <c r="Q36" s="1813" t="str">
        <f t="shared" si="11"/>
        <v>内部装修</v>
      </c>
      <c r="R36" s="774" t="s">
        <v>17</v>
      </c>
      <c r="S36" s="775">
        <f t="shared" si="12"/>
        <v>100</v>
      </c>
      <c r="T36" s="774" t="s">
        <v>17</v>
      </c>
      <c r="U36" s="775">
        <f t="shared" si="13"/>
        <v>100</v>
      </c>
      <c r="V36" s="774" t="s">
        <v>17</v>
      </c>
      <c r="W36" s="775">
        <f t="shared" si="14"/>
        <v>100</v>
      </c>
      <c r="X36" s="1816"/>
      <c r="Y36" s="3232"/>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2"/>
      <c r="Q37" s="1813" t="str">
        <f t="shared" si="11"/>
        <v>内部装修状况</v>
      </c>
      <c r="R37" s="774" t="s">
        <v>17</v>
      </c>
      <c r="S37" s="775">
        <f t="shared" si="12"/>
        <v>100</v>
      </c>
      <c r="T37" s="774" t="s">
        <v>17</v>
      </c>
      <c r="U37" s="775">
        <f t="shared" si="13"/>
        <v>100</v>
      </c>
      <c r="V37" s="774" t="s">
        <v>17</v>
      </c>
      <c r="W37" s="775">
        <f t="shared" si="14"/>
        <v>100</v>
      </c>
      <c r="X37" s="1816"/>
      <c r="Y37" s="323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2"/>
      <c r="Q39" s="1813">
        <f t="shared" si="11"/>
        <v>111</v>
      </c>
      <c r="R39" s="774" t="s">
        <v>17</v>
      </c>
      <c r="S39" s="775">
        <f t="shared" si="12"/>
        <v>100</v>
      </c>
      <c r="T39" s="774" t="s">
        <v>17</v>
      </c>
      <c r="U39" s="775">
        <f t="shared" si="13"/>
        <v>100</v>
      </c>
      <c r="V39" s="774" t="s">
        <v>17</v>
      </c>
      <c r="W39" s="775">
        <f t="shared" si="14"/>
        <v>100</v>
      </c>
      <c r="X39" s="1816"/>
      <c r="Y39" s="3232"/>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5" t="str">
        <f>A41</f>
        <v>成交单价（元/平方米）</v>
      </c>
      <c r="Q41" s="3225"/>
      <c r="R41" s="3226">
        <f>E41</f>
        <v>0</v>
      </c>
      <c r="S41" s="3226"/>
      <c r="T41" s="3226">
        <f>G41</f>
        <v>0</v>
      </c>
      <c r="U41" s="3226"/>
      <c r="V41" s="3226">
        <f>I41</f>
        <v>0</v>
      </c>
      <c r="W41" s="3226"/>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22" t="str">
        <f>A43</f>
        <v>估价对象XX用房的比较价值（楼面单价，元/平方米）</v>
      </c>
      <c r="Q43" s="3223"/>
      <c r="R43" s="3224" t="e">
        <f>IF(F1="售价",ROUND(AVERAGE(R42:V42),0),ROUND(AVERAGE(R42:V42),1))</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2550</v>
      </c>
      <c r="Q7" s="3221"/>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5" t="s">
        <v>2556</v>
      </c>
      <c r="Q9" s="1798"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2561</v>
      </c>
      <c r="Q14" s="1813" t="str">
        <f t="shared" si="6"/>
        <v>交通便捷度</v>
      </c>
      <c r="R14" s="774" t="s">
        <v>17</v>
      </c>
      <c r="S14" s="775">
        <f t="shared" si="0"/>
        <v>100</v>
      </c>
      <c r="T14" s="774" t="s">
        <v>17</v>
      </c>
      <c r="U14" s="775">
        <f t="shared" si="1"/>
        <v>100</v>
      </c>
      <c r="V14" s="774" t="s">
        <v>17</v>
      </c>
      <c r="W14" s="775">
        <f t="shared" si="2"/>
        <v>100</v>
      </c>
      <c r="X14" s="1816"/>
      <c r="Y14" s="3227"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2"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2"/>
      <c r="Q28" s="1813" t="str">
        <f t="shared" si="11"/>
        <v>公共部分装修</v>
      </c>
      <c r="R28" s="774" t="s">
        <v>17</v>
      </c>
      <c r="S28" s="775">
        <f t="shared" si="12"/>
        <v>100</v>
      </c>
      <c r="T28" s="774" t="s">
        <v>17</v>
      </c>
      <c r="U28" s="775">
        <f t="shared" si="13"/>
        <v>100</v>
      </c>
      <c r="V28" s="774" t="s">
        <v>17</v>
      </c>
      <c r="W28" s="775">
        <f t="shared" si="14"/>
        <v>100</v>
      </c>
      <c r="X28" s="1816"/>
      <c r="Y28" s="3232"/>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2"/>
      <c r="Q29" s="1813" t="str">
        <f t="shared" si="11"/>
        <v>成新率</v>
      </c>
      <c r="R29" s="774" t="s">
        <v>17</v>
      </c>
      <c r="S29" s="775" t="e">
        <f t="shared" si="12"/>
        <v>#N/A</v>
      </c>
      <c r="T29" s="774" t="s">
        <v>17</v>
      </c>
      <c r="U29" s="775" t="e">
        <f t="shared" si="13"/>
        <v>#N/A</v>
      </c>
      <c r="V29" s="774" t="s">
        <v>17</v>
      </c>
      <c r="W29" s="775" t="e">
        <f t="shared" si="14"/>
        <v>#N/A</v>
      </c>
      <c r="X29" s="1816"/>
      <c r="Y29" s="3232"/>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2"/>
      <c r="Q30" s="1813" t="str">
        <f t="shared" si="11"/>
        <v>物业等级</v>
      </c>
      <c r="R30" s="774" t="s">
        <v>17</v>
      </c>
      <c r="S30" s="775">
        <f t="shared" si="12"/>
        <v>100</v>
      </c>
      <c r="T30" s="774" t="s">
        <v>17</v>
      </c>
      <c r="U30" s="775">
        <f t="shared" si="13"/>
        <v>100</v>
      </c>
      <c r="V30" s="774" t="s">
        <v>17</v>
      </c>
      <c r="W30" s="775">
        <f t="shared" si="14"/>
        <v>100</v>
      </c>
      <c r="X30" s="1816"/>
      <c r="Y30" s="3232"/>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2"/>
      <c r="Q31" s="1798"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2" t="s">
        <v>2566</v>
      </c>
      <c r="Q32" s="1813" t="str">
        <f t="shared" si="11"/>
        <v>车位类型</v>
      </c>
      <c r="R32" s="774" t="s">
        <v>17</v>
      </c>
      <c r="S32" s="775">
        <f t="shared" si="12"/>
        <v>100</v>
      </c>
      <c r="T32" s="774" t="s">
        <v>17</v>
      </c>
      <c r="U32" s="775">
        <f t="shared" si="13"/>
        <v>100</v>
      </c>
      <c r="V32" s="774" t="s">
        <v>17</v>
      </c>
      <c r="W32" s="775">
        <f t="shared" si="14"/>
        <v>100</v>
      </c>
      <c r="X32" s="1816"/>
      <c r="Y32" s="3232"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2"/>
      <c r="Q33" s="1813" t="str">
        <f t="shared" si="11"/>
        <v>是否直接入户</v>
      </c>
      <c r="R33" s="774" t="s">
        <v>17</v>
      </c>
      <c r="S33" s="775">
        <f t="shared" si="12"/>
        <v>100</v>
      </c>
      <c r="T33" s="774" t="s">
        <v>17</v>
      </c>
      <c r="U33" s="775">
        <f t="shared" si="13"/>
        <v>100</v>
      </c>
      <c r="V33" s="774" t="s">
        <v>17</v>
      </c>
      <c r="W33" s="775">
        <f t="shared" si="14"/>
        <v>100</v>
      </c>
      <c r="X33" s="1816"/>
      <c r="Y33" s="323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2"/>
      <c r="Q36" s="1813">
        <f t="shared" si="11"/>
        <v>111</v>
      </c>
      <c r="R36" s="774" t="s">
        <v>17</v>
      </c>
      <c r="S36" s="775">
        <f t="shared" si="12"/>
        <v>100</v>
      </c>
      <c r="T36" s="774" t="s">
        <v>17</v>
      </c>
      <c r="U36" s="775">
        <f t="shared" si="13"/>
        <v>100</v>
      </c>
      <c r="V36" s="774" t="s">
        <v>17</v>
      </c>
      <c r="W36" s="775">
        <f t="shared" si="14"/>
        <v>100</v>
      </c>
      <c r="X36" s="1816"/>
      <c r="Y36" s="3232"/>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22" t="str">
        <f>A39</f>
        <v>估价对象XX用房的比较价值（楼面单价，元/平方米）</v>
      </c>
      <c r="Q39" s="3223"/>
      <c r="R39" s="3224" t="e">
        <f>IF(F1="售价",ROUND(AVERAGE(R38:V38),0),ROUND(AVERAGE(R38:V38),1))</f>
        <v>#DIV/0!</v>
      </c>
      <c r="S39" s="3224"/>
      <c r="T39" s="3224"/>
      <c r="U39" s="3224"/>
      <c r="V39" s="3224"/>
      <c r="W39" s="322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3" t="s">
        <v>2550</v>
      </c>
      <c r="Q7" s="3221"/>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5" t="s">
        <v>2556</v>
      </c>
      <c r="Q9" s="1798"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2561</v>
      </c>
      <c r="Q14" s="1813" t="str">
        <f t="shared" si="6"/>
        <v>交通便捷度</v>
      </c>
      <c r="R14" s="774" t="s">
        <v>17</v>
      </c>
      <c r="S14" s="775">
        <f t="shared" si="0"/>
        <v>100</v>
      </c>
      <c r="T14" s="774" t="s">
        <v>17</v>
      </c>
      <c r="U14" s="775">
        <f t="shared" si="1"/>
        <v>100</v>
      </c>
      <c r="V14" s="774" t="s">
        <v>17</v>
      </c>
      <c r="W14" s="775">
        <f t="shared" si="2"/>
        <v>100</v>
      </c>
      <c r="X14" s="1816"/>
      <c r="Y14" s="3227"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2"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2"/>
      <c r="Q28" s="1813" t="str">
        <f t="shared" si="11"/>
        <v>物业等级</v>
      </c>
      <c r="R28" s="774" t="s">
        <v>17</v>
      </c>
      <c r="S28" s="775">
        <f t="shared" si="12"/>
        <v>100</v>
      </c>
      <c r="T28" s="774" t="s">
        <v>17</v>
      </c>
      <c r="U28" s="775">
        <f t="shared" si="13"/>
        <v>100</v>
      </c>
      <c r="V28" s="774" t="s">
        <v>17</v>
      </c>
      <c r="W28" s="775">
        <f t="shared" si="14"/>
        <v>100</v>
      </c>
      <c r="X28" s="1816"/>
      <c r="Y28" s="3232"/>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2"/>
      <c r="Q29" s="1813" t="str">
        <f t="shared" si="11"/>
        <v>有无电梯</v>
      </c>
      <c r="R29" s="774" t="s">
        <v>17</v>
      </c>
      <c r="S29" s="775">
        <f t="shared" si="12"/>
        <v>100</v>
      </c>
      <c r="T29" s="774" t="s">
        <v>17</v>
      </c>
      <c r="U29" s="775">
        <f t="shared" si="13"/>
        <v>100</v>
      </c>
      <c r="V29" s="774" t="s">
        <v>17</v>
      </c>
      <c r="W29" s="775">
        <f t="shared" si="14"/>
        <v>100</v>
      </c>
      <c r="X29" s="1816"/>
      <c r="Y29" s="3232"/>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2"/>
      <c r="Q30" s="1813" t="str">
        <f t="shared" si="11"/>
        <v>建筑面积</v>
      </c>
      <c r="R30" s="774" t="s">
        <v>17</v>
      </c>
      <c r="S30" s="775" t="e">
        <f t="shared" si="12"/>
        <v>#N/A</v>
      </c>
      <c r="T30" s="774" t="s">
        <v>17</v>
      </c>
      <c r="U30" s="775" t="e">
        <f t="shared" si="13"/>
        <v>#N/A</v>
      </c>
      <c r="V30" s="774" t="s">
        <v>17</v>
      </c>
      <c r="W30" s="775" t="e">
        <f t="shared" si="14"/>
        <v>#N/A</v>
      </c>
      <c r="X30" s="1816"/>
      <c r="Y30" s="3232"/>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2"/>
      <c r="Q31" s="1798"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2" t="s">
        <v>2566</v>
      </c>
      <c r="Q32" s="1813">
        <f t="shared" si="11"/>
        <v>111</v>
      </c>
      <c r="R32" s="774" t="s">
        <v>17</v>
      </c>
      <c r="S32" s="775">
        <f t="shared" si="12"/>
        <v>100</v>
      </c>
      <c r="T32" s="774" t="s">
        <v>17</v>
      </c>
      <c r="U32" s="775">
        <f t="shared" si="13"/>
        <v>100</v>
      </c>
      <c r="V32" s="774" t="s">
        <v>17</v>
      </c>
      <c r="W32" s="775">
        <f t="shared" si="14"/>
        <v>100</v>
      </c>
      <c r="X32" s="1816"/>
      <c r="Y32" s="3232"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2"/>
      <c r="Q33" s="1813">
        <f t="shared" si="11"/>
        <v>111</v>
      </c>
      <c r="R33" s="774" t="s">
        <v>17</v>
      </c>
      <c r="S33" s="775">
        <f t="shared" si="12"/>
        <v>100</v>
      </c>
      <c r="T33" s="774" t="s">
        <v>17</v>
      </c>
      <c r="U33" s="775">
        <f t="shared" si="13"/>
        <v>100</v>
      </c>
      <c r="V33" s="774" t="s">
        <v>17</v>
      </c>
      <c r="W33" s="775">
        <f t="shared" si="14"/>
        <v>100</v>
      </c>
      <c r="X33" s="1816"/>
      <c r="Y33" s="3232"/>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22" t="str">
        <f>A37</f>
        <v>估价对象XX用房的比较价值（楼面单价，元/平方米）</v>
      </c>
      <c r="Q37" s="3223"/>
      <c r="R37" s="3224" t="e">
        <f>IF(F1="售价",ROUND(AVERAGE(R36:V36),0),ROUND(AVERAGE(R36:V36),1))</f>
        <v>#DIV/0!</v>
      </c>
      <c r="S37" s="3224"/>
      <c r="T37" s="3224"/>
      <c r="U37" s="3224"/>
      <c r="V37" s="3224"/>
      <c r="W37" s="322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8" t="s">
        <v>2647</v>
      </c>
      <c r="D4" s="3209"/>
      <c r="E4" s="3210" t="s">
        <v>2648</v>
      </c>
      <c r="F4" s="3211"/>
      <c r="G4" s="3208" t="s">
        <v>2649</v>
      </c>
      <c r="H4" s="3209"/>
      <c r="I4" s="3208" t="s">
        <v>2650</v>
      </c>
      <c r="J4" s="3209"/>
      <c r="K4" s="610" t="s">
        <v>2651</v>
      </c>
      <c r="L4" s="1133"/>
      <c r="M4" s="1134"/>
      <c r="N4" s="1134"/>
      <c r="O4" s="1134"/>
      <c r="P4" s="3212" t="s">
        <v>2652</v>
      </c>
      <c r="Q4" s="3213"/>
      <c r="R4" s="3195" t="s">
        <v>2648</v>
      </c>
      <c r="S4" s="3196"/>
      <c r="T4" s="3195" t="s">
        <v>2649</v>
      </c>
      <c r="U4" s="3196"/>
      <c r="V4" s="3220" t="s">
        <v>2650</v>
      </c>
      <c r="W4" s="3220"/>
      <c r="X4" s="1816"/>
      <c r="Y4" s="3195" t="s">
        <v>2652</v>
      </c>
      <c r="Z4" s="3196"/>
      <c r="AA4" s="3190" t="s">
        <v>2648</v>
      </c>
      <c r="AB4" s="3191" t="s">
        <v>2649</v>
      </c>
      <c r="AC4" s="3190" t="s">
        <v>2650</v>
      </c>
    </row>
    <row r="5" spans="1:30" ht="15">
      <c r="A5" s="404"/>
      <c r="B5" s="405"/>
      <c r="C5" s="3201" t="s">
        <v>2543</v>
      </c>
      <c r="D5" s="3202"/>
      <c r="E5" s="3199" t="s">
        <v>2544</v>
      </c>
      <c r="F5" s="3200"/>
      <c r="G5" s="3201" t="s">
        <v>2545</v>
      </c>
      <c r="H5" s="3202"/>
      <c r="I5" s="3201" t="s">
        <v>2546</v>
      </c>
      <c r="J5" s="3202"/>
      <c r="K5" s="610"/>
      <c r="L5" s="1133"/>
      <c r="M5" s="1134"/>
      <c r="N5" s="1134"/>
      <c r="O5" s="1134"/>
      <c r="P5" s="3214"/>
      <c r="Q5" s="3215"/>
      <c r="R5" s="3197"/>
      <c r="S5" s="3198"/>
      <c r="T5" s="3197"/>
      <c r="U5" s="3198"/>
      <c r="V5" s="3220"/>
      <c r="W5" s="3220"/>
      <c r="X5" s="1816"/>
      <c r="Y5" s="3197"/>
      <c r="Z5" s="3198"/>
      <c r="AA5" s="3191"/>
      <c r="AB5" s="3191"/>
      <c r="AC5" s="3191"/>
    </row>
    <row r="6" spans="1:30" ht="15.75" thickBot="1">
      <c r="A6" s="406"/>
      <c r="B6" s="407"/>
      <c r="C6" s="3203" t="s">
        <v>2547</v>
      </c>
      <c r="D6" s="3204"/>
      <c r="E6" s="3205" t="s">
        <v>2547</v>
      </c>
      <c r="F6" s="3206"/>
      <c r="G6" s="3203" t="s">
        <v>2547</v>
      </c>
      <c r="H6" s="3204"/>
      <c r="I6" s="3203" t="s">
        <v>2547</v>
      </c>
      <c r="J6" s="3204"/>
      <c r="K6" s="610" t="s">
        <v>2548</v>
      </c>
      <c r="L6" s="1133"/>
      <c r="M6" s="1134"/>
      <c r="N6" s="1134"/>
      <c r="O6" s="1134"/>
      <c r="P6" s="3216"/>
      <c r="Q6" s="3217"/>
      <c r="R6" s="3197"/>
      <c r="S6" s="3198"/>
      <c r="T6" s="3218"/>
      <c r="U6" s="3219"/>
      <c r="V6" s="3220"/>
      <c r="W6" s="3220"/>
      <c r="X6" s="1816"/>
      <c r="Y6" s="3218"/>
      <c r="Z6" s="3219"/>
      <c r="AA6" s="3192"/>
      <c r="AB6" s="3192"/>
      <c r="AC6" s="3192"/>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25"/>
      <c r="Q10" s="1798" t="str">
        <f t="shared" si="6"/>
        <v>土地使用年限（年）</v>
      </c>
      <c r="R10" s="770" t="s">
        <v>17</v>
      </c>
      <c r="S10" s="771">
        <f t="shared" si="0"/>
        <v>106</v>
      </c>
      <c r="T10" s="770" t="s">
        <v>17</v>
      </c>
      <c r="U10" s="771">
        <f t="shared" si="1"/>
        <v>106</v>
      </c>
      <c r="V10" s="770" t="s">
        <v>17</v>
      </c>
      <c r="W10" s="771">
        <f t="shared" si="2"/>
        <v>106</v>
      </c>
      <c r="X10" s="772"/>
      <c r="Y10" s="3040"/>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5"/>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2561</v>
      </c>
      <c r="Q15" s="1813" t="str">
        <f t="shared" si="6"/>
        <v>居住社区成熟度</v>
      </c>
      <c r="R15" s="774" t="s">
        <v>17</v>
      </c>
      <c r="S15" s="775">
        <f t="shared" si="0"/>
        <v>100</v>
      </c>
      <c r="T15" s="774" t="s">
        <v>17</v>
      </c>
      <c r="U15" s="775">
        <f t="shared" si="1"/>
        <v>100</v>
      </c>
      <c r="V15" s="774" t="s">
        <v>17</v>
      </c>
      <c r="W15" s="775">
        <f t="shared" si="2"/>
        <v>100</v>
      </c>
      <c r="X15" s="1816"/>
      <c r="Y15" s="3227"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28"/>
      <c r="Q24" s="1813"/>
      <c r="R24" s="774"/>
      <c r="S24" s="775"/>
      <c r="T24" s="774"/>
      <c r="U24" s="775"/>
      <c r="V24" s="774"/>
      <c r="W24" s="775"/>
      <c r="X24" s="1816"/>
      <c r="Y24" s="3228"/>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8"/>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8"/>
      <c r="Q32" s="1813" t="str">
        <f t="shared" si="8"/>
        <v>毗邻道路的类型与等级</v>
      </c>
      <c r="R32" s="774" t="s">
        <v>17</v>
      </c>
      <c r="S32" s="775">
        <f t="shared" si="10"/>
        <v>100</v>
      </c>
      <c r="T32" s="774" t="s">
        <v>17</v>
      </c>
      <c r="U32" s="775">
        <f t="shared" si="11"/>
        <v>100</v>
      </c>
      <c r="V32" s="774" t="s">
        <v>17</v>
      </c>
      <c r="W32" s="775">
        <f t="shared" si="12"/>
        <v>100</v>
      </c>
      <c r="X32" s="1816"/>
      <c r="Y32" s="3228"/>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2566</v>
      </c>
      <c r="Q36" s="1813">
        <f t="shared" si="8"/>
        <v>111</v>
      </c>
      <c r="R36" s="774" t="s">
        <v>17</v>
      </c>
      <c r="S36" s="775">
        <f t="shared" si="10"/>
        <v>100</v>
      </c>
      <c r="T36" s="774" t="s">
        <v>17</v>
      </c>
      <c r="U36" s="775">
        <f t="shared" si="11"/>
        <v>100</v>
      </c>
      <c r="V36" s="774" t="s">
        <v>17</v>
      </c>
      <c r="W36" s="775">
        <f t="shared" si="12"/>
        <v>100</v>
      </c>
      <c r="X36" s="1816"/>
      <c r="Y36" s="3232"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2"/>
      <c r="Q37" s="1813">
        <f t="shared" si="8"/>
        <v>111</v>
      </c>
      <c r="R37" s="777" t="s">
        <v>17</v>
      </c>
      <c r="S37" s="778">
        <f t="shared" si="10"/>
        <v>100</v>
      </c>
      <c r="T37" s="777" t="s">
        <v>17</v>
      </c>
      <c r="U37" s="778">
        <f t="shared" si="11"/>
        <v>100</v>
      </c>
      <c r="V37" s="777" t="s">
        <v>17</v>
      </c>
      <c r="W37" s="778">
        <f t="shared" si="12"/>
        <v>100</v>
      </c>
      <c r="X37" s="779"/>
      <c r="Y37" s="3232"/>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2"/>
      <c r="Q38" s="1813" t="str">
        <f>B38</f>
        <v>宗地面积</v>
      </c>
      <c r="R38" s="774" t="s">
        <v>17</v>
      </c>
      <c r="S38" s="775" t="e">
        <f t="shared" si="10"/>
        <v>#N/A</v>
      </c>
      <c r="T38" s="774" t="s">
        <v>17</v>
      </c>
      <c r="U38" s="775" t="e">
        <f t="shared" si="11"/>
        <v>#N/A</v>
      </c>
      <c r="V38" s="774" t="s">
        <v>17</v>
      </c>
      <c r="W38" s="775" t="e">
        <f t="shared" si="12"/>
        <v>#N/A</v>
      </c>
      <c r="X38" s="1816"/>
      <c r="Y38" s="3232"/>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32"/>
      <c r="Q39" s="1813" t="str">
        <f t="shared" ref="Q39:Q45" si="14">B39</f>
        <v>宗地形状</v>
      </c>
      <c r="R39" s="774" t="s">
        <v>17</v>
      </c>
      <c r="S39" s="775">
        <f t="shared" si="10"/>
        <v>100</v>
      </c>
      <c r="T39" s="774" t="s">
        <v>17</v>
      </c>
      <c r="U39" s="775">
        <f t="shared" si="11"/>
        <v>100</v>
      </c>
      <c r="V39" s="774" t="s">
        <v>17</v>
      </c>
      <c r="W39" s="775">
        <f t="shared" si="12"/>
        <v>100</v>
      </c>
      <c r="X39" s="1816"/>
      <c r="Y39" s="3232"/>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32"/>
      <c r="Q40" s="1813" t="str">
        <f t="shared" si="14"/>
        <v>临街宽度及深度</v>
      </c>
      <c r="R40" s="774" t="s">
        <v>17</v>
      </c>
      <c r="S40" s="775">
        <f t="shared" si="10"/>
        <v>100</v>
      </c>
      <c r="T40" s="774" t="s">
        <v>17</v>
      </c>
      <c r="U40" s="775">
        <f t="shared" si="11"/>
        <v>100</v>
      </c>
      <c r="V40" s="774" t="s">
        <v>17</v>
      </c>
      <c r="W40" s="775">
        <f t="shared" si="12"/>
        <v>100</v>
      </c>
      <c r="X40" s="1816"/>
      <c r="Y40" s="3232"/>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32"/>
      <c r="Q41" s="1813"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32" t="s">
        <v>2566</v>
      </c>
      <c r="Q42" s="1813" t="str">
        <f t="shared" si="14"/>
        <v>工程地质条件</v>
      </c>
      <c r="R42" s="774" t="s">
        <v>17</v>
      </c>
      <c r="S42" s="775">
        <f t="shared" si="10"/>
        <v>100</v>
      </c>
      <c r="T42" s="774" t="s">
        <v>17</v>
      </c>
      <c r="U42" s="775">
        <f t="shared" si="11"/>
        <v>100</v>
      </c>
      <c r="V42" s="774" t="s">
        <v>17</v>
      </c>
      <c r="W42" s="775">
        <f t="shared" si="12"/>
        <v>100</v>
      </c>
      <c r="X42" s="1816"/>
      <c r="Y42" s="3232"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2"/>
      <c r="Q43" s="1813">
        <f t="shared" si="14"/>
        <v>111</v>
      </c>
      <c r="R43" s="774" t="s">
        <v>17</v>
      </c>
      <c r="S43" s="775">
        <f t="shared" si="10"/>
        <v>100</v>
      </c>
      <c r="T43" s="774" t="s">
        <v>17</v>
      </c>
      <c r="U43" s="775">
        <f t="shared" si="11"/>
        <v>100</v>
      </c>
      <c r="V43" s="774" t="s">
        <v>17</v>
      </c>
      <c r="W43" s="775">
        <f t="shared" si="12"/>
        <v>100</v>
      </c>
      <c r="X43" s="1816"/>
      <c r="Y43" s="323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2"/>
      <c r="Q44" s="1813">
        <f t="shared" si="14"/>
        <v>111</v>
      </c>
      <c r="R44" s="774" t="s">
        <v>17</v>
      </c>
      <c r="S44" s="775">
        <f t="shared" si="10"/>
        <v>100</v>
      </c>
      <c r="T44" s="774" t="s">
        <v>17</v>
      </c>
      <c r="U44" s="775">
        <f t="shared" si="11"/>
        <v>100</v>
      </c>
      <c r="V44" s="774" t="s">
        <v>17</v>
      </c>
      <c r="W44" s="775">
        <f t="shared" si="12"/>
        <v>100</v>
      </c>
      <c r="X44" s="1816"/>
      <c r="Y44" s="3232"/>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2"/>
      <c r="Q45" s="1813">
        <f t="shared" si="14"/>
        <v>111</v>
      </c>
      <c r="R45" s="777" t="s">
        <v>17</v>
      </c>
      <c r="S45" s="778">
        <f t="shared" si="10"/>
        <v>100</v>
      </c>
      <c r="T45" s="777" t="s">
        <v>17</v>
      </c>
      <c r="U45" s="778">
        <f t="shared" si="11"/>
        <v>100</v>
      </c>
      <c r="V45" s="777" t="s">
        <v>17</v>
      </c>
      <c r="W45" s="778">
        <f t="shared" si="12"/>
        <v>100</v>
      </c>
      <c r="X45" s="779"/>
      <c r="Y45" s="3232"/>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225" t="str">
        <f>A46</f>
        <v>成交单价</v>
      </c>
      <c r="Q46" s="3225"/>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5" t="str">
        <f>A47</f>
        <v>比较价值（元/平方米）</v>
      </c>
      <c r="Q47" s="3225"/>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2" t="str">
        <f>A48</f>
        <v>估价对象XX用房的比较价值（楼面单价，元/平方米）</v>
      </c>
      <c r="Q48" s="3223"/>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208" t="s">
        <v>2765</v>
      </c>
      <c r="H55" s="3254"/>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3480.91</v>
      </c>
      <c r="F56" s="1106" t="e">
        <f t="shared" ref="F56:F65" si="15">ROUND(B56*E56/10000,0)</f>
        <v>#DIV/0!</v>
      </c>
      <c r="G56" s="3207"/>
      <c r="H56" s="3225"/>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5"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3480.91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1.1499999999999999</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6"/>
      <c r="B4" s="3277"/>
      <c r="C4" s="3277"/>
      <c r="D4" s="3278"/>
      <c r="E4" s="3278"/>
      <c r="F4" s="3278"/>
      <c r="G4" s="3278"/>
      <c r="H4" s="3278"/>
      <c r="I4" s="3278"/>
      <c r="J4" s="3279"/>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62"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2834</v>
      </c>
      <c r="X7" s="1607" t="str">
        <f>G2</f>
        <v>八级</v>
      </c>
      <c r="Y7" s="1607" t="s">
        <v>2835</v>
      </c>
      <c r="Z7" s="1608">
        <f>G3</f>
        <v>1.1499999999999999</v>
      </c>
      <c r="AA7" s="1609"/>
      <c r="AB7" s="1609"/>
      <c r="AC7" s="1610"/>
      <c r="AD7" s="1611"/>
      <c r="AE7" s="1611"/>
      <c r="AF7" s="1611"/>
      <c r="AG7" s="1611"/>
      <c r="AH7" s="1611"/>
      <c r="AI7" s="1611"/>
      <c r="AJ7" s="1612"/>
    </row>
    <row r="8" spans="1:36" ht="15">
      <c r="A8" s="3263"/>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3" t="s">
        <v>2839</v>
      </c>
      <c r="X8" s="327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3"/>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3"/>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5" t="s">
        <v>2863</v>
      </c>
      <c r="X11" s="1617" t="s">
        <v>2864</v>
      </c>
      <c r="Y11" s="1618">
        <f>$G$3</f>
        <v>1.1499999999999999</v>
      </c>
      <c r="Z11" s="1618">
        <f t="shared" ref="Z11:AJ11" si="3">$G$3</f>
        <v>1.1499999999999999</v>
      </c>
      <c r="AA11" s="1618">
        <f t="shared" si="3"/>
        <v>1.1499999999999999</v>
      </c>
      <c r="AB11" s="1618">
        <f t="shared" si="3"/>
        <v>1.1499999999999999</v>
      </c>
      <c r="AC11" s="1618">
        <f t="shared" si="3"/>
        <v>1.1499999999999999</v>
      </c>
      <c r="AD11" s="1618">
        <f t="shared" si="3"/>
        <v>1.1499999999999999</v>
      </c>
      <c r="AE11" s="1618">
        <f t="shared" si="3"/>
        <v>1.1499999999999999</v>
      </c>
      <c r="AF11" s="1618">
        <f t="shared" si="3"/>
        <v>1.1499999999999999</v>
      </c>
      <c r="AG11" s="1618">
        <f t="shared" si="3"/>
        <v>1.1499999999999999</v>
      </c>
      <c r="AH11" s="1618">
        <f t="shared" si="3"/>
        <v>1.1499999999999999</v>
      </c>
      <c r="AI11" s="1618">
        <f t="shared" si="3"/>
        <v>1.1499999999999999</v>
      </c>
      <c r="AJ11" s="1618">
        <f t="shared" si="3"/>
        <v>1.1499999999999999</v>
      </c>
    </row>
    <row r="12" spans="1:36" ht="25.5" thickBot="1">
      <c r="A12" s="3262"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0"/>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75"/>
      <c r="X13" s="1619"/>
      <c r="Y13" s="1616">
        <f>(-0.163*(Y12^2)-0.59*Y12+7617)*(10^(-4))/Y11</f>
        <v>0.66234782608695664</v>
      </c>
      <c r="Z13" s="1616">
        <f t="shared" ref="Z13:AJ13" si="5">(-0.163*(Z12^2)-0.59*Z12+7617)*(10^(-4))/Z11</f>
        <v>0.66234782608695664</v>
      </c>
      <c r="AA13" s="1616">
        <f t="shared" si="5"/>
        <v>0.66234782608695664</v>
      </c>
      <c r="AB13" s="1616">
        <f t="shared" si="5"/>
        <v>0.66234782608695664</v>
      </c>
      <c r="AC13" s="1616">
        <f t="shared" si="5"/>
        <v>0.66234782608695664</v>
      </c>
      <c r="AD13" s="1616">
        <f t="shared" si="5"/>
        <v>0.66234782608695664</v>
      </c>
      <c r="AE13" s="1616">
        <f t="shared" si="5"/>
        <v>0.66234782608695664</v>
      </c>
      <c r="AF13" s="1616">
        <f t="shared" si="5"/>
        <v>0.66234782608695664</v>
      </c>
      <c r="AG13" s="1616">
        <f t="shared" si="5"/>
        <v>0.66234782608695664</v>
      </c>
      <c r="AH13" s="1616">
        <f t="shared" si="5"/>
        <v>0.66234782608695664</v>
      </c>
      <c r="AI13" s="1616">
        <f t="shared" si="5"/>
        <v>0.66234782608695664</v>
      </c>
      <c r="AJ13" s="1616">
        <f t="shared" si="5"/>
        <v>0.66234782608695664</v>
      </c>
    </row>
    <row r="14" spans="1:36" ht="15">
      <c r="A14" s="3280"/>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1"/>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3"/>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0.44440000000000002</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0"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72"/>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64" t="s">
        <v>2973</v>
      </c>
      <c r="B90" s="3264"/>
      <c r="C90" s="3264"/>
      <c r="D90" s="3264"/>
      <c r="E90" s="3264"/>
      <c r="F90" s="3264"/>
      <c r="G90" s="3264"/>
      <c r="H90" s="3264"/>
      <c r="I90" s="3264"/>
      <c r="J90" s="3264"/>
      <c r="K90" s="2892"/>
      <c r="L90" s="2892"/>
      <c r="M90" s="2892"/>
      <c r="N90" s="2892"/>
    </row>
    <row r="91" spans="1:37">
      <c r="A91" s="3266" t="s">
        <v>2974</v>
      </c>
      <c r="B91" s="3266" t="s">
        <v>2975</v>
      </c>
      <c r="C91" s="2846" t="s">
        <v>2976</v>
      </c>
      <c r="D91" s="2847"/>
      <c r="E91" s="2847"/>
      <c r="F91" s="2847"/>
      <c r="G91" s="2847"/>
      <c r="H91" s="2847"/>
      <c r="I91" s="2847"/>
      <c r="J91" s="2893"/>
      <c r="K91" s="2894"/>
      <c r="L91" s="2894"/>
      <c r="M91" s="2894"/>
      <c r="N91" s="2894"/>
    </row>
    <row r="92" spans="1:37">
      <c r="A92" s="3266"/>
      <c r="B92" s="326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7"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8"/>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7" t="s">
        <v>2978</v>
      </c>
      <c r="B101" s="2899" t="s">
        <v>2979</v>
      </c>
      <c r="C101" s="2900">
        <f>$G$3</f>
        <v>1.1499999999999999</v>
      </c>
      <c r="D101" s="2900">
        <f t="shared" ref="D101:N101" si="31">$G$3</f>
        <v>1.1499999999999999</v>
      </c>
      <c r="E101" s="2900">
        <f t="shared" si="31"/>
        <v>1.1499999999999999</v>
      </c>
      <c r="F101" s="2900">
        <f t="shared" si="31"/>
        <v>1.1499999999999999</v>
      </c>
      <c r="G101" s="2900">
        <f t="shared" si="31"/>
        <v>1.1499999999999999</v>
      </c>
      <c r="H101" s="2900">
        <f t="shared" si="31"/>
        <v>1.1499999999999999</v>
      </c>
      <c r="I101" s="2900">
        <f t="shared" si="31"/>
        <v>1.1499999999999999</v>
      </c>
      <c r="J101" s="2900">
        <f t="shared" si="31"/>
        <v>1.1499999999999999</v>
      </c>
      <c r="K101" s="2900">
        <f t="shared" si="31"/>
        <v>1.1499999999999999</v>
      </c>
      <c r="L101" s="2900">
        <f t="shared" si="31"/>
        <v>1.1499999999999999</v>
      </c>
      <c r="M101" s="2900">
        <f t="shared" si="31"/>
        <v>1.1499999999999999</v>
      </c>
      <c r="N101" s="2900">
        <f t="shared" si="31"/>
        <v>1.1499999999999999</v>
      </c>
    </row>
    <row r="102" spans="1:14">
      <c r="A102" s="3268"/>
      <c r="B102" s="2895">
        <v>1</v>
      </c>
      <c r="C102" s="2896">
        <f>1.9362/C101</f>
        <v>1.6836521739130434</v>
      </c>
      <c r="D102" s="2896">
        <f>1.9362/D101</f>
        <v>1.6836521739130434</v>
      </c>
      <c r="E102" s="2896">
        <f>1.8629/E101</f>
        <v>1.6199130434782609</v>
      </c>
      <c r="F102" s="2896">
        <f>1.8629/F101</f>
        <v>1.6199130434782609</v>
      </c>
      <c r="G102" s="2896">
        <f>1.8629/G101</f>
        <v>1.6199130434782609</v>
      </c>
      <c r="H102" s="2896">
        <f>1.8629/H101</f>
        <v>1.6199130434782609</v>
      </c>
      <c r="I102" s="2896">
        <f>1.8629/I101</f>
        <v>1.6199130434782609</v>
      </c>
      <c r="J102" s="2896">
        <f>1.942/J101</f>
        <v>1.6886956521739132</v>
      </c>
      <c r="K102" s="2896">
        <f>1.942/K101</f>
        <v>1.6886956521739132</v>
      </c>
      <c r="L102" s="2896">
        <f>1.942/L101</f>
        <v>1.6886956521739132</v>
      </c>
      <c r="M102" s="2896">
        <f>1.942/M101</f>
        <v>1.6886956521739132</v>
      </c>
      <c r="N102" s="2896">
        <f>1.942/N101</f>
        <v>1.6886956521739132</v>
      </c>
    </row>
    <row r="103" spans="1:14">
      <c r="A103" s="3268"/>
      <c r="B103" s="2895">
        <v>2</v>
      </c>
      <c r="C103" s="2896">
        <f>1.4198/C101</f>
        <v>1.234608695652174</v>
      </c>
      <c r="D103" s="2896">
        <f>1.4198/D101</f>
        <v>1.234608695652174</v>
      </c>
      <c r="E103" s="2896">
        <f>1.3372/E101</f>
        <v>1.1627826086956523</v>
      </c>
      <c r="F103" s="2896">
        <f>1.3372/F101</f>
        <v>1.1627826086956523</v>
      </c>
      <c r="G103" s="2896">
        <f>1.3372/G101</f>
        <v>1.1627826086956523</v>
      </c>
      <c r="H103" s="2896">
        <f>1.3372/H101</f>
        <v>1.1627826086956523</v>
      </c>
      <c r="I103" s="2896">
        <f>1.3372/I101</f>
        <v>1.1627826086956523</v>
      </c>
      <c r="J103" s="2896">
        <f>1.2799/J101</f>
        <v>1.1129565217391306</v>
      </c>
      <c r="K103" s="2896">
        <f>1.2799/K101</f>
        <v>1.1129565217391306</v>
      </c>
      <c r="L103" s="2896">
        <f>1.2799/L101</f>
        <v>1.1129565217391306</v>
      </c>
      <c r="M103" s="2896">
        <f>1.2799/M101</f>
        <v>1.1129565217391306</v>
      </c>
      <c r="N103" s="2896">
        <f>1.2799/N101</f>
        <v>1.1129565217391306</v>
      </c>
    </row>
    <row r="104" spans="1:14">
      <c r="A104" s="3268"/>
      <c r="B104" s="2895">
        <v>3</v>
      </c>
      <c r="C104" s="2896">
        <f>1.1594/C101</f>
        <v>1.0081739130434784</v>
      </c>
      <c r="D104" s="2896">
        <f>1.1594/D101</f>
        <v>1.0081739130434784</v>
      </c>
      <c r="E104" s="2896">
        <f>1.0788/E101</f>
        <v>0.93808695652173923</v>
      </c>
      <c r="F104" s="2896">
        <f>1.0788/F101</f>
        <v>0.93808695652173923</v>
      </c>
      <c r="G104" s="2896">
        <f>1.0788/G101</f>
        <v>0.93808695652173923</v>
      </c>
      <c r="H104" s="2896">
        <f>1.0788/H101</f>
        <v>0.93808695652173923</v>
      </c>
      <c r="I104" s="2896">
        <f>1.0788/I101</f>
        <v>0.93808695652173923</v>
      </c>
      <c r="J104" s="2896">
        <f>1.0072/J101</f>
        <v>0.87582608695652187</v>
      </c>
      <c r="K104" s="2896">
        <f>1.0072/K101</f>
        <v>0.87582608695652187</v>
      </c>
      <c r="L104" s="2896">
        <f>1.0072/L101</f>
        <v>0.87582608695652187</v>
      </c>
      <c r="M104" s="2896">
        <f>1.0072/M101</f>
        <v>0.87582608695652187</v>
      </c>
      <c r="N104" s="2896">
        <f>1.0072/N101</f>
        <v>0.87582608695652187</v>
      </c>
    </row>
    <row r="105" spans="1:14">
      <c r="A105" s="3268"/>
      <c r="B105" s="2895">
        <v>4</v>
      </c>
      <c r="C105" s="2896">
        <f>0.9622/C101</f>
        <v>0.83669565217391317</v>
      </c>
      <c r="D105" s="2896">
        <f>0.9622/D101</f>
        <v>0.83669565217391317</v>
      </c>
      <c r="E105" s="2896">
        <f>0.8656/E101</f>
        <v>0.7526956521739131</v>
      </c>
      <c r="F105" s="2896">
        <f>0.8656/F101</f>
        <v>0.7526956521739131</v>
      </c>
      <c r="G105" s="2896">
        <f>0.8656/G101</f>
        <v>0.7526956521739131</v>
      </c>
      <c r="H105" s="2896">
        <f>0.8656/H101</f>
        <v>0.7526956521739131</v>
      </c>
      <c r="I105" s="2896">
        <f>0.8656/I101</f>
        <v>0.7526956521739131</v>
      </c>
      <c r="J105" s="2896">
        <f>0.7525/J101</f>
        <v>0.65434782608695652</v>
      </c>
      <c r="K105" s="2896">
        <f>0.7525/K101</f>
        <v>0.65434782608695652</v>
      </c>
      <c r="L105" s="2896">
        <f>0.7525/L101</f>
        <v>0.65434782608695652</v>
      </c>
      <c r="M105" s="2896">
        <f>0.7525/M101</f>
        <v>0.65434782608695652</v>
      </c>
      <c r="N105" s="2896">
        <f>0.7525/N101</f>
        <v>0.65434782608695652</v>
      </c>
    </row>
    <row r="106" spans="1:14">
      <c r="A106" s="3268"/>
      <c r="B106" s="2895">
        <v>5</v>
      </c>
      <c r="C106" s="2896">
        <f>0.8417/C101</f>
        <v>0.73191304347826092</v>
      </c>
      <c r="D106" s="2896">
        <f>0.8417/D101</f>
        <v>0.73191304347826092</v>
      </c>
      <c r="E106" s="2896">
        <f>0.7371/E101</f>
        <v>0.64095652173913042</v>
      </c>
      <c r="F106" s="2896">
        <f>0.7371/F101</f>
        <v>0.64095652173913042</v>
      </c>
      <c r="G106" s="2896">
        <f>0.7371/G101</f>
        <v>0.64095652173913042</v>
      </c>
      <c r="H106" s="2896">
        <f>0.7371/H101</f>
        <v>0.64095652173913042</v>
      </c>
      <c r="I106" s="2896">
        <f>0.7371/I101</f>
        <v>0.64095652173913042</v>
      </c>
      <c r="J106" s="2896">
        <f>0.5659/J101</f>
        <v>0.49208695652173912</v>
      </c>
      <c r="K106" s="2896">
        <f>0.5659/K101</f>
        <v>0.49208695652173912</v>
      </c>
      <c r="L106" s="2896">
        <f>0.5659/L101</f>
        <v>0.49208695652173912</v>
      </c>
      <c r="M106" s="2896">
        <f>0.5659/M101</f>
        <v>0.49208695652173912</v>
      </c>
      <c r="N106" s="2896">
        <f>0.5659/N101</f>
        <v>0.49208695652173912</v>
      </c>
    </row>
    <row r="107" spans="1:14">
      <c r="A107" s="3268"/>
      <c r="B107" s="2895">
        <v>6</v>
      </c>
      <c r="C107" s="2896">
        <f>0.7608/C101</f>
        <v>0.66156521739130447</v>
      </c>
      <c r="D107" s="2896">
        <f>0.7608/D101</f>
        <v>0.66156521739130447</v>
      </c>
      <c r="E107" s="2896">
        <f>0.6482/E101</f>
        <v>0.56365217391304356</v>
      </c>
      <c r="F107" s="2896">
        <f>0.6482/F101</f>
        <v>0.56365217391304356</v>
      </c>
      <c r="G107" s="2896">
        <f>0.6482/G101</f>
        <v>0.56365217391304356</v>
      </c>
      <c r="H107" s="2896">
        <f>0.6482/H101</f>
        <v>0.56365217391304356</v>
      </c>
      <c r="I107" s="2896">
        <f>0.6482/I101</f>
        <v>0.56365217391304356</v>
      </c>
      <c r="J107" s="2896">
        <f>0.4525/J101</f>
        <v>0.39347826086956528</v>
      </c>
      <c r="K107" s="2896">
        <f>0.4525/K101</f>
        <v>0.39347826086956528</v>
      </c>
      <c r="L107" s="2896">
        <f>0.4525/L101</f>
        <v>0.39347826086956528</v>
      </c>
      <c r="M107" s="2896">
        <f>0.4525/M101</f>
        <v>0.39347826086956528</v>
      </c>
      <c r="N107" s="2896">
        <f>0.4525/N101</f>
        <v>0.39347826086956528</v>
      </c>
    </row>
    <row r="108" spans="1:14">
      <c r="A108" s="3268"/>
      <c r="B108" s="3094"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9"/>
      <c r="B109" s="3095"/>
      <c r="C109" s="2898">
        <f>(-0.163*(C108^2)-0.59*C108+7617)*(10^(-4))/C101</f>
        <v>0.66234782608695664</v>
      </c>
      <c r="D109" s="2898">
        <f>(-0.163*(D108^2)-0.59*D108+7617)*(10^(-4))/D101</f>
        <v>0.66234782608695664</v>
      </c>
      <c r="E109" s="2898">
        <f>(-0.161*(E108^2)-7.509*E108+6533)*(10^(-4))/E101</f>
        <v>0.56808695652173913</v>
      </c>
      <c r="F109" s="2898">
        <f>(-0.161*(F108^2)-7.509*F108+6533)*(10^(-4))/F101</f>
        <v>0.56808695652173913</v>
      </c>
      <c r="G109" s="2898">
        <f>(-0.161*(G108^2)-7.509*G108+6533)*(10^(-4))/G101</f>
        <v>0.56808695652173913</v>
      </c>
      <c r="H109" s="2898">
        <f>(-0.161*(H108^2)-7.509*H108+6533)*(10^(-4))/H101</f>
        <v>0.56808695652173913</v>
      </c>
      <c r="I109" s="2898">
        <f>(-0.161*(I108^2)-7.509*I108+6533)*(10^(-4))/I101</f>
        <v>0.56808695652173913</v>
      </c>
      <c r="J109" s="2898">
        <f>(-0.214*(J108^2)-21.991*J108+4665)*(10^(-4))/J101</f>
        <v>0.40565217391304353</v>
      </c>
      <c r="K109" s="2898">
        <f>(-0.214*(K108^2)-21.991*K108+4665)*(10^(-4))/K101</f>
        <v>0.40565217391304353</v>
      </c>
      <c r="L109" s="2898">
        <f>(-0.214*(L108^2)-21.991*L108+4665)*(10^(-4))/L101</f>
        <v>0.40565217391304353</v>
      </c>
      <c r="M109" s="2898">
        <f>(-0.214*(M108^2)-21.991*M108+4665)*(10^(-4))/M101</f>
        <v>0.40565217391304353</v>
      </c>
      <c r="N109" s="2898">
        <f>(-0.214*(N108^2)-21.991*N108+4665)*(10^(-4))/N101</f>
        <v>0.40565217391304353</v>
      </c>
    </row>
    <row r="110" spans="1:14">
      <c r="A110" s="3265" t="s">
        <v>2981</v>
      </c>
      <c r="B110" s="3265"/>
      <c r="C110" s="3265"/>
      <c r="D110" s="3265"/>
      <c r="E110" s="3265"/>
      <c r="F110" s="3265"/>
      <c r="G110" s="3265"/>
      <c r="H110" s="3265"/>
      <c r="I110" s="3265"/>
      <c r="J110" s="3265"/>
      <c r="K110" s="2901"/>
      <c r="L110" s="2901"/>
      <c r="M110" s="2901"/>
      <c r="N110" s="2901"/>
    </row>
    <row r="112" spans="1:14" ht="13.5" thickBot="1"/>
    <row r="113" spans="1:13" ht="25.5" thickBot="1">
      <c r="A113" s="903" t="s">
        <v>2982</v>
      </c>
      <c r="B113" s="1290">
        <f>G3</f>
        <v>1.1499999999999999</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0.92269999999999996</v>
      </c>
      <c r="C115" s="910">
        <f>B115</f>
        <v>0.92269999999999996</v>
      </c>
      <c r="D115" s="910">
        <f>ROUND(0.8331-0.0109*B113,4)</f>
        <v>0.8206</v>
      </c>
      <c r="E115" s="910">
        <f>D115</f>
        <v>0.8206</v>
      </c>
      <c r="F115" s="910">
        <f>E115</f>
        <v>0.8206</v>
      </c>
      <c r="G115" s="910">
        <f>F115</f>
        <v>0.8206</v>
      </c>
      <c r="H115" s="910">
        <f>G115</f>
        <v>0.8206</v>
      </c>
      <c r="I115" s="910">
        <f>ROUND(0.689-0.0155*B113,4)</f>
        <v>0.67120000000000002</v>
      </c>
      <c r="J115" s="910">
        <f t="shared" ref="J115:M118" si="33">I115</f>
        <v>0.67120000000000002</v>
      </c>
      <c r="K115" s="910">
        <f t="shared" si="33"/>
        <v>0.67120000000000002</v>
      </c>
      <c r="L115" s="910">
        <f t="shared" si="33"/>
        <v>0.67120000000000002</v>
      </c>
      <c r="M115" s="911">
        <f t="shared" si="33"/>
        <v>0.67120000000000002</v>
      </c>
    </row>
    <row r="116" spans="1:13">
      <c r="A116" s="909" t="s">
        <v>2879</v>
      </c>
      <c r="B116" s="910">
        <f>ROUND(0.949-0.012*B113,4)</f>
        <v>0.93520000000000003</v>
      </c>
      <c r="C116" s="910">
        <f>B116</f>
        <v>0.93520000000000003</v>
      </c>
      <c r="D116" s="910">
        <f>ROUND(0.8567-0.013*B113,4)</f>
        <v>0.84179999999999999</v>
      </c>
      <c r="E116" s="910">
        <f t="shared" ref="E116:H117" si="34">D116</f>
        <v>0.84179999999999999</v>
      </c>
      <c r="F116" s="910">
        <f t="shared" si="34"/>
        <v>0.84179999999999999</v>
      </c>
      <c r="G116" s="910">
        <f t="shared" si="34"/>
        <v>0.84179999999999999</v>
      </c>
      <c r="H116" s="910">
        <f t="shared" si="34"/>
        <v>0.84179999999999999</v>
      </c>
      <c r="I116" s="910">
        <f>ROUND(0.7694-0.014*B113,4)</f>
        <v>0.75329999999999997</v>
      </c>
      <c r="J116" s="910">
        <f t="shared" si="33"/>
        <v>0.75329999999999997</v>
      </c>
      <c r="K116" s="910">
        <f t="shared" si="33"/>
        <v>0.75329999999999997</v>
      </c>
      <c r="L116" s="910">
        <f t="shared" si="33"/>
        <v>0.75329999999999997</v>
      </c>
      <c r="M116" s="911">
        <f t="shared" si="33"/>
        <v>0.75329999999999997</v>
      </c>
    </row>
    <row r="117" spans="1:13">
      <c r="A117" s="909" t="s">
        <v>2880</v>
      </c>
      <c r="B117" s="910">
        <f>ROUND(0.8808-0.006*B113,4)</f>
        <v>0.87390000000000001</v>
      </c>
      <c r="C117" s="910">
        <f>B117</f>
        <v>0.87390000000000001</v>
      </c>
      <c r="D117" s="910">
        <f>ROUND(0.8748-0.008*B113,4)</f>
        <v>0.86560000000000004</v>
      </c>
      <c r="E117" s="910">
        <f t="shared" si="34"/>
        <v>0.86560000000000004</v>
      </c>
      <c r="F117" s="910">
        <f t="shared" si="34"/>
        <v>0.86560000000000004</v>
      </c>
      <c r="G117" s="910">
        <f t="shared" si="34"/>
        <v>0.86560000000000004</v>
      </c>
      <c r="H117" s="910">
        <f t="shared" si="34"/>
        <v>0.86560000000000004</v>
      </c>
      <c r="I117" s="910">
        <f>ROUND(0.7412-0.0095*B113,4)</f>
        <v>0.73029999999999995</v>
      </c>
      <c r="J117" s="910">
        <f t="shared" si="33"/>
        <v>0.73029999999999995</v>
      </c>
      <c r="K117" s="910">
        <f t="shared" si="33"/>
        <v>0.73029999999999995</v>
      </c>
      <c r="L117" s="910">
        <f t="shared" si="33"/>
        <v>0.73029999999999995</v>
      </c>
      <c r="M117" s="911">
        <f t="shared" si="33"/>
        <v>0.73029999999999995</v>
      </c>
    </row>
    <row r="118" spans="1:13" ht="13.5" thickBot="1">
      <c r="A118" s="714" t="s">
        <v>2881</v>
      </c>
      <c r="B118" s="912">
        <f>ROUND(0.7275-0.01*B113,4)</f>
        <v>0.71599999999999997</v>
      </c>
      <c r="C118" s="912">
        <f>B118</f>
        <v>0.71599999999999997</v>
      </c>
      <c r="D118" s="912">
        <f>ROUND(0.7043-0.012*B113,4)</f>
        <v>0.6905</v>
      </c>
      <c r="E118" s="912">
        <f>D118</f>
        <v>0.6905</v>
      </c>
      <c r="F118" s="912">
        <f>E118</f>
        <v>0.6905</v>
      </c>
      <c r="G118" s="912">
        <f>ROUND(0.6299-0.0122*B113,4)</f>
        <v>0.6159</v>
      </c>
      <c r="H118" s="912">
        <f>G118</f>
        <v>0.6159</v>
      </c>
      <c r="I118" s="912">
        <f>ROUND(0.5667-0.0136*B113,4)</f>
        <v>0.55110000000000003</v>
      </c>
      <c r="J118" s="912">
        <f t="shared" si="33"/>
        <v>0.55110000000000003</v>
      </c>
      <c r="K118" s="912">
        <f t="shared" si="33"/>
        <v>0.55110000000000003</v>
      </c>
      <c r="L118" s="912">
        <f t="shared" si="33"/>
        <v>0.55110000000000003</v>
      </c>
      <c r="M118" s="913">
        <f t="shared" si="33"/>
        <v>0.55110000000000003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1.2050000000000001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9">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86"/>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86"/>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87"/>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85">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86"/>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86"/>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87"/>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85">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86"/>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86"/>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87"/>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90">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91"/>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91"/>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92"/>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85">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86"/>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86"/>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87"/>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85">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86">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86">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87">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85">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86">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86">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87">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85">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86">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86">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87">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85">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86">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86">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87">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85">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86">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86">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87">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85">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86">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86">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87">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85">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86">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86">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87">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85">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86">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86">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87">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8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86">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86">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8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8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86">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86">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87">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4" t="s">
        <v>3007</v>
      </c>
      <c r="D1" s="3295"/>
      <c r="E1" s="3295"/>
      <c r="F1" s="3295"/>
      <c r="G1" s="3295"/>
      <c r="H1" s="3295"/>
      <c r="I1" s="3295"/>
      <c r="J1" s="3295"/>
      <c r="K1" s="3295"/>
      <c r="L1" s="3295"/>
      <c r="M1" s="3295"/>
      <c r="N1" s="3295"/>
      <c r="O1" s="3295"/>
      <c r="P1" s="3295"/>
      <c r="Q1" s="3295"/>
      <c r="R1" s="3295"/>
      <c r="S1" s="329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1630</v>
      </c>
      <c r="C4" s="2978"/>
      <c r="D4" s="2978"/>
      <c r="E4" s="1964"/>
    </row>
    <row r="5" spans="1:5" ht="16.5" thickTop="1">
      <c r="A5" s="1962"/>
      <c r="B5" s="2976" t="s">
        <v>1622</v>
      </c>
      <c r="C5" s="1965" t="s">
        <v>1623</v>
      </c>
      <c r="D5" s="1043">
        <f ca="1">结果表!H101</f>
        <v>2250</v>
      </c>
      <c r="E5" s="1962"/>
    </row>
    <row r="6" spans="1:5" ht="15.75">
      <c r="A6" s="1962"/>
      <c r="B6" s="2976"/>
      <c r="C6" s="1965" t="s">
        <v>1624</v>
      </c>
      <c r="D6" s="1043" t="str">
        <f ca="1">NUMBERSTRING(INT(D5*10000),2)&amp;"元整"</f>
        <v>贰仟贰佰伍拾万元整</v>
      </c>
      <c r="E6" s="1962"/>
    </row>
    <row r="7" spans="1:5" ht="15.75">
      <c r="A7" s="1962"/>
      <c r="B7" s="2981"/>
      <c r="C7" s="1966" t="s">
        <v>1625</v>
      </c>
      <c r="D7" s="1044">
        <f ca="1">结果表!H102</f>
        <v>6464</v>
      </c>
      <c r="E7" s="1962"/>
    </row>
    <row r="8" spans="1:5" ht="15.75">
      <c r="A8" s="1962"/>
      <c r="B8" s="2982" t="str">
        <f>结果表!E103</f>
        <v>2.估价师知悉的法定优先受偿款</v>
      </c>
      <c r="C8" s="1967" t="s">
        <v>1626</v>
      </c>
      <c r="D8" s="1044">
        <f>结果表!H103</f>
        <v>0</v>
      </c>
      <c r="E8" s="1962"/>
    </row>
    <row r="9" spans="1:5" ht="15.75">
      <c r="A9" s="1962"/>
      <c r="B9" s="298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5" t="str">
        <f>结果表!E107</f>
        <v>3.房地产抵押价值</v>
      </c>
      <c r="C13" s="1970" t="s">
        <v>1623</v>
      </c>
      <c r="D13" s="1046">
        <f ca="1">结果表!H107</f>
        <v>2250</v>
      </c>
      <c r="E13" s="1962"/>
    </row>
    <row r="14" spans="1:5" ht="15.75">
      <c r="A14" s="1962"/>
      <c r="B14" s="2976"/>
      <c r="C14" s="1965" t="s">
        <v>1624</v>
      </c>
      <c r="D14" s="1043" t="str">
        <f ca="1">NUMBERSTRING(INT(D13*10000),2)&amp;"元整"</f>
        <v>贰仟贰佰伍拾万元整</v>
      </c>
      <c r="E14" s="1962"/>
    </row>
    <row r="15" spans="1:5" ht="15">
      <c r="A15" s="1962"/>
      <c r="B15" s="2981"/>
      <c r="C15" s="1966" t="s">
        <v>1634</v>
      </c>
      <c r="D15" s="1055">
        <f ca="1">结果表!H108</f>
        <v>6464</v>
      </c>
      <c r="E15" s="1962"/>
    </row>
    <row r="16" spans="1:5" ht="15">
      <c r="A16" s="1962"/>
      <c r="B16" s="2982" t="str">
        <f>结果表!E109</f>
        <v>——</v>
      </c>
      <c r="C16" s="1970" t="s">
        <v>1635</v>
      </c>
      <c r="D16" s="1971" t="str">
        <f>结果表!H109</f>
        <v>——</v>
      </c>
      <c r="E16" s="1962"/>
    </row>
    <row r="17" spans="1:5" ht="15.75">
      <c r="A17" s="1962"/>
      <c r="B17" s="2983"/>
      <c r="C17" s="1965" t="s">
        <v>1636</v>
      </c>
      <c r="D17" s="1043" t="e">
        <f>NUMBERSTRING(INT(D16*10000),2)&amp;"元整"</f>
        <v>#VALUE!</v>
      </c>
      <c r="E17" s="1962"/>
    </row>
    <row r="18" spans="1:5" ht="15">
      <c r="A18" s="1962"/>
      <c r="B18" s="2984"/>
      <c r="C18" s="1966" t="s">
        <v>1625</v>
      </c>
      <c r="D18" s="1055" t="str">
        <f>结果表!H110</f>
        <v>——</v>
      </c>
      <c r="E18" s="1962"/>
    </row>
    <row r="19" spans="1:5" ht="15.75">
      <c r="A19" s="1962"/>
      <c r="B19" s="2975" t="str">
        <f>结果表!E111</f>
        <v>——</v>
      </c>
      <c r="C19" s="1970" t="s">
        <v>1623</v>
      </c>
      <c r="D19" s="1044" t="str">
        <f>结果表!H111</f>
        <v>——</v>
      </c>
      <c r="E19" s="1962"/>
    </row>
    <row r="20" spans="1:5" ht="15.75">
      <c r="A20" s="1962"/>
      <c r="B20" s="2976"/>
      <c r="C20" s="1965" t="s">
        <v>1636</v>
      </c>
      <c r="D20" s="1043" t="e">
        <f>NUMBERSTRING(INT(D19*10000),2)&amp;"元整"</f>
        <v>#VALUE!</v>
      </c>
      <c r="E20" s="1962"/>
    </row>
    <row r="21" spans="1:5" ht="15.75" thickBot="1">
      <c r="A21" s="1962"/>
      <c r="B21" s="297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27828</v>
      </c>
      <c r="C2" s="2" t="s">
        <v>133</v>
      </c>
      <c r="D2" s="243"/>
      <c r="E2" s="243"/>
      <c r="F2" s="243"/>
      <c r="G2" s="243"/>
    </row>
    <row r="3" spans="1:7" s="244" customFormat="1" ht="18" customHeight="1" thickBot="1">
      <c r="A3" s="247" t="s">
        <v>85</v>
      </c>
      <c r="B3" s="248">
        <f ca="1">ROUND(B2*10000/'数据-汇总表'!E3,0)</f>
        <v>79945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3480.91</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3480.91</v>
      </c>
      <c r="E19" s="255">
        <f>'数据-取费表'!B31</f>
        <v>200</v>
      </c>
      <c r="F19" s="275"/>
      <c r="G19" s="1" t="s">
        <v>1074</v>
      </c>
    </row>
    <row r="20" spans="1:7" s="258" customFormat="1" ht="13.5" customHeight="1">
      <c r="A20" s="951" t="s">
        <v>1057</v>
      </c>
      <c r="B20" s="254" t="s">
        <v>104</v>
      </c>
      <c r="C20" s="276">
        <f>ROUND((C5+C19)*F20,0)</f>
        <v>620</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913</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2130</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975</v>
      </c>
      <c r="D34" s="261"/>
      <c r="E34" s="264"/>
      <c r="F34" s="301">
        <f>IF('数据-取费表'!B24=0,1,'数据-取费表'!N16)</f>
        <v>1</v>
      </c>
      <c r="G34" s="263" t="s">
        <v>116</v>
      </c>
    </row>
    <row r="35" spans="1:7" ht="13.5" customHeight="1">
      <c r="A35" s="954" t="s">
        <v>796</v>
      </c>
      <c r="B35" s="259" t="s">
        <v>60</v>
      </c>
      <c r="C35" s="264">
        <f>ROUND(C34*F35,0)</f>
        <v>49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70</v>
      </c>
      <c r="D37" s="261">
        <f>'数据-汇总表'!E3</f>
        <v>3480.91</v>
      </c>
      <c r="E37" s="293">
        <f>'数据-取费表'!B35</f>
        <v>200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33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25</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24</v>
      </c>
      <c r="D42" s="282"/>
      <c r="E42" s="282"/>
      <c r="F42" s="283"/>
      <c r="G42" s="3160" t="s">
        <v>121</v>
      </c>
    </row>
    <row r="43" spans="1:7" ht="13.5" customHeight="1">
      <c r="A43" s="954" t="s">
        <v>792</v>
      </c>
      <c r="B43" s="259" t="s">
        <v>1064</v>
      </c>
      <c r="C43" s="282">
        <f ca="1">ROUND(IF('数据-取费表'!B22&lt;=1,C39*F22*'数据-取费表'!B21/2,C39*(POWER((1+F22),'数据-取费表'!B21/2)-1)),0)</f>
        <v>1</v>
      </c>
      <c r="D43" s="282"/>
      <c r="E43" s="282"/>
      <c r="F43" s="283"/>
      <c r="G43" s="3161"/>
    </row>
    <row r="44" spans="1:7" ht="13.5" customHeight="1">
      <c r="A44" s="954" t="s">
        <v>793</v>
      </c>
      <c r="B44" s="259" t="s">
        <v>1066</v>
      </c>
      <c r="C44" s="282">
        <f ca="1">ROUND(IF('数据-取费表'!B22&lt;=1,C40*F22*'数据-取费表'!B21/2,C40*(POWER((1+F22),'数据-取费表'!B21/2)-1)),4)</f>
        <v>6.9999999999999999E-4</v>
      </c>
      <c r="D44" s="282"/>
      <c r="E44" s="282"/>
      <c r="F44" s="283"/>
      <c r="G44" s="3162"/>
    </row>
    <row r="45" spans="1:7" s="258" customFormat="1" ht="13.5" customHeight="1">
      <c r="A45" s="951" t="s">
        <v>786</v>
      </c>
      <c r="B45" s="288" t="s">
        <v>112</v>
      </c>
      <c r="C45" s="289">
        <f>C46</f>
        <v>114</v>
      </c>
      <c r="D45" s="279">
        <f>C47</f>
        <v>3.0000000000000001E-3</v>
      </c>
      <c r="E45" s="280" t="s">
        <v>129</v>
      </c>
      <c r="F45" s="290"/>
      <c r="G45" s="291" t="s">
        <v>1072</v>
      </c>
    </row>
    <row r="46" spans="1:7" s="258" customFormat="1" ht="13.5" customHeight="1">
      <c r="A46" s="954" t="s">
        <v>794</v>
      </c>
      <c r="B46" s="292" t="s">
        <v>1065</v>
      </c>
      <c r="C46" s="293">
        <f>ROUND((C33+C39)*F27,0)</f>
        <v>114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1402</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1192</v>
      </c>
      <c r="D51" s="276"/>
      <c r="E51" s="276"/>
      <c r="F51" s="308"/>
      <c r="G51" s="278" t="s">
        <v>64</v>
      </c>
    </row>
    <row r="52" spans="1:7" s="252" customFormat="1" ht="16.5" thickBot="1">
      <c r="A52" s="309" t="s">
        <v>65</v>
      </c>
      <c r="B52" s="310"/>
      <c r="C52" s="311">
        <f ca="1">C31+C51</f>
        <v>27828</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AB3" sqref="AB3:AM7"/>
    </sheetView>
  </sheetViews>
  <sheetFormatPr defaultRowHeight="13.5"/>
  <cols>
    <col min="1" max="1" width="28" customWidth="1"/>
    <col min="6" max="6" width="39.5" customWidth="1"/>
    <col min="13" max="22" width="9" customWidth="1"/>
  </cols>
  <sheetData>
    <row r="1" spans="1:45" s="2962" customFormat="1" ht="12">
      <c r="A1" s="2962" t="s">
        <v>3139</v>
      </c>
      <c r="B1" s="2962" t="s">
        <v>3140</v>
      </c>
      <c r="C1" s="2962" t="s">
        <v>3141</v>
      </c>
      <c r="D1" s="2962" t="s">
        <v>3142</v>
      </c>
      <c r="E1" s="2962" t="s">
        <v>3143</v>
      </c>
      <c r="F1" s="2962" t="s">
        <v>3144</v>
      </c>
      <c r="G1" s="2962" t="s">
        <v>3145</v>
      </c>
      <c r="H1" s="2962" t="s">
        <v>3146</v>
      </c>
      <c r="I1" s="2962" t="s">
        <v>3147</v>
      </c>
      <c r="J1" s="2962" t="s">
        <v>3148</v>
      </c>
      <c r="K1" s="2962" t="s">
        <v>3149</v>
      </c>
      <c r="L1" s="2962" t="s">
        <v>3150</v>
      </c>
      <c r="M1" s="2962" t="s">
        <v>3151</v>
      </c>
      <c r="N1" s="2962" t="s">
        <v>3152</v>
      </c>
      <c r="O1" s="2962" t="s">
        <v>3153</v>
      </c>
      <c r="P1" s="2962" t="s">
        <v>3154</v>
      </c>
      <c r="Q1" s="2962" t="s">
        <v>3155</v>
      </c>
      <c r="R1" s="2962" t="s">
        <v>3156</v>
      </c>
      <c r="S1" s="2962" t="s">
        <v>3157</v>
      </c>
      <c r="T1" s="2962" t="s">
        <v>3158</v>
      </c>
      <c r="U1" s="2962" t="s">
        <v>3159</v>
      </c>
      <c r="V1" s="2962" t="s">
        <v>3160</v>
      </c>
      <c r="W1" s="2962" t="s">
        <v>3161</v>
      </c>
      <c r="X1" s="2962" t="s">
        <v>3162</v>
      </c>
      <c r="Y1" s="2962" t="s">
        <v>3163</v>
      </c>
      <c r="Z1" s="2962" t="s">
        <v>3164</v>
      </c>
      <c r="AA1" s="2962" t="s">
        <v>3165</v>
      </c>
      <c r="AB1" s="2962" t="s">
        <v>3166</v>
      </c>
      <c r="AC1" s="2962" t="s">
        <v>3167</v>
      </c>
      <c r="AD1" s="2962" t="s">
        <v>3168</v>
      </c>
      <c r="AE1" s="2962" t="s">
        <v>3169</v>
      </c>
      <c r="AF1" s="2962" t="s">
        <v>3170</v>
      </c>
      <c r="AG1" s="2962" t="s">
        <v>3171</v>
      </c>
      <c r="AH1" s="2962" t="s">
        <v>3172</v>
      </c>
      <c r="AI1" s="2962" t="s">
        <v>3173</v>
      </c>
      <c r="AJ1" s="2962" t="s">
        <v>3174</v>
      </c>
      <c r="AK1" s="2962" t="s">
        <v>3175</v>
      </c>
      <c r="AL1" s="2962" t="s">
        <v>3176</v>
      </c>
      <c r="AM1" s="2962" t="s">
        <v>3177</v>
      </c>
      <c r="AN1" s="2962" t="s">
        <v>3178</v>
      </c>
      <c r="AO1" s="2962" t="s">
        <v>3179</v>
      </c>
      <c r="AP1" s="2962" t="s">
        <v>3180</v>
      </c>
      <c r="AQ1" s="2962" t="s">
        <v>3181</v>
      </c>
      <c r="AR1" s="2962" t="s">
        <v>3182</v>
      </c>
      <c r="AS1" s="2960" t="s">
        <v>3183</v>
      </c>
    </row>
    <row r="2" spans="1:45" s="2963" customFormat="1" ht="12.75">
      <c r="A2" s="2963" t="s">
        <v>3232</v>
      </c>
      <c r="B2" s="2963" t="s">
        <v>3050</v>
      </c>
      <c r="C2" s="2963" t="s">
        <v>3184</v>
      </c>
      <c r="D2" s="2963" t="s">
        <v>3185</v>
      </c>
      <c r="E2" s="2963" t="s">
        <v>1331</v>
      </c>
      <c r="F2" s="2963" t="s">
        <v>3186</v>
      </c>
      <c r="G2" s="2963" t="s">
        <v>3187</v>
      </c>
      <c r="H2" s="2963" t="s">
        <v>3188</v>
      </c>
      <c r="I2" s="2963" t="s">
        <v>3189</v>
      </c>
      <c r="J2" s="2963">
        <v>4280.58</v>
      </c>
      <c r="K2" s="2963">
        <v>3424</v>
      </c>
      <c r="L2" s="2963">
        <v>0.8</v>
      </c>
      <c r="M2" s="2963" t="s">
        <v>1331</v>
      </c>
      <c r="N2" s="2963" t="s">
        <v>1331</v>
      </c>
      <c r="O2" s="2963" t="s">
        <v>1331</v>
      </c>
      <c r="P2" s="2963" t="s">
        <v>1331</v>
      </c>
      <c r="Q2" s="2963" t="s">
        <v>1331</v>
      </c>
      <c r="R2" s="2963" t="s">
        <v>1331</v>
      </c>
      <c r="S2" s="2963" t="s">
        <v>1331</v>
      </c>
      <c r="T2" s="2963" t="s">
        <v>1331</v>
      </c>
      <c r="U2" s="2963" t="s">
        <v>1331</v>
      </c>
      <c r="V2" s="2963" t="s">
        <v>1331</v>
      </c>
      <c r="W2" s="2963" t="s">
        <v>3190</v>
      </c>
      <c r="X2" s="2963" t="s">
        <v>3191</v>
      </c>
      <c r="Y2" s="2963" t="s">
        <v>3192</v>
      </c>
      <c r="Z2" s="2963" t="s">
        <v>3193</v>
      </c>
      <c r="AA2" s="2963" t="s">
        <v>3193</v>
      </c>
      <c r="AB2" s="2963" t="s">
        <v>3188</v>
      </c>
      <c r="AC2" s="2963" t="s">
        <v>3194</v>
      </c>
      <c r="AD2" s="2964" t="s">
        <v>3233</v>
      </c>
      <c r="AE2" s="2963">
        <v>200</v>
      </c>
      <c r="AF2" s="2963">
        <v>642.09</v>
      </c>
      <c r="AG2" s="2963">
        <v>642.09</v>
      </c>
      <c r="AH2" s="2963">
        <v>100</v>
      </c>
      <c r="AI2" s="2963">
        <v>100</v>
      </c>
      <c r="AJ2" s="2963">
        <v>1875.26</v>
      </c>
      <c r="AK2" s="2963">
        <v>1875.25</v>
      </c>
      <c r="AL2" s="2963" t="s">
        <v>1331</v>
      </c>
      <c r="AM2" s="2963" t="s">
        <v>1331</v>
      </c>
      <c r="AN2" s="2963">
        <v>0</v>
      </c>
      <c r="AO2" s="2963" t="s">
        <v>3195</v>
      </c>
      <c r="AP2" s="2963" t="s">
        <v>1331</v>
      </c>
      <c r="AQ2" s="2963" t="s">
        <v>1331</v>
      </c>
      <c r="AR2" s="2963" t="s">
        <v>1331</v>
      </c>
      <c r="AS2" s="2963">
        <f>AG2/J2*10000</f>
        <v>1500.0070083960586</v>
      </c>
    </row>
    <row r="3" spans="1:45" s="2962" customFormat="1" ht="12">
      <c r="A3" s="2962" t="s">
        <v>3196</v>
      </c>
      <c r="B3" s="2962" t="s">
        <v>3050</v>
      </c>
      <c r="C3" s="2962" t="s">
        <v>3184</v>
      </c>
      <c r="D3" s="2962" t="s">
        <v>3185</v>
      </c>
      <c r="E3" s="2962" t="s">
        <v>1331</v>
      </c>
      <c r="F3" s="2962" t="s">
        <v>3197</v>
      </c>
      <c r="G3" s="2962" t="s">
        <v>3187</v>
      </c>
      <c r="H3" s="2962" t="s">
        <v>3198</v>
      </c>
      <c r="I3" s="2962" t="s">
        <v>3199</v>
      </c>
      <c r="J3" s="2962">
        <v>31386.9</v>
      </c>
      <c r="K3" s="2962">
        <v>25110</v>
      </c>
      <c r="L3" s="2962">
        <v>0.8</v>
      </c>
      <c r="M3" s="2962" t="s">
        <v>1331</v>
      </c>
      <c r="N3" s="2962" t="s">
        <v>1331</v>
      </c>
      <c r="O3" s="2962" t="s">
        <v>1331</v>
      </c>
      <c r="P3" s="2962" t="s">
        <v>1331</v>
      </c>
      <c r="Q3" s="2962" t="s">
        <v>1331</v>
      </c>
      <c r="R3" s="2962" t="s">
        <v>1331</v>
      </c>
      <c r="S3" s="2962" t="s">
        <v>1331</v>
      </c>
      <c r="T3" s="2962" t="s">
        <v>1331</v>
      </c>
      <c r="U3" s="2962" t="s">
        <v>1331</v>
      </c>
      <c r="V3" s="2962" t="s">
        <v>1331</v>
      </c>
      <c r="W3" s="2962" t="s">
        <v>3200</v>
      </c>
      <c r="X3" s="2962" t="s">
        <v>3201</v>
      </c>
      <c r="Y3" s="2962" t="s">
        <v>3202</v>
      </c>
      <c r="Z3" s="2962" t="s">
        <v>3203</v>
      </c>
      <c r="AA3" s="2962" t="s">
        <v>3203</v>
      </c>
      <c r="AB3" s="2962" t="s">
        <v>3198</v>
      </c>
      <c r="AC3" s="2962" t="s">
        <v>3194</v>
      </c>
      <c r="AD3" s="2962" t="s">
        <v>3204</v>
      </c>
      <c r="AE3" s="2962">
        <v>3500</v>
      </c>
      <c r="AF3" s="2962">
        <v>11547.52</v>
      </c>
      <c r="AG3" s="2962">
        <v>11547.52</v>
      </c>
      <c r="AH3" s="2962">
        <v>245.27</v>
      </c>
      <c r="AI3" s="2962">
        <v>245.27</v>
      </c>
      <c r="AJ3" s="2962">
        <v>4598.7700000000004</v>
      </c>
      <c r="AK3" s="2962">
        <v>4598.7700000000004</v>
      </c>
      <c r="AL3" s="2962" t="s">
        <v>1331</v>
      </c>
      <c r="AM3" s="2962" t="s">
        <v>1331</v>
      </c>
      <c r="AN3" s="2962">
        <v>0</v>
      </c>
      <c r="AO3" s="2962" t="s">
        <v>3195</v>
      </c>
      <c r="AP3" s="2962" t="s">
        <v>1331</v>
      </c>
      <c r="AQ3" s="2962" t="s">
        <v>1331</v>
      </c>
      <c r="AR3" s="2962" t="s">
        <v>1331</v>
      </c>
      <c r="AS3" s="2962">
        <f t="shared" ref="AS3:AS8" si="0">AG3/J3*10000</f>
        <v>3679.0890467041982</v>
      </c>
    </row>
    <row r="4" spans="1:45" s="2962" customFormat="1" ht="12">
      <c r="A4" s="2962" t="s">
        <v>3205</v>
      </c>
      <c r="B4" s="2962" t="s">
        <v>3050</v>
      </c>
      <c r="C4" s="2962" t="s">
        <v>3184</v>
      </c>
      <c r="D4" s="2962" t="s">
        <v>3185</v>
      </c>
      <c r="E4" s="2962" t="s">
        <v>1331</v>
      </c>
      <c r="F4" s="2962" t="s">
        <v>3206</v>
      </c>
      <c r="G4" s="2962" t="s">
        <v>3187</v>
      </c>
      <c r="H4" s="2962" t="s">
        <v>3207</v>
      </c>
      <c r="I4" s="2962" t="s">
        <v>3199</v>
      </c>
      <c r="J4" s="2962">
        <v>45231.1</v>
      </c>
      <c r="K4" s="2962">
        <v>36185</v>
      </c>
      <c r="L4" s="2962">
        <v>0.8</v>
      </c>
      <c r="M4" s="2962" t="s">
        <v>1331</v>
      </c>
      <c r="N4" s="2962" t="s">
        <v>1331</v>
      </c>
      <c r="O4" s="2962" t="s">
        <v>1331</v>
      </c>
      <c r="P4" s="2962" t="s">
        <v>1331</v>
      </c>
      <c r="Q4" s="2962" t="s">
        <v>1331</v>
      </c>
      <c r="R4" s="2962" t="s">
        <v>1331</v>
      </c>
      <c r="S4" s="2962" t="s">
        <v>1331</v>
      </c>
      <c r="T4" s="2962" t="s">
        <v>1331</v>
      </c>
      <c r="U4" s="2962" t="s">
        <v>1331</v>
      </c>
      <c r="V4" s="2962" t="s">
        <v>1331</v>
      </c>
      <c r="W4" s="2962" t="s">
        <v>3200</v>
      </c>
      <c r="X4" s="2962" t="s">
        <v>3201</v>
      </c>
      <c r="Y4" s="2962" t="s">
        <v>3202</v>
      </c>
      <c r="Z4" s="2962" t="s">
        <v>3208</v>
      </c>
      <c r="AA4" s="2962" t="s">
        <v>3208</v>
      </c>
      <c r="AB4" s="2962" t="s">
        <v>3207</v>
      </c>
      <c r="AC4" s="2962" t="s">
        <v>3194</v>
      </c>
      <c r="AD4" s="2962" t="s">
        <v>3209</v>
      </c>
      <c r="AE4" s="2962">
        <v>4200</v>
      </c>
      <c r="AF4" s="2962">
        <v>13943.25</v>
      </c>
      <c r="AG4" s="2962">
        <v>13943.25</v>
      </c>
      <c r="AH4" s="2962">
        <v>205.51</v>
      </c>
      <c r="AI4" s="2962">
        <v>205.51</v>
      </c>
      <c r="AJ4" s="2962">
        <v>3853.32</v>
      </c>
      <c r="AK4" s="2962">
        <v>3853.32</v>
      </c>
      <c r="AL4" s="2962" t="s">
        <v>1331</v>
      </c>
      <c r="AM4" s="2962" t="s">
        <v>1331</v>
      </c>
      <c r="AN4" s="2962">
        <v>0</v>
      </c>
      <c r="AO4" s="2962" t="s">
        <v>3195</v>
      </c>
      <c r="AP4" s="2962" t="s">
        <v>1331</v>
      </c>
      <c r="AQ4" s="2962" t="s">
        <v>1331</v>
      </c>
      <c r="AR4" s="2962" t="s">
        <v>1331</v>
      </c>
      <c r="AS4" s="2962">
        <f t="shared" si="0"/>
        <v>3082.6687832044768</v>
      </c>
    </row>
    <row r="5" spans="1:45" s="2962" customFormat="1" ht="12">
      <c r="A5" s="2962" t="s">
        <v>3210</v>
      </c>
      <c r="B5" s="2962" t="s">
        <v>3050</v>
      </c>
      <c r="C5" s="2962" t="s">
        <v>3184</v>
      </c>
      <c r="D5" s="2962" t="s">
        <v>3185</v>
      </c>
      <c r="E5" s="2962" t="s">
        <v>1331</v>
      </c>
      <c r="F5" s="2962" t="s">
        <v>3211</v>
      </c>
      <c r="G5" s="2962" t="s">
        <v>3187</v>
      </c>
      <c r="H5" s="2962" t="s">
        <v>3212</v>
      </c>
      <c r="I5" s="2962" t="s">
        <v>3189</v>
      </c>
      <c r="J5" s="2962">
        <v>401615.3</v>
      </c>
      <c r="K5" s="2962">
        <v>401615</v>
      </c>
      <c r="L5" s="2962">
        <v>1</v>
      </c>
      <c r="M5" s="2962" t="s">
        <v>1331</v>
      </c>
      <c r="N5" s="2962" t="s">
        <v>1331</v>
      </c>
      <c r="O5" s="2962" t="s">
        <v>1331</v>
      </c>
      <c r="P5" s="2962" t="s">
        <v>1331</v>
      </c>
      <c r="Q5" s="2962" t="s">
        <v>1331</v>
      </c>
      <c r="R5" s="2962" t="s">
        <v>1331</v>
      </c>
      <c r="S5" s="2962" t="s">
        <v>1331</v>
      </c>
      <c r="T5" s="2962" t="s">
        <v>1331</v>
      </c>
      <c r="U5" s="2962" t="s">
        <v>1331</v>
      </c>
      <c r="V5" s="2962" t="s">
        <v>1331</v>
      </c>
      <c r="W5" s="2962" t="s">
        <v>3200</v>
      </c>
      <c r="X5" s="2962" t="s">
        <v>3201</v>
      </c>
      <c r="Y5" s="2962" t="s">
        <v>3202</v>
      </c>
      <c r="Z5" s="2962" t="s">
        <v>3208</v>
      </c>
      <c r="AA5" s="2962" t="s">
        <v>3208</v>
      </c>
      <c r="AB5" s="2962" t="s">
        <v>3212</v>
      </c>
      <c r="AC5" s="2962" t="s">
        <v>3194</v>
      </c>
      <c r="AD5" s="2962" t="s">
        <v>3213</v>
      </c>
      <c r="AE5" s="2962">
        <v>32800</v>
      </c>
      <c r="AF5" s="2962">
        <v>109378.8</v>
      </c>
      <c r="AG5" s="2962">
        <v>109378.8</v>
      </c>
      <c r="AH5" s="2962">
        <v>181.56</v>
      </c>
      <c r="AI5" s="2962">
        <v>181.56</v>
      </c>
      <c r="AJ5" s="2962">
        <v>2723.47</v>
      </c>
      <c r="AK5" s="2962">
        <v>2723.46</v>
      </c>
      <c r="AL5" s="2962" t="s">
        <v>1331</v>
      </c>
      <c r="AM5" s="2962" t="s">
        <v>1331</v>
      </c>
      <c r="AN5" s="2962">
        <v>0</v>
      </c>
      <c r="AO5" s="2962" t="s">
        <v>3195</v>
      </c>
      <c r="AP5" s="2962" t="s">
        <v>1331</v>
      </c>
      <c r="AQ5" s="2962" t="s">
        <v>1331</v>
      </c>
      <c r="AR5" s="2962" t="s">
        <v>1331</v>
      </c>
      <c r="AS5" s="2962">
        <f t="shared" si="0"/>
        <v>2723.4719394405543</v>
      </c>
    </row>
    <row r="6" spans="1:45" s="2963" customFormat="1" ht="12.75">
      <c r="A6" s="2963" t="s">
        <v>3214</v>
      </c>
      <c r="B6" s="2963" t="s">
        <v>3050</v>
      </c>
      <c r="C6" s="2963" t="s">
        <v>3184</v>
      </c>
      <c r="D6" s="2963" t="s">
        <v>3185</v>
      </c>
      <c r="E6" s="2963" t="s">
        <v>1331</v>
      </c>
      <c r="F6" s="2964" t="s">
        <v>3238</v>
      </c>
      <c r="G6" s="2963" t="s">
        <v>3187</v>
      </c>
      <c r="H6" s="2963" t="s">
        <v>3215</v>
      </c>
      <c r="I6" s="2963" t="s">
        <v>3189</v>
      </c>
      <c r="J6" s="2963">
        <v>11912.8</v>
      </c>
      <c r="K6" s="2963">
        <v>9530</v>
      </c>
      <c r="L6" s="2963">
        <v>0.8</v>
      </c>
      <c r="M6" s="2963" t="s">
        <v>1331</v>
      </c>
      <c r="N6" s="2963" t="s">
        <v>1331</v>
      </c>
      <c r="O6" s="2963" t="s">
        <v>1331</v>
      </c>
      <c r="P6" s="2963" t="s">
        <v>1331</v>
      </c>
      <c r="Q6" s="2963" t="s">
        <v>1331</v>
      </c>
      <c r="R6" s="2963" t="s">
        <v>1331</v>
      </c>
      <c r="S6" s="2963" t="s">
        <v>1331</v>
      </c>
      <c r="T6" s="2963" t="s">
        <v>1331</v>
      </c>
      <c r="U6" s="2963" t="s">
        <v>1331</v>
      </c>
      <c r="V6" s="2963" t="s">
        <v>1331</v>
      </c>
      <c r="W6" s="2963" t="s">
        <v>3200</v>
      </c>
      <c r="X6" s="2963" t="s">
        <v>3216</v>
      </c>
      <c r="Y6" s="2963" t="s">
        <v>3217</v>
      </c>
      <c r="Z6" s="2963" t="s">
        <v>3218</v>
      </c>
      <c r="AA6" s="2963" t="s">
        <v>3218</v>
      </c>
      <c r="AB6" s="2963" t="s">
        <v>3215</v>
      </c>
      <c r="AC6" s="2963" t="s">
        <v>3194</v>
      </c>
      <c r="AD6" s="2963" t="s">
        <v>3219</v>
      </c>
      <c r="AE6" s="2963">
        <v>530</v>
      </c>
      <c r="AF6" s="2963">
        <v>1798</v>
      </c>
      <c r="AG6" s="2963">
        <v>1798</v>
      </c>
      <c r="AH6" s="2963">
        <v>100.62</v>
      </c>
      <c r="AI6" s="2963">
        <v>100.62</v>
      </c>
      <c r="AJ6" s="2963">
        <v>1886.67</v>
      </c>
      <c r="AK6" s="2963">
        <v>1886.67</v>
      </c>
      <c r="AL6" s="2963" t="s">
        <v>1331</v>
      </c>
      <c r="AM6" s="2963" t="s">
        <v>1331</v>
      </c>
      <c r="AN6" s="2963">
        <v>0</v>
      </c>
      <c r="AO6" s="2963" t="s">
        <v>3195</v>
      </c>
      <c r="AP6" s="2963" t="s">
        <v>1331</v>
      </c>
      <c r="AQ6" s="2963" t="s">
        <v>1331</v>
      </c>
      <c r="AR6" s="2963" t="s">
        <v>1331</v>
      </c>
      <c r="AS6" s="2963">
        <f t="shared" si="0"/>
        <v>1509.3009200188035</v>
      </c>
    </row>
    <row r="7" spans="1:45" s="2973" customFormat="1" ht="12">
      <c r="A7" s="2973" t="s">
        <v>3220</v>
      </c>
      <c r="B7" s="2973" t="s">
        <v>3050</v>
      </c>
      <c r="C7" s="2973" t="s">
        <v>3184</v>
      </c>
      <c r="D7" s="2973" t="s">
        <v>3185</v>
      </c>
      <c r="E7" s="2973" t="s">
        <v>1331</v>
      </c>
      <c r="F7" s="2973" t="s">
        <v>3221</v>
      </c>
      <c r="G7" s="2973" t="s">
        <v>3187</v>
      </c>
      <c r="H7" s="2973" t="s">
        <v>3222</v>
      </c>
      <c r="I7" s="2973" t="s">
        <v>3189</v>
      </c>
      <c r="J7" s="2973">
        <v>13289.21</v>
      </c>
      <c r="K7" s="2973">
        <v>10631</v>
      </c>
      <c r="L7" s="2973">
        <v>0.8</v>
      </c>
      <c r="M7" s="2973" t="s">
        <v>1331</v>
      </c>
      <c r="N7" s="2973" t="s">
        <v>1331</v>
      </c>
      <c r="O7" s="2973" t="s">
        <v>1331</v>
      </c>
      <c r="P7" s="2973" t="s">
        <v>1331</v>
      </c>
      <c r="Q7" s="2973" t="s">
        <v>1331</v>
      </c>
      <c r="R7" s="2973" t="s">
        <v>1331</v>
      </c>
      <c r="S7" s="2973" t="s">
        <v>1331</v>
      </c>
      <c r="T7" s="2973" t="s">
        <v>1331</v>
      </c>
      <c r="U7" s="2973" t="s">
        <v>1331</v>
      </c>
      <c r="V7" s="2973" t="s">
        <v>1331</v>
      </c>
      <c r="W7" s="2973" t="s">
        <v>3223</v>
      </c>
      <c r="X7" s="2973" t="s">
        <v>3224</v>
      </c>
      <c r="Y7" s="2973" t="s">
        <v>3225</v>
      </c>
      <c r="Z7" s="2973" t="s">
        <v>3226</v>
      </c>
      <c r="AA7" s="2973" t="s">
        <v>3226</v>
      </c>
      <c r="AB7" s="2973" t="s">
        <v>3222</v>
      </c>
      <c r="AC7" s="2973" t="s">
        <v>3194</v>
      </c>
      <c r="AD7" s="2973" t="s">
        <v>3227</v>
      </c>
      <c r="AE7" s="2973">
        <v>500</v>
      </c>
      <c r="AF7" s="2973">
        <v>1597.44</v>
      </c>
      <c r="AG7" s="2973">
        <v>1597.44</v>
      </c>
      <c r="AH7" s="2973">
        <v>80.14</v>
      </c>
      <c r="AI7" s="2973">
        <v>80.14</v>
      </c>
      <c r="AJ7" s="2973">
        <v>1502.62</v>
      </c>
      <c r="AK7" s="2973">
        <v>1502.61</v>
      </c>
      <c r="AL7" s="2973" t="s">
        <v>1331</v>
      </c>
      <c r="AM7" s="2973" t="s">
        <v>1331</v>
      </c>
      <c r="AN7" s="2973">
        <v>0</v>
      </c>
      <c r="AO7" s="2973" t="s">
        <v>3195</v>
      </c>
      <c r="AP7" s="2973" t="s">
        <v>1331</v>
      </c>
      <c r="AQ7" s="2973" t="s">
        <v>1331</v>
      </c>
      <c r="AR7" s="2973" t="s">
        <v>1331</v>
      </c>
      <c r="AS7" s="2973">
        <f t="shared" si="0"/>
        <v>1202.0579101391281</v>
      </c>
    </row>
    <row r="8" spans="1:45" s="2962" customFormat="1" ht="12">
      <c r="A8" s="2962" t="s">
        <v>3228</v>
      </c>
      <c r="B8" s="2962" t="s">
        <v>3050</v>
      </c>
      <c r="C8" s="2962" t="s">
        <v>3184</v>
      </c>
      <c r="D8" s="2962" t="s">
        <v>3185</v>
      </c>
      <c r="E8" s="2962" t="s">
        <v>1331</v>
      </c>
      <c r="F8" s="2962" t="s">
        <v>3221</v>
      </c>
      <c r="G8" s="2962" t="s">
        <v>3187</v>
      </c>
      <c r="H8" s="2962" t="s">
        <v>3229</v>
      </c>
      <c r="I8" s="2962" t="s">
        <v>3189</v>
      </c>
      <c r="J8" s="2962">
        <v>56802.68</v>
      </c>
      <c r="K8" s="2962">
        <v>45442</v>
      </c>
      <c r="L8" s="2962">
        <v>0.8</v>
      </c>
      <c r="M8" s="2962" t="s">
        <v>1331</v>
      </c>
      <c r="N8" s="2962" t="s">
        <v>1331</v>
      </c>
      <c r="O8" s="2962" t="s">
        <v>1331</v>
      </c>
      <c r="P8" s="2962" t="s">
        <v>1331</v>
      </c>
      <c r="Q8" s="2962" t="s">
        <v>1331</v>
      </c>
      <c r="R8" s="2962" t="s">
        <v>1331</v>
      </c>
      <c r="S8" s="2962" t="s">
        <v>1331</v>
      </c>
      <c r="T8" s="2962" t="s">
        <v>1331</v>
      </c>
      <c r="U8" s="2962" t="s">
        <v>1331</v>
      </c>
      <c r="V8" s="2962" t="s">
        <v>1331</v>
      </c>
      <c r="W8" s="2962" t="s">
        <v>3223</v>
      </c>
      <c r="X8" s="2962" t="s">
        <v>3224</v>
      </c>
      <c r="Y8" s="2962" t="s">
        <v>3225</v>
      </c>
      <c r="Z8" s="2962" t="s">
        <v>3226</v>
      </c>
      <c r="AA8" s="2962" t="s">
        <v>3226</v>
      </c>
      <c r="AB8" s="2962" t="s">
        <v>3229</v>
      </c>
      <c r="AC8" s="2962" t="s">
        <v>3194</v>
      </c>
      <c r="AD8" s="2962" t="s">
        <v>3230</v>
      </c>
      <c r="AE8" s="2962">
        <v>2000</v>
      </c>
      <c r="AF8" s="2962">
        <v>7121.07</v>
      </c>
      <c r="AG8" s="2962">
        <v>7121.07</v>
      </c>
      <c r="AH8" s="2962">
        <v>83.58</v>
      </c>
      <c r="AI8" s="2962">
        <v>83.58</v>
      </c>
      <c r="AJ8" s="2962">
        <v>1567.07</v>
      </c>
      <c r="AK8" s="2962">
        <v>1567.06</v>
      </c>
      <c r="AL8" s="2962" t="s">
        <v>1331</v>
      </c>
      <c r="AM8" s="2962" t="s">
        <v>1331</v>
      </c>
      <c r="AN8" s="2962">
        <v>0</v>
      </c>
      <c r="AO8" s="2962" t="s">
        <v>3195</v>
      </c>
      <c r="AP8" s="2962" t="s">
        <v>1331</v>
      </c>
      <c r="AQ8" s="2962" t="s">
        <v>1331</v>
      </c>
      <c r="AR8" s="2962" t="s">
        <v>1331</v>
      </c>
      <c r="AS8" s="2962">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7"/>
      <c r="B3" s="2987"/>
      <c r="C3" s="2987"/>
      <c r="D3" s="1047" t="s">
        <v>1638</v>
      </c>
      <c r="E3" s="1047" t="s">
        <v>1644</v>
      </c>
      <c r="F3" s="1047" t="s">
        <v>1638</v>
      </c>
      <c r="G3" s="1047" t="s">
        <v>1639</v>
      </c>
      <c r="H3" s="1047" t="s">
        <v>1638</v>
      </c>
      <c r="I3" s="1047" t="s">
        <v>1639</v>
      </c>
    </row>
    <row r="4" spans="1:9" ht="30">
      <c r="A4" s="1976" t="str">
        <f>项目基本情况!S2</f>
        <v>北京市顺义区东支路北法信段23号2幢工业用房房地产</v>
      </c>
      <c r="B4" s="1047">
        <f>项目基本情况!C17</f>
        <v>3480.91</v>
      </c>
      <c r="C4" s="1047">
        <f>项目基本情况!C18</f>
        <v>3036.74</v>
      </c>
      <c r="D4" s="1047">
        <f ca="1">结果表!D118</f>
        <v>747</v>
      </c>
      <c r="E4" s="1047">
        <f ca="1">结果表!E118</f>
        <v>2146</v>
      </c>
      <c r="F4" s="1047">
        <f ca="1">结果表!F118</f>
        <v>1503</v>
      </c>
      <c r="G4" s="1047">
        <f ca="1">结果表!G118</f>
        <v>4318</v>
      </c>
      <c r="H4" s="1047">
        <f ca="1">结果表!H118</f>
        <v>2250</v>
      </c>
      <c r="I4" s="1047">
        <f ca="1">结果表!I118</f>
        <v>6464</v>
      </c>
    </row>
    <row r="5" spans="1:9" ht="30" customHeight="1">
      <c r="A5" s="2987" t="s">
        <v>1640</v>
      </c>
      <c r="B5" s="2987"/>
      <c r="C5" s="2987"/>
      <c r="D5" s="2988" t="str">
        <f ca="1">结果表!D119</f>
        <v>柒佰肆拾柒万元整</v>
      </c>
      <c r="E5" s="2988"/>
      <c r="F5" s="2988" t="str">
        <f ca="1">结果表!F119</f>
        <v>壹仟伍佰零叁万元整</v>
      </c>
      <c r="G5" s="2988"/>
      <c r="H5" s="2988" t="str">
        <f ca="1">结果表!H119</f>
        <v>贰仟贰佰伍拾万元整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75">
      <c r="A8" s="2989" t="str">
        <f>结果表!A122</f>
        <v>房地产抵押价值</v>
      </c>
      <c r="B8" s="2989"/>
      <c r="C8" s="2989"/>
      <c r="D8" s="2989">
        <f ca="1">结果表!D122</f>
        <v>2250</v>
      </c>
      <c r="E8" s="2989"/>
      <c r="F8" s="2989"/>
      <c r="G8" s="2989"/>
      <c r="H8" s="2989"/>
      <c r="I8" s="2989"/>
    </row>
    <row r="9" spans="1:9" ht="15">
      <c r="A9" s="2987" t="s">
        <v>1640</v>
      </c>
      <c r="B9" s="2987"/>
      <c r="C9" s="2987"/>
      <c r="D9" s="2988" t="str">
        <f ca="1">结果表!D123</f>
        <v>贰仟贰佰伍拾万元整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1640</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1640</v>
      </c>
      <c r="B13" s="2993"/>
      <c r="C13" s="2993"/>
      <c r="D13" s="2994" t="e">
        <f>结果表!D127</f>
        <v>#VALUE!</v>
      </c>
      <c r="E13" s="2994"/>
      <c r="F13" s="2994"/>
      <c r="G13" s="2994"/>
      <c r="H13" s="2994"/>
      <c r="I13" s="2994"/>
    </row>
    <row r="14" spans="1:9" ht="15" thickTop="1">
      <c r="A14" s="2995" t="s">
        <v>1645</v>
      </c>
      <c r="B14" s="2995"/>
      <c r="C14" s="2995"/>
      <c r="D14" s="2995"/>
      <c r="E14" s="2995"/>
      <c r="F14" s="2995"/>
      <c r="G14" s="2995"/>
      <c r="H14" s="2995"/>
      <c r="I14" s="299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1662</v>
      </c>
      <c r="B1" s="2996"/>
      <c r="C1" s="2996"/>
      <c r="D1" s="2996"/>
    </row>
    <row r="2" spans="1:4" ht="18">
      <c r="A2" s="2997" t="s">
        <v>1646</v>
      </c>
      <c r="B2" s="2997"/>
      <c r="C2" s="2997"/>
      <c r="D2" s="299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7" t="s">
        <v>1652</v>
      </c>
      <c r="B6" s="2997"/>
      <c r="C6" s="2997"/>
      <c r="D6" s="299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8"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0" t="s">
        <v>1669</v>
      </c>
      <c r="B15" s="3005" t="s">
        <v>136</v>
      </c>
      <c r="C15" s="3006"/>
    </row>
    <row r="16" spans="1:7" ht="13.5">
      <c r="A16" s="3011"/>
      <c r="B16" s="3005" t="s">
        <v>69</v>
      </c>
      <c r="C16" s="3006"/>
    </row>
    <row r="17" spans="1:3" ht="13.5">
      <c r="A17" s="3011"/>
      <c r="B17" s="3008" t="s">
        <v>1670</v>
      </c>
      <c r="C17" s="2003" t="s">
        <v>1669</v>
      </c>
    </row>
    <row r="18" spans="1:3" ht="13.5">
      <c r="A18" s="3011"/>
      <c r="B18" s="3008"/>
      <c r="C18" s="2003" t="s">
        <v>1671</v>
      </c>
    </row>
    <row r="19" spans="1:3" ht="13.5">
      <c r="A19" s="3011"/>
      <c r="B19" s="3008"/>
      <c r="C19" s="2003" t="s">
        <v>1672</v>
      </c>
    </row>
    <row r="20" spans="1:3" ht="13.5">
      <c r="A20" s="3012"/>
      <c r="B20" s="3007" t="s">
        <v>1673</v>
      </c>
      <c r="C20" s="3006"/>
    </row>
    <row r="21" spans="1:3" ht="13.5">
      <c r="A21" s="2004" t="s">
        <v>1674</v>
      </c>
      <c r="B21" s="2005"/>
      <c r="C21" s="2006"/>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3" t="s">
        <v>1680</v>
      </c>
    </row>
    <row r="26" spans="1:3" ht="13.5">
      <c r="A26" s="3009"/>
      <c r="B26" s="3008"/>
      <c r="C26" s="2003" t="s">
        <v>1681</v>
      </c>
    </row>
    <row r="27" spans="1:3" ht="13.5">
      <c r="A27" s="3009"/>
      <c r="B27" s="3008"/>
      <c r="C27" s="2003" t="s">
        <v>1682</v>
      </c>
    </row>
    <row r="28" spans="1:3" ht="13.5">
      <c r="A28" s="3009"/>
      <c r="B28" s="3008"/>
      <c r="C28" s="2003" t="s">
        <v>1683</v>
      </c>
    </row>
    <row r="29" spans="1:3" ht="13.5">
      <c r="A29" s="3009"/>
      <c r="B29" s="3008"/>
      <c r="C29" s="2003" t="s">
        <v>1684</v>
      </c>
    </row>
    <row r="30" spans="1:3" ht="13.5">
      <c r="A30" s="3009"/>
      <c r="B30" s="3008"/>
      <c r="C30" s="2003" t="s">
        <v>1685</v>
      </c>
    </row>
    <row r="31" spans="1:3" ht="13.5">
      <c r="A31" s="3009"/>
      <c r="B31" s="3008"/>
      <c r="C31" s="2003" t="s">
        <v>1686</v>
      </c>
    </row>
    <row r="32" spans="1:3" ht="13.5">
      <c r="A32" s="3009"/>
      <c r="B32" s="3008"/>
      <c r="C32" s="2003" t="s">
        <v>1687</v>
      </c>
    </row>
    <row r="33" spans="1:3" ht="13.5">
      <c r="A33" s="3009"/>
      <c r="B33" s="300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2018-04-12T02:03:39Z</dcterms:modified>
</cp:coreProperties>
</file>