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38"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0" i="1" l="1"/>
  <c r="U9" i="1"/>
  <c r="L10" i="1"/>
  <c r="L9" i="1"/>
  <c r="L8" i="1"/>
  <c r="L7" i="1"/>
  <c r="C34" i="84" l="1"/>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2" i="83"/>
  <c r="D35" i="90"/>
  <c r="D2" i="81"/>
  <c r="D35" i="91"/>
  <c r="D34" i="89"/>
  <c r="C76" i="87"/>
  <c r="D34" i="92"/>
  <c r="D2" i="82"/>
  <c r="D34" i="91"/>
  <c r="C76" i="85"/>
  <c r="D2" i="84"/>
  <c r="D35" i="89"/>
  <c r="C76" i="86"/>
  <c r="C76" i="88"/>
  <c r="D35" i="92"/>
  <c r="D34" i="90"/>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26" i="86"/>
  <c r="F42" i="85"/>
  <c r="J15" i="85"/>
  <c r="F26" i="87"/>
  <c r="L48" i="88"/>
  <c r="F26" i="85"/>
  <c r="F38" i="85"/>
  <c r="M24" i="87"/>
  <c r="M9" i="85"/>
  <c r="F36" i="86"/>
  <c r="F13" i="87"/>
  <c r="F13" i="88"/>
  <c r="M9" i="88"/>
  <c r="M29" i="85"/>
  <c r="L47" i="88"/>
  <c r="M28" i="86"/>
  <c r="F40" i="87"/>
  <c r="M22" i="88"/>
  <c r="F16" i="85"/>
  <c r="F7" i="86"/>
  <c r="F13" i="85"/>
  <c r="M9" i="86"/>
  <c r="M23" i="87"/>
  <c r="F43" i="88"/>
  <c r="F36" i="85"/>
  <c r="M6" i="88"/>
  <c r="F37" i="88"/>
  <c r="F7" i="88"/>
  <c r="F9" i="85"/>
  <c r="M27" i="86"/>
  <c r="L47" i="85"/>
  <c r="M26" i="85"/>
  <c r="J15" i="87"/>
  <c r="J15" i="88"/>
  <c r="L47" i="87"/>
  <c r="L48" i="87"/>
  <c r="M24" i="85"/>
  <c r="F38" i="87"/>
  <c r="M6" i="85"/>
  <c r="F43" i="85"/>
  <c r="M27" i="88"/>
  <c r="F13" i="86"/>
  <c r="F36" i="87"/>
  <c r="M24" i="86"/>
  <c r="M23" i="86"/>
  <c r="M28" i="85"/>
  <c r="F9" i="88"/>
  <c r="F40" i="86"/>
  <c r="F16" i="86"/>
  <c r="M26" i="86"/>
  <c r="F40" i="85"/>
  <c r="F16" i="88"/>
  <c r="M8" i="86"/>
  <c r="M29" i="86"/>
  <c r="F8" i="85"/>
  <c r="F9" i="86"/>
  <c r="M29" i="87"/>
  <c r="M8" i="88"/>
  <c r="F38" i="86"/>
  <c r="M22" i="85"/>
  <c r="F6" i="85"/>
  <c r="M28" i="87"/>
  <c r="F8" i="86"/>
  <c r="F42" i="88"/>
  <c r="F43" i="87"/>
  <c r="M9" i="87"/>
  <c r="M23" i="88"/>
  <c r="M23" i="85"/>
  <c r="M22" i="87"/>
  <c r="M29" i="88"/>
  <c r="F16" i="87"/>
  <c r="F36" i="88"/>
  <c r="F42" i="86"/>
  <c r="F38" i="88"/>
  <c r="L48" i="86"/>
  <c r="F8" i="87"/>
  <c r="F6" i="86"/>
  <c r="M28" i="88"/>
  <c r="F8" i="88"/>
  <c r="F6" i="87"/>
  <c r="F26" i="88"/>
  <c r="L47" i="86"/>
  <c r="M6" i="86"/>
  <c r="F37" i="87"/>
  <c r="M22" i="86"/>
  <c r="M6" i="87"/>
  <c r="F7" i="85"/>
  <c r="M27" i="85"/>
  <c r="F43" i="86"/>
  <c r="M8" i="87"/>
  <c r="F6" i="88"/>
  <c r="M27" i="87"/>
  <c r="F37" i="85"/>
  <c r="F37" i="86"/>
  <c r="M26" i="87"/>
  <c r="M24" i="88"/>
  <c r="M8" i="85"/>
  <c r="M26" i="88"/>
  <c r="L48" i="85"/>
  <c r="F9" i="87"/>
  <c r="F42" i="87"/>
  <c r="J15" i="86"/>
  <c r="F40" i="88"/>
  <c r="F7" i="87"/>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6" i="88"/>
  <c r="C14" i="87"/>
  <c r="C16" i="86"/>
  <c r="C17" i="86"/>
  <c r="C14" i="85"/>
  <c r="C14" i="86"/>
  <c r="C14" i="88"/>
  <c r="C17" i="85"/>
  <c r="C17" i="88"/>
  <c r="C16" i="87"/>
  <c r="C17" i="87"/>
  <c r="C16" i="85"/>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89"/>
  <c r="C19" i="89"/>
  <c r="C19" i="92"/>
  <c r="C20" i="92"/>
  <c r="C19" i="90"/>
  <c r="C20" i="91"/>
  <c r="C20" i="90"/>
  <c r="C19" i="91"/>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B7" i="76"/>
  <c r="M24" i="67"/>
  <c r="F16" i="67"/>
  <c r="B9" i="76"/>
  <c r="D34" i="9"/>
  <c r="AO13" i="1"/>
  <c r="M28" i="67"/>
  <c r="B10" i="76"/>
  <c r="F42" i="67"/>
  <c r="F4" i="73"/>
  <c r="F26" i="67"/>
  <c r="B8" i="76"/>
  <c r="M23" i="67"/>
  <c r="F3" i="73"/>
  <c r="E2" i="68"/>
  <c r="F37" i="67"/>
  <c r="F6" i="73"/>
  <c r="E11" i="76"/>
  <c r="D3" i="73"/>
  <c r="B11" i="76"/>
  <c r="F6" i="67"/>
  <c r="D7" i="73"/>
  <c r="M26" i="67"/>
  <c r="E8" i="76"/>
  <c r="D35" i="9"/>
  <c r="C76" i="67"/>
  <c r="D5" i="73"/>
  <c r="B12" i="76"/>
  <c r="E9" i="76"/>
  <c r="E7" i="76"/>
  <c r="B13" i="76"/>
  <c r="E13" i="76"/>
  <c r="L48" i="67"/>
  <c r="F7" i="73"/>
  <c r="F36" i="67"/>
  <c r="F38" i="67"/>
  <c r="F13" i="67"/>
  <c r="E10" i="76"/>
  <c r="E2" i="69"/>
  <c r="L47" i="67"/>
  <c r="M9" i="67"/>
  <c r="F8" i="67"/>
  <c r="F9" i="67"/>
  <c r="F5" i="73"/>
  <c r="M6" i="67"/>
  <c r="M8" i="67"/>
  <c r="F20" i="31"/>
  <c r="F40" i="67"/>
  <c r="E12" i="76"/>
  <c r="D4" i="73"/>
  <c r="D6" i="73"/>
  <c r="M22"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F38" i="15"/>
  <c r="D9" i="69"/>
  <c r="M9" i="15"/>
  <c r="M6" i="15"/>
  <c r="F16" i="15"/>
  <c r="M8" i="15"/>
  <c r="M24" i="15"/>
  <c r="F37" i="15"/>
  <c r="J15" i="15"/>
  <c r="F42" i="15"/>
  <c r="F26" i="15"/>
  <c r="F40" i="15"/>
  <c r="M26" i="15"/>
  <c r="M28" i="15"/>
  <c r="M29" i="15"/>
  <c r="L48" i="15"/>
  <c r="L47" i="15"/>
  <c r="M22" i="15"/>
  <c r="F9" i="15"/>
  <c r="F6" i="15"/>
  <c r="F36" i="15"/>
  <c r="F43" i="15"/>
  <c r="G1" i="73"/>
  <c r="C76" i="15"/>
  <c r="F8" i="15"/>
  <c r="M23" i="15"/>
  <c r="F7"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C16" i="15"/>
  <c r="F43" i="67"/>
  <c r="AE7" i="1"/>
  <c r="AE10" i="1"/>
  <c r="M29" i="67"/>
  <c r="AE6" i="1"/>
  <c r="AE8" i="1"/>
  <c r="AE9" i="1"/>
  <c r="F7" i="67"/>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F41" i="67"/>
  <c r="M27" i="15"/>
  <c r="F41" i="15"/>
  <c r="C36" i="69"/>
  <c r="F41" i="86"/>
  <c r="F41" i="85"/>
  <c r="F41" i="87"/>
  <c r="M27" i="67"/>
  <c r="C16" i="67"/>
  <c r="F41" i="88"/>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C17" i="67"/>
  <c r="C17" i="15"/>
  <c r="C34" i="69"/>
  <c r="F27" i="69"/>
  <c r="D10" i="69"/>
  <c r="C14" i="67"/>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F35" i="86"/>
  <c r="B6" i="76"/>
  <c r="M21" i="86"/>
  <c r="C14" i="15"/>
  <c r="E6" i="76"/>
  <c r="F35" i="88"/>
  <c r="M21" i="88"/>
  <c r="M21" i="87"/>
  <c r="F35" i="85"/>
  <c r="F35" i="87"/>
  <c r="M21" i="85"/>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6"/>
  <c r="L51" i="87"/>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L51" i="85"/>
  <c r="D20" i="92"/>
  <c r="D19" i="92"/>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20" i="91"/>
  <c r="B3" i="69"/>
  <c r="D19" i="89"/>
  <c r="D19" i="90"/>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0"/>
  <c r="D20" i="89"/>
  <c r="D19" i="91"/>
  <c r="D2" i="2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05" i="90" l="1"/>
  <c r="C35" i="90"/>
  <c r="G118" i="90" s="1"/>
  <c r="F118" i="90" s="1"/>
  <c r="F119" i="90" s="1"/>
  <c r="H118" i="91"/>
  <c r="E33" i="74"/>
  <c r="H102" i="90"/>
  <c r="H118" i="90"/>
  <c r="H101" i="90" s="1"/>
  <c r="D32" i="74" s="1"/>
  <c r="D14" i="74" s="1"/>
  <c r="G14" i="74" s="1"/>
  <c r="I118" i="89"/>
  <c r="E31" i="74" s="1"/>
  <c r="C34" i="91"/>
  <c r="H101" i="92"/>
  <c r="D3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19" i="9"/>
  <c r="L51" i="15"/>
  <c r="D2" i="36"/>
  <c r="D2" i="34"/>
  <c r="E118" i="90" l="1"/>
  <c r="D118" i="90" s="1"/>
  <c r="D119" i="90" s="1"/>
  <c r="C34" i="90"/>
  <c r="H119" i="90"/>
  <c r="E118" i="89"/>
  <c r="D118" i="89" s="1"/>
  <c r="D119" i="89" s="1"/>
  <c r="C104" i="90"/>
  <c r="C105" i="89"/>
  <c r="H118" i="89"/>
  <c r="C104" i="89" s="1"/>
  <c r="H102" i="89"/>
  <c r="H107" i="92"/>
  <c r="G3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C19" i="9"/>
  <c r="AO11" i="1"/>
  <c r="AO8" i="1"/>
  <c r="AO6" i="1"/>
  <c r="D20" i="9"/>
  <c r="AO7" i="1"/>
  <c r="AO9" i="1"/>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<sst xmlns="http://schemas.openxmlformats.org/spreadsheetml/2006/main" count="12222" uniqueCount="3501">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</sst>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9"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40"/>
      <c r="D1" s="3540"/>
      <c r="E1" s="3540"/>
      <c r="F1" s="3540"/>
      <c r="G1" s="3540"/>
      <c r="H1" s="3540"/>
      <c r="I1" s="3541"/>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42"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43"/>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9"/>
      <c r="C16" s="3550"/>
      <c r="D16" s="3551"/>
      <c r="E16" s="2408" t="s">
        <v>2192</v>
      </c>
      <c r="F16" s="3552"/>
      <c r="G16" s="3553"/>
      <c r="H16" s="3553"/>
      <c r="I16" s="3554"/>
      <c r="J16" s="2434"/>
      <c r="K16" s="2610"/>
      <c r="L16" s="2446"/>
      <c r="M16" s="2446"/>
      <c r="N16" s="2502"/>
      <c r="O16" s="2446"/>
      <c r="P16" s="2502"/>
      <c r="Q16" s="2434"/>
      <c r="R16" s="2434"/>
    </row>
    <row r="17" spans="1:28">
      <c r="A17" s="313" t="s">
        <v>2193</v>
      </c>
      <c r="B17" s="302" t="s">
        <v>2194</v>
      </c>
      <c r="C17" s="8">
        <f>'数据-汇总表'!E3</f>
        <v>971.86</v>
      </c>
      <c r="D17" s="2318" t="s">
        <v>2195</v>
      </c>
      <c r="E17" s="3555" t="s">
        <v>2196</v>
      </c>
      <c r="F17" s="3556"/>
      <c r="G17" s="3556"/>
      <c r="H17" s="3556"/>
      <c r="I17" s="3557"/>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8" t="s">
        <v>2200</v>
      </c>
      <c r="F18" s="3559"/>
      <c r="G18" s="3559"/>
      <c r="H18" s="3559"/>
      <c r="I18" s="3560"/>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45" t="s">
        <v>2204</v>
      </c>
      <c r="C20" s="3546"/>
      <c r="D20" s="3547" t="s">
        <v>2205</v>
      </c>
      <c r="E20" s="3548"/>
      <c r="F20" s="2640" t="s">
        <v>1056</v>
      </c>
      <c r="G20" s="2657"/>
      <c r="H20" s="2657"/>
      <c r="I20" s="2657"/>
      <c r="J20" s="2434"/>
      <c r="K20" s="354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4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44"/>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32"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32"/>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32"/>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33"/>
      <c r="B30" s="302" t="s">
        <v>2213</v>
      </c>
      <c r="C30" s="3534"/>
      <c r="D30" s="3535"/>
      <c r="E30" s="2657"/>
      <c r="F30" s="2657"/>
      <c r="G30" s="2657"/>
      <c r="H30" s="2657"/>
      <c r="I30" s="2657"/>
      <c r="J30" s="2434"/>
      <c r="K30" s="2609"/>
      <c r="L30" s="2606"/>
      <c r="M30" s="2606"/>
      <c r="N30" s="2434"/>
      <c r="O30" s="2445"/>
      <c r="P30" s="2434"/>
      <c r="Q30" s="2434"/>
      <c r="R30" s="2434"/>
      <c r="S30" s="2434"/>
      <c r="T30" s="2434"/>
      <c r="U30" s="2434"/>
      <c r="V30" s="2434"/>
    </row>
    <row r="31" spans="1:28">
      <c r="A31" s="3536"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37"/>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37"/>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31" t="s">
        <v>2223</v>
      </c>
      <c r="T34" s="2423" t="str">
        <f>NUMBERSTRING(7-K34,1)&amp;"通"</f>
        <v>七通</v>
      </c>
      <c r="U34" s="2434"/>
      <c r="V34" s="2434"/>
    </row>
    <row r="35" spans="1:30">
      <c r="A35" s="2424"/>
      <c r="B35" s="3538" t="s">
        <v>2224</v>
      </c>
      <c r="C35" s="3538"/>
      <c r="D35" s="3538"/>
      <c r="E35" s="3538"/>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1"/>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zoomScaleSheetLayoutView="80" workbookViewId="0">
      <selection activeCell="G15" sqref="G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199.72</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628.71860000000004</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628.71860000000004</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B32</f>
        <v>199.72</v>
      </c>
      <c r="C14" s="2511"/>
      <c r="D14" s="2511">
        <f ca="1">D32</f>
        <v>628.71860000000004</v>
      </c>
      <c r="E14" s="2511">
        <f ca="1">ROUND(D14*10000/B14,0)</f>
        <v>31480</v>
      </c>
      <c r="F14" s="2511" t="e">
        <f ca="1">ROUND(D14*10000/C14,0)</f>
        <v>#DIV/0!</v>
      </c>
      <c r="G14" s="2511">
        <f ca="1">D14</f>
        <v>628.71860000000004</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3497</v>
      </c>
      <c r="D4" s="1752" t="s">
        <v>3499</v>
      </c>
      <c r="E4" s="3618" t="s">
        <v>1265</v>
      </c>
      <c r="F4" s="3619"/>
      <c r="G4" s="3619"/>
      <c r="H4" s="3619"/>
      <c r="I4" s="3620"/>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608</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2516">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2516">
        <v>2</v>
      </c>
      <c r="K47" s="3642" t="s">
        <v>1335</v>
      </c>
      <c r="L47" s="3642"/>
      <c r="M47" s="3663">
        <f>'数据-取费表'!B2</f>
        <v>45485</v>
      </c>
      <c r="N47" s="3663"/>
      <c r="O47" s="3663"/>
    </row>
    <row r="48" spans="1:15" ht="25.5" hidden="1">
      <c r="A48" s="3611" t="s">
        <v>1336</v>
      </c>
      <c r="B48" s="3594"/>
      <c r="C48" s="359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642" t="s">
        <v>1338</v>
      </c>
      <c r="L48" s="3642"/>
      <c r="M48" s="3664">
        <f ca="1">H101</f>
        <v>608.49189999999999</v>
      </c>
      <c r="N48" s="3664"/>
      <c r="O48" s="3664"/>
    </row>
    <row r="49" spans="1:35" ht="25.5" hidden="1" customHeight="1">
      <c r="A49" s="2329" t="s">
        <v>1339</v>
      </c>
      <c r="B49" s="3578" t="s">
        <v>1340</v>
      </c>
      <c r="C49" s="3578"/>
      <c r="D49" s="1586">
        <v>0</v>
      </c>
      <c r="E49" s="324" t="s">
        <v>1341</v>
      </c>
      <c r="F49" s="2419" t="s">
        <v>28</v>
      </c>
      <c r="G49" s="3648"/>
      <c r="H49" s="2306" t="s">
        <v>2132</v>
      </c>
      <c r="I49" s="2307"/>
      <c r="J49" s="2516">
        <v>4</v>
      </c>
      <c r="K49" s="3642" t="str">
        <f>IF(项目基本情况!E8="房地产抵押价值","房地产抵押价值","抵押担保权已注销时的房地产抵押价值")</f>
        <v>房地产抵押价值</v>
      </c>
      <c r="L49" s="3642"/>
      <c r="M49" s="3664">
        <f ca="1">IF(项目基本情况!E8="房地产抵押价值",H107,H109)</f>
        <v>608.49189999999999</v>
      </c>
      <c r="N49" s="3664"/>
      <c r="O49" s="3664"/>
    </row>
    <row r="50" spans="1:35" ht="25.5" hidden="1" customHeight="1">
      <c r="A50" s="2544"/>
      <c r="B50" s="3578" t="s">
        <v>1342</v>
      </c>
      <c r="C50" s="3578"/>
      <c r="D50" s="2545"/>
      <c r="E50" s="332"/>
      <c r="F50" s="2419"/>
      <c r="G50" s="3649"/>
      <c r="H50" s="2308" t="s">
        <v>2133</v>
      </c>
      <c r="I50" s="2307"/>
      <c r="J50" s="3661" t="s">
        <v>1343</v>
      </c>
      <c r="K50" s="3661"/>
      <c r="L50" s="3661"/>
      <c r="M50" s="3661"/>
      <c r="N50" s="3661"/>
      <c r="O50" s="3661"/>
    </row>
    <row r="51" spans="1:35" ht="20.45" hidden="1" customHeight="1">
      <c r="A51" s="2546"/>
      <c r="B51" s="3578" t="s">
        <v>1344</v>
      </c>
      <c r="C51" s="3578"/>
      <c r="D51" s="1083"/>
      <c r="E51" s="327"/>
      <c r="F51" s="2419"/>
      <c r="G51" s="3650"/>
      <c r="H51" s="2308" t="s">
        <v>2134</v>
      </c>
      <c r="I51" s="2307"/>
      <c r="J51" s="2517" t="s">
        <v>1345</v>
      </c>
      <c r="K51" s="3642" t="s">
        <v>1346</v>
      </c>
      <c r="L51" s="3642"/>
      <c r="M51" s="2517" t="s">
        <v>1347</v>
      </c>
      <c r="N51" s="2517" t="s">
        <v>1348</v>
      </c>
      <c r="O51" s="2517" t="s">
        <v>1349</v>
      </c>
    </row>
    <row r="52" spans="1:35" ht="24" hidden="1" customHeight="1">
      <c r="A52" s="2331" t="s">
        <v>1350</v>
      </c>
      <c r="B52" s="3578" t="s">
        <v>1351</v>
      </c>
      <c r="C52" s="3578"/>
      <c r="D52" s="1083">
        <f ca="1">ROUND(D45*'数据-取费表'!B41/(1+'数据-取费表'!C42),0)</f>
        <v>32</v>
      </c>
      <c r="E52" s="2330" t="s">
        <v>1352</v>
      </c>
      <c r="F52" s="2547">
        <f>'数据-取费表'!B41</f>
        <v>5.6000000000000001E-2</v>
      </c>
      <c r="G52" s="2548"/>
      <c r="H52" s="2537"/>
      <c r="I52" s="1803"/>
      <c r="J52" s="2516">
        <v>1</v>
      </c>
      <c r="K52" s="3643" t="s">
        <v>1353</v>
      </c>
      <c r="L52" s="3643"/>
      <c r="M52" s="2518" t="b">
        <f>D48</f>
        <v>0</v>
      </c>
      <c r="N52" s="2516" t="str">
        <f>E48</f>
        <v>销售额×税（费）率</v>
      </c>
      <c r="O52" s="2519">
        <f>F48</f>
        <v>5.6000000000000001E-2</v>
      </c>
    </row>
    <row r="53" spans="1:35" ht="12" hidden="1" customHeight="1">
      <c r="A53" s="2331" t="s">
        <v>1354</v>
      </c>
      <c r="B53" s="3604" t="s">
        <v>2282</v>
      </c>
      <c r="C53" s="3605"/>
      <c r="D53" s="1083">
        <f ca="1">ROUND(D45*'数据-取费表'!B41/(1+'数据-取费表'!C42),0)</f>
        <v>32</v>
      </c>
      <c r="E53" s="2330" t="s">
        <v>1352</v>
      </c>
      <c r="F53" s="2547">
        <f>'数据-取费表'!B41</f>
        <v>5.6000000000000001E-2</v>
      </c>
      <c r="G53" s="2548"/>
      <c r="H53" s="2537"/>
      <c r="I53" s="1803"/>
      <c r="J53" s="2516">
        <v>2</v>
      </c>
      <c r="K53" s="3643" t="s">
        <v>1355</v>
      </c>
      <c r="L53" s="3643"/>
      <c r="M53" s="2518">
        <f t="shared" ref="M53:O54" ca="1" si="0">D55</f>
        <v>0</v>
      </c>
      <c r="N53" s="2516" t="str">
        <f t="shared" si="0"/>
        <v>销售额×税（费）率</v>
      </c>
      <c r="O53" s="2519" t="str">
        <f t="shared" si="0"/>
        <v>免征</v>
      </c>
    </row>
    <row r="54" spans="1:35" ht="12" hidden="1" customHeight="1">
      <c r="A54" s="2331" t="s">
        <v>1356</v>
      </c>
      <c r="B54" s="3604" t="s">
        <v>2283</v>
      </c>
      <c r="C54" s="3605"/>
      <c r="D54" s="1083">
        <f ca="1">C68</f>
        <v>32</v>
      </c>
      <c r="E54" s="327" t="s">
        <v>1357</v>
      </c>
      <c r="F54" s="2547">
        <f>'数据-取费表'!B41</f>
        <v>5.6000000000000001E-2</v>
      </c>
      <c r="G54" s="2548"/>
      <c r="H54" s="2549"/>
      <c r="I54" s="1803"/>
      <c r="J54" s="2516">
        <v>3</v>
      </c>
      <c r="K54" s="3643" t="s">
        <v>1358</v>
      </c>
      <c r="L54" s="3643"/>
      <c r="M54" s="2518">
        <f t="shared" ca="1" si="0"/>
        <v>345</v>
      </c>
      <c r="N54" s="2516" t="str">
        <f t="shared" si="0"/>
        <v>增值额×税（费）率</v>
      </c>
      <c r="O54" s="2520" t="str">
        <f t="shared" si="0"/>
        <v>免征</v>
      </c>
    </row>
    <row r="55" spans="1:35" ht="24" hidden="1" customHeight="1">
      <c r="A55" s="3593" t="s">
        <v>1359</v>
      </c>
      <c r="B55" s="3594"/>
      <c r="C55" s="3594"/>
      <c r="D55" s="2320">
        <f ca="1">IF(H55="个人住宅",0,ROUND(D45*I55,0))</f>
        <v>0</v>
      </c>
      <c r="E55" s="2330" t="s">
        <v>1360</v>
      </c>
      <c r="F55" s="2547" t="str">
        <f>IF(H55="正常",I55,"免征")</f>
        <v>免征</v>
      </c>
      <c r="G55" s="2548"/>
      <c r="H55" s="2543"/>
      <c r="I55" s="165">
        <f>'数据-取费表'!B49</f>
        <v>5.0000000000000001E-4</v>
      </c>
      <c r="J55" s="2516">
        <f>IF(H59="非个人房产","",4)</f>
        <v>4</v>
      </c>
      <c r="K55" s="3643" t="str">
        <f>IF(H59="非个人房产","——","个人所得税")</f>
        <v>个人所得税</v>
      </c>
      <c r="L55" s="3643"/>
      <c r="M55" s="2521">
        <f ca="1">D59</f>
        <v>6</v>
      </c>
      <c r="N55" s="2036" t="str">
        <f>E59</f>
        <v>差额计税</v>
      </c>
      <c r="O55" s="2522">
        <f>F59</f>
        <v>0.01</v>
      </c>
    </row>
    <row r="56" spans="1:35" ht="24.75" hidden="1">
      <c r="A56" s="3593" t="s">
        <v>1361</v>
      </c>
      <c r="B56" s="3594"/>
      <c r="C56" s="3594"/>
      <c r="D56" s="2320">
        <f ca="1">IF(H56="个人住宅",D57,D58)</f>
        <v>345</v>
      </c>
      <c r="E56" s="2330" t="s">
        <v>1362</v>
      </c>
      <c r="F56" s="2547" t="str">
        <f>IF(H56="正常",F58,"免征")</f>
        <v>免征</v>
      </c>
      <c r="G56" s="2550" t="s">
        <v>1363</v>
      </c>
      <c r="H56" s="2551"/>
      <c r="I56" s="1804"/>
      <c r="J56" s="2516"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2331" t="s">
        <v>1339</v>
      </c>
      <c r="B57" s="3604" t="s">
        <v>1364</v>
      </c>
      <c r="C57" s="3605"/>
      <c r="D57" s="1586">
        <v>0</v>
      </c>
      <c r="E57" s="324" t="s">
        <v>1341</v>
      </c>
      <c r="F57" s="302"/>
      <c r="G57" s="2548"/>
      <c r="H57" s="2552"/>
      <c r="I57" s="1804"/>
      <c r="J57" s="3643">
        <f>IF(AND(J55="",J56=""),4,IF(项目基本情况!K6="上海银行",'结果表-307'!J56+1,'结果表-307'!J55+1))</f>
        <v>5</v>
      </c>
      <c r="K57" s="3643" t="s">
        <v>1365</v>
      </c>
      <c r="L57" s="2523" t="s">
        <v>1366</v>
      </c>
      <c r="M57" s="2524"/>
      <c r="N57" s="2525">
        <f ca="1">SUMIF(M52:M56,"&lt;9e307")</f>
        <v>351</v>
      </c>
      <c r="O57" s="2526"/>
      <c r="P57" s="2683">
        <f ca="1">N57/M49</f>
        <v>0.57683594473484368</v>
      </c>
    </row>
    <row r="58" spans="1:35" ht="24.75" hidden="1">
      <c r="A58" s="2331" t="s">
        <v>1350</v>
      </c>
      <c r="B58" s="3604" t="s">
        <v>1367</v>
      </c>
      <c r="C58" s="3578"/>
      <c r="D58" s="2320">
        <f ca="1">IF(H58="转让取得",C81,C97)</f>
        <v>345</v>
      </c>
      <c r="E58" s="2330" t="s">
        <v>1362</v>
      </c>
      <c r="F58" s="302" t="s">
        <v>28</v>
      </c>
      <c r="G58" s="2548"/>
      <c r="H58" s="2551"/>
      <c r="I58" s="1804"/>
      <c r="J58" s="3643"/>
      <c r="K58" s="3643"/>
      <c r="L58" s="2523" t="s">
        <v>1368</v>
      </c>
      <c r="M58" s="2527"/>
      <c r="N58" s="2528" t="str">
        <f ca="1">NUMBERSTRING(INT(N57*10000),2)&amp;"元整"</f>
        <v>叁佰伍拾壹万元整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贰佰伍拾柒万肆仟玖佰壹拾玖元整</v>
      </c>
      <c r="O60" s="2529"/>
    </row>
    <row r="61" spans="1:35" ht="13.5" hidden="1" thickBot="1">
      <c r="A61" s="3591" t="s">
        <v>1371</v>
      </c>
      <c r="B61" s="3591"/>
      <c r="C61" s="3591"/>
      <c r="D61" s="3591"/>
      <c r="E61" s="3591"/>
      <c r="F61" s="1804"/>
      <c r="G61" s="1804"/>
      <c r="H61" s="1806"/>
      <c r="I61" s="129"/>
      <c r="J61" s="2516">
        <f>J59+1</f>
        <v>7</v>
      </c>
      <c r="K61" s="3643" t="s">
        <v>1372</v>
      </c>
      <c r="L61" s="3643"/>
      <c r="M61" s="2533"/>
      <c r="N61" s="2534">
        <f ca="1">ROUND(N59*10000/'数据-汇总表'!E3,0)</f>
        <v>2649</v>
      </c>
      <c r="O61" s="2535"/>
    </row>
    <row r="62" spans="1:35" ht="12.75" hidden="1">
      <c r="A62" s="3609" t="s">
        <v>1373</v>
      </c>
      <c r="B62" s="3610"/>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668"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668"/>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668"/>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668"/>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668"/>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比较法-307</v>
      </c>
      <c r="D101" s="2579" t="str">
        <f>D4</f>
        <v>收益法-307</v>
      </c>
      <c r="E101" s="3665" t="s">
        <v>1429</v>
      </c>
      <c r="F101" s="3622"/>
      <c r="G101" s="1823" t="s">
        <v>1430</v>
      </c>
      <c r="H101" s="2588">
        <f ca="1">H118</f>
        <v>608.49189999999999</v>
      </c>
      <c r="I101" s="129"/>
    </row>
    <row r="102" spans="1:35" ht="18.75" customHeight="1">
      <c r="A102" s="3624" t="s">
        <v>1431</v>
      </c>
      <c r="B102" s="2577" t="s">
        <v>1430</v>
      </c>
      <c r="C102" s="2578">
        <f ca="1">IF(D32="楼面单价",ROUND(C19,0),C19)</f>
        <v>676</v>
      </c>
      <c r="D102" s="2579">
        <f ca="1">IF(D32="楼面单价",ROUND(D19,0),D19)</f>
        <v>451</v>
      </c>
      <c r="E102" s="3665"/>
      <c r="F102" s="3622"/>
      <c r="G102" s="1823" t="s">
        <v>1432</v>
      </c>
      <c r="H102" s="2548">
        <f ca="1">I118</f>
        <v>30704</v>
      </c>
      <c r="I102" s="129"/>
    </row>
    <row r="103" spans="1:35" ht="42.75" customHeight="1">
      <c r="A103" s="3624"/>
      <c r="B103" s="2577" t="s">
        <v>1432</v>
      </c>
      <c r="C103" s="2580">
        <f ca="1">C20</f>
        <v>34101</v>
      </c>
      <c r="D103" s="2581">
        <f ca="1">D20</f>
        <v>22777</v>
      </c>
      <c r="E103" s="3659" t="s">
        <v>1433</v>
      </c>
      <c r="F103" s="3660"/>
      <c r="G103" s="1824" t="s">
        <v>1434</v>
      </c>
      <c r="H103" s="2588">
        <f>IF(D36="正常操作",H104+H105+H106,H105+H106)</f>
        <v>0</v>
      </c>
      <c r="I103" s="129"/>
    </row>
    <row r="104" spans="1:35" ht="18.75" customHeight="1">
      <c r="A104" s="3624"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608.49189999999999</v>
      </c>
      <c r="I107" s="129"/>
    </row>
    <row r="108" spans="1:35" ht="18.75" customHeight="1">
      <c r="A108" s="129"/>
      <c r="B108" s="129"/>
      <c r="C108" s="129"/>
      <c r="D108" s="129"/>
      <c r="E108" s="3621"/>
      <c r="F108" s="3622"/>
      <c r="G108" s="1823" t="s">
        <v>1432</v>
      </c>
      <c r="H108" s="2548">
        <f ca="1">IF(H107=H101,H102,ROUND(H107*10000/'数据-汇总表'!E3,0))</f>
        <v>30704</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陆佰零捌万肆仟玖佰壹拾玖元整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608.49189999999999</v>
      </c>
      <c r="E122" s="3657"/>
      <c r="F122" s="3657"/>
      <c r="G122" s="3657"/>
      <c r="H122" s="3657"/>
      <c r="I122" s="3658"/>
      <c r="AA122" s="725"/>
    </row>
    <row r="123" spans="1:27" ht="18.75" customHeight="1">
      <c r="A123" s="3592" t="s">
        <v>1450</v>
      </c>
      <c r="B123" s="3592"/>
      <c r="C123" s="3592"/>
      <c r="D123" s="3632" t="str">
        <f ca="1">NUMBERSTRING(INT(D122*10000),2)&amp;"元整"</f>
        <v>陆佰零捌万肆仟玖佰壹拾玖元整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02" t="s">
        <v>1773</v>
      </c>
      <c r="Q4" s="3703"/>
      <c r="R4" s="3708" t="s">
        <v>1769</v>
      </c>
      <c r="S4" s="3709"/>
      <c r="T4" s="3708" t="s">
        <v>1770</v>
      </c>
      <c r="U4" s="3709"/>
      <c r="V4" s="3714" t="s">
        <v>1771</v>
      </c>
      <c r="W4" s="3714"/>
      <c r="X4" s="1954"/>
      <c r="Y4" s="3708" t="s">
        <v>1773</v>
      </c>
      <c r="Z4" s="3709"/>
      <c r="AA4" s="3726" t="s">
        <v>1769</v>
      </c>
      <c r="AB4" s="3726" t="s">
        <v>1770</v>
      </c>
      <c r="AC4" s="3695" t="s">
        <v>1771</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1351"/>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1351"/>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1339"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1348" t="str">
        <f t="shared" si="6"/>
        <v>办公集聚程度</v>
      </c>
      <c r="R15" s="705" t="s">
        <v>14</v>
      </c>
      <c r="S15" s="706">
        <f t="shared" si="0"/>
        <v>100</v>
      </c>
      <c r="T15" s="705" t="s">
        <v>14</v>
      </c>
      <c r="U15" s="706">
        <f t="shared" si="1"/>
        <v>100</v>
      </c>
      <c r="V15" s="705" t="s">
        <v>14</v>
      </c>
      <c r="W15" s="706">
        <f t="shared" si="2"/>
        <v>100</v>
      </c>
      <c r="X15" s="1351"/>
      <c r="Y15" s="3688"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1348"/>
      <c r="R16" s="705"/>
      <c r="S16" s="706"/>
      <c r="T16" s="705"/>
      <c r="U16" s="706"/>
      <c r="V16" s="705"/>
      <c r="W16" s="706"/>
      <c r="X16" s="1351"/>
      <c r="Y16" s="3689"/>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1348"/>
      <c r="R18" s="705"/>
      <c r="S18" s="706"/>
      <c r="T18" s="705"/>
      <c r="U18" s="706"/>
      <c r="V18" s="705"/>
      <c r="W18" s="706"/>
      <c r="X18" s="1351"/>
      <c r="Y18" s="3689"/>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1348"/>
      <c r="R20" s="705"/>
      <c r="S20" s="706"/>
      <c r="T20" s="705"/>
      <c r="U20" s="706"/>
      <c r="V20" s="705"/>
      <c r="W20" s="706"/>
      <c r="X20" s="1351"/>
      <c r="Y20" s="3689"/>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1348"/>
      <c r="R22" s="705"/>
      <c r="S22" s="706"/>
      <c r="T22" s="705"/>
      <c r="U22" s="706"/>
      <c r="V22" s="705"/>
      <c r="W22" s="706"/>
      <c r="X22" s="1351"/>
      <c r="Y22" s="3689"/>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1348" t="str">
        <f>B23</f>
        <v>环境质量</v>
      </c>
      <c r="R23" s="705" t="s">
        <v>14</v>
      </c>
      <c r="S23" s="706">
        <f>F23</f>
        <v>100</v>
      </c>
      <c r="T23" s="705" t="s">
        <v>14</v>
      </c>
      <c r="U23" s="706">
        <f>H23</f>
        <v>100</v>
      </c>
      <c r="V23" s="705" t="s">
        <v>14</v>
      </c>
      <c r="W23" s="706">
        <f>J23</f>
        <v>100</v>
      </c>
      <c r="X23" s="1351"/>
      <c r="Y23" s="3689"/>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1348"/>
      <c r="R24" s="705"/>
      <c r="S24" s="706"/>
      <c r="T24" s="705"/>
      <c r="U24" s="706"/>
      <c r="V24" s="705"/>
      <c r="W24" s="706"/>
      <c r="X24" s="1351"/>
      <c r="Y24" s="3689"/>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1348" t="str">
        <f>B25</f>
        <v>毗邻道路的类型与等级</v>
      </c>
      <c r="R25" s="705" t="s">
        <v>14</v>
      </c>
      <c r="S25" s="706">
        <f>F25</f>
        <v>100</v>
      </c>
      <c r="T25" s="705" t="s">
        <v>14</v>
      </c>
      <c r="U25" s="706">
        <f>H25</f>
        <v>100</v>
      </c>
      <c r="V25" s="705" t="s">
        <v>14</v>
      </c>
      <c r="W25" s="706">
        <f>J25</f>
        <v>100</v>
      </c>
      <c r="X25" s="1351"/>
      <c r="Y25" s="3689"/>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1348"/>
      <c r="R26" s="705"/>
      <c r="S26" s="706"/>
      <c r="T26" s="705"/>
      <c r="U26" s="706"/>
      <c r="V26" s="705"/>
      <c r="W26" s="706"/>
      <c r="X26" s="1351"/>
      <c r="Y26" s="3689"/>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7"/>
      <c r="Q27" s="1348" t="str">
        <f t="shared" ref="Q27:Q47" si="11">B27</f>
        <v>楼层</v>
      </c>
      <c r="R27" s="705" t="s">
        <v>14</v>
      </c>
      <c r="S27" s="706">
        <f>F27</f>
        <v>102</v>
      </c>
      <c r="T27" s="705" t="s">
        <v>14</v>
      </c>
      <c r="U27" s="706">
        <f>H27</f>
        <v>104</v>
      </c>
      <c r="V27" s="705" t="s">
        <v>14</v>
      </c>
      <c r="W27" s="706">
        <f>J27</f>
        <v>102</v>
      </c>
      <c r="X27" s="1351"/>
      <c r="Y27" s="3689"/>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1339" t="str">
        <f t="shared" si="11"/>
        <v>朝向</v>
      </c>
      <c r="R28" s="701" t="s">
        <v>14</v>
      </c>
      <c r="S28" s="702">
        <f>F28</f>
        <v>100</v>
      </c>
      <c r="T28" s="701" t="s">
        <v>14</v>
      </c>
      <c r="U28" s="702">
        <f>H28</f>
        <v>100</v>
      </c>
      <c r="V28" s="701" t="s">
        <v>14</v>
      </c>
      <c r="W28" s="702">
        <f>J28</f>
        <v>100</v>
      </c>
      <c r="X28" s="703"/>
      <c r="Y28" s="3689"/>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1348">
        <f t="shared" si="11"/>
        <v>111</v>
      </c>
      <c r="R29" s="705" t="s">
        <v>14</v>
      </c>
      <c r="S29" s="706">
        <f t="shared" ref="S29:S47" si="12">F29</f>
        <v>100</v>
      </c>
      <c r="T29" s="705" t="s">
        <v>14</v>
      </c>
      <c r="U29" s="706">
        <f t="shared" ref="U29:U47" si="13">H29</f>
        <v>100</v>
      </c>
      <c r="V29" s="705" t="s">
        <v>14</v>
      </c>
      <c r="W29" s="706">
        <f t="shared" ref="W29:W47" si="14">J29</f>
        <v>100</v>
      </c>
      <c r="X29" s="1351"/>
      <c r="Y29" s="3689"/>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1348">
        <f t="shared" si="11"/>
        <v>111</v>
      </c>
      <c r="R30" s="705" t="s">
        <v>14</v>
      </c>
      <c r="S30" s="706">
        <f t="shared" si="12"/>
        <v>100</v>
      </c>
      <c r="T30" s="705" t="s">
        <v>14</v>
      </c>
      <c r="U30" s="706">
        <f t="shared" si="13"/>
        <v>100</v>
      </c>
      <c r="V30" s="705" t="s">
        <v>14</v>
      </c>
      <c r="W30" s="706">
        <f t="shared" si="14"/>
        <v>100</v>
      </c>
      <c r="X30" s="1351"/>
      <c r="Y30" s="3689"/>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1348">
        <f t="shared" si="11"/>
        <v>111</v>
      </c>
      <c r="R31" s="705" t="s">
        <v>14</v>
      </c>
      <c r="S31" s="706">
        <f t="shared" si="12"/>
        <v>100</v>
      </c>
      <c r="T31" s="705" t="s">
        <v>14</v>
      </c>
      <c r="U31" s="706">
        <f t="shared" si="13"/>
        <v>100</v>
      </c>
      <c r="V31" s="705" t="s">
        <v>14</v>
      </c>
      <c r="W31" s="706">
        <f t="shared" si="14"/>
        <v>100</v>
      </c>
      <c r="X31" s="1351"/>
      <c r="Y31" s="3689"/>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1348">
        <f t="shared" si="11"/>
        <v>111</v>
      </c>
      <c r="R32" s="705" t="s">
        <v>14</v>
      </c>
      <c r="S32" s="706">
        <f t="shared" si="12"/>
        <v>100</v>
      </c>
      <c r="T32" s="705" t="s">
        <v>14</v>
      </c>
      <c r="U32" s="706">
        <f t="shared" si="13"/>
        <v>100</v>
      </c>
      <c r="V32" s="705" t="s">
        <v>14</v>
      </c>
      <c r="W32" s="706">
        <f t="shared" si="14"/>
        <v>100</v>
      </c>
      <c r="X32" s="1351"/>
      <c r="Y32" s="3689"/>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1348" t="str">
        <f t="shared" si="11"/>
        <v>建筑类型</v>
      </c>
      <c r="R33" s="705" t="s">
        <v>14</v>
      </c>
      <c r="S33" s="706">
        <f t="shared" si="12"/>
        <v>100</v>
      </c>
      <c r="T33" s="705" t="s">
        <v>14</v>
      </c>
      <c r="U33" s="706">
        <f t="shared" si="13"/>
        <v>100</v>
      </c>
      <c r="V33" s="705" t="s">
        <v>14</v>
      </c>
      <c r="W33" s="706">
        <f t="shared" si="14"/>
        <v>100</v>
      </c>
      <c r="X33" s="1351"/>
      <c r="Y33" s="3693"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1348" t="str">
        <f t="shared" si="11"/>
        <v>建筑结构</v>
      </c>
      <c r="R35" s="705" t="s">
        <v>14</v>
      </c>
      <c r="S35" s="706">
        <f t="shared" si="12"/>
        <v>100</v>
      </c>
      <c r="T35" s="705" t="s">
        <v>14</v>
      </c>
      <c r="U35" s="706">
        <f t="shared" si="13"/>
        <v>100</v>
      </c>
      <c r="V35" s="705" t="s">
        <v>14</v>
      </c>
      <c r="W35" s="706">
        <f t="shared" si="14"/>
        <v>100</v>
      </c>
      <c r="X35" s="1351"/>
      <c r="Y35" s="3693"/>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1348" t="str">
        <f t="shared" si="11"/>
        <v>公共部分装修</v>
      </c>
      <c r="R36" s="705" t="s">
        <v>14</v>
      </c>
      <c r="S36" s="706">
        <f t="shared" si="12"/>
        <v>100</v>
      </c>
      <c r="T36" s="705" t="s">
        <v>14</v>
      </c>
      <c r="U36" s="706">
        <f t="shared" si="13"/>
        <v>100</v>
      </c>
      <c r="V36" s="705" t="s">
        <v>14</v>
      </c>
      <c r="W36" s="706">
        <f t="shared" si="14"/>
        <v>100</v>
      </c>
      <c r="X36" s="1351"/>
      <c r="Y36" s="3693"/>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1348" t="str">
        <f t="shared" si="11"/>
        <v>成新度</v>
      </c>
      <c r="R37" s="705" t="s">
        <v>14</v>
      </c>
      <c r="S37" s="706">
        <f t="shared" si="12"/>
        <v>100</v>
      </c>
      <c r="T37" s="705" t="s">
        <v>14</v>
      </c>
      <c r="U37" s="706">
        <f t="shared" si="13"/>
        <v>100</v>
      </c>
      <c r="V37" s="705" t="s">
        <v>14</v>
      </c>
      <c r="W37" s="706">
        <f t="shared" si="14"/>
        <v>99</v>
      </c>
      <c r="X37" s="1351"/>
      <c r="Y37" s="3693"/>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1339"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1348" t="str">
        <f t="shared" si="11"/>
        <v>物业管理</v>
      </c>
      <c r="R39" s="705" t="s">
        <v>14</v>
      </c>
      <c r="S39" s="706">
        <f t="shared" si="12"/>
        <v>100</v>
      </c>
      <c r="T39" s="705" t="s">
        <v>14</v>
      </c>
      <c r="U39" s="706">
        <f t="shared" si="13"/>
        <v>100</v>
      </c>
      <c r="V39" s="705" t="s">
        <v>14</v>
      </c>
      <c r="W39" s="706">
        <f t="shared" si="14"/>
        <v>100</v>
      </c>
      <c r="X39" s="1351"/>
      <c r="Y39" s="3693"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1348" t="str">
        <f t="shared" si="11"/>
        <v>市政基础设施</v>
      </c>
      <c r="R40" s="705" t="s">
        <v>14</v>
      </c>
      <c r="S40" s="706">
        <f t="shared" si="12"/>
        <v>100</v>
      </c>
      <c r="T40" s="705" t="s">
        <v>14</v>
      </c>
      <c r="U40" s="706">
        <f t="shared" si="13"/>
        <v>100</v>
      </c>
      <c r="V40" s="705" t="s">
        <v>14</v>
      </c>
      <c r="W40" s="706">
        <f t="shared" si="14"/>
        <v>100</v>
      </c>
      <c r="X40" s="1351"/>
      <c r="Y40" s="3693"/>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1348" t="str">
        <f t="shared" si="11"/>
        <v>层高</v>
      </c>
      <c r="R41" s="705" t="s">
        <v>14</v>
      </c>
      <c r="S41" s="706">
        <f t="shared" si="12"/>
        <v>100</v>
      </c>
      <c r="T41" s="705" t="s">
        <v>14</v>
      </c>
      <c r="U41" s="706">
        <f t="shared" si="13"/>
        <v>100</v>
      </c>
      <c r="V41" s="705" t="s">
        <v>14</v>
      </c>
      <c r="W41" s="706">
        <f t="shared" si="14"/>
        <v>100</v>
      </c>
      <c r="X41" s="1351"/>
      <c r="Y41" s="3693"/>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1348" t="str">
        <f t="shared" si="11"/>
        <v>内部装修</v>
      </c>
      <c r="R43" s="705" t="s">
        <v>14</v>
      </c>
      <c r="S43" s="706">
        <f t="shared" si="12"/>
        <v>100</v>
      </c>
      <c r="T43" s="705" t="s">
        <v>14</v>
      </c>
      <c r="U43" s="706">
        <f t="shared" si="13"/>
        <v>100</v>
      </c>
      <c r="V43" s="705" t="s">
        <v>14</v>
      </c>
      <c r="W43" s="706">
        <f t="shared" si="14"/>
        <v>100</v>
      </c>
      <c r="X43" s="1351"/>
      <c r="Y43" s="3693"/>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1348" t="str">
        <f t="shared" si="11"/>
        <v>内部装修维护情况</v>
      </c>
      <c r="R44" s="705" t="s">
        <v>14</v>
      </c>
      <c r="S44" s="706">
        <f t="shared" si="12"/>
        <v>100</v>
      </c>
      <c r="T44" s="705" t="s">
        <v>14</v>
      </c>
      <c r="U44" s="706">
        <f t="shared" si="13"/>
        <v>100</v>
      </c>
      <c r="V44" s="705" t="s">
        <v>14</v>
      </c>
      <c r="W44" s="706">
        <f t="shared" si="14"/>
        <v>100</v>
      </c>
      <c r="X44" s="1351"/>
      <c r="Y44" s="3693"/>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1339">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1348">
        <f t="shared" si="11"/>
        <v>111</v>
      </c>
      <c r="R46" s="705" t="s">
        <v>14</v>
      </c>
      <c r="S46" s="706">
        <f t="shared" si="12"/>
        <v>100</v>
      </c>
      <c r="T46" s="705" t="s">
        <v>14</v>
      </c>
      <c r="U46" s="706">
        <f t="shared" si="13"/>
        <v>100</v>
      </c>
      <c r="V46" s="705" t="s">
        <v>14</v>
      </c>
      <c r="W46" s="706">
        <f t="shared" si="14"/>
        <v>100</v>
      </c>
      <c r="X46" s="1351"/>
      <c r="Y46" s="3693"/>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1348">
        <f t="shared" si="11"/>
        <v>111</v>
      </c>
      <c r="R47" s="705" t="s">
        <v>14</v>
      </c>
      <c r="S47" s="706">
        <f t="shared" si="12"/>
        <v>100</v>
      </c>
      <c r="T47" s="705" t="s">
        <v>14</v>
      </c>
      <c r="U47" s="706">
        <f t="shared" si="13"/>
        <v>100</v>
      </c>
      <c r="V47" s="705" t="s">
        <v>14</v>
      </c>
      <c r="W47" s="706">
        <f t="shared" si="14"/>
        <v>100</v>
      </c>
      <c r="X47" s="1351"/>
      <c r="Y47" s="3694"/>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0" t="str">
        <f>A49</f>
        <v>比较价值（元/平方米）</v>
      </c>
      <c r="Q49" s="3681"/>
      <c r="R49" s="3682">
        <f>IF(F1="售价",ROUND(PRODUCT(R48,AA7:AA47),0),ROUND(PRODUCT(R48,AA7:AA47),1))</f>
        <v>32179</v>
      </c>
      <c r="S49" s="3682"/>
      <c r="T49" s="3682">
        <f>IF(F1="售价",ROUND(PRODUCT(T48,AB7:AB47),0),ROUND(PRODUCT(T48,AB7:AB47),1))</f>
        <v>34257</v>
      </c>
      <c r="U49" s="3682"/>
      <c r="V49" s="3682">
        <f>IF(F1="售价",ROUND(PRODUCT(V48,AC7:AC47),0),ROUND(PRODUCT(V48,AC7:AC47),1))</f>
        <v>35867</v>
      </c>
      <c r="W49" s="3682"/>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34101</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7" t="s">
        <v>2311</v>
      </c>
      <c r="K2" s="3738"/>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9" t="s">
        <v>2321</v>
      </c>
      <c r="K3" s="3740"/>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9" t="s">
        <v>2323</v>
      </c>
      <c r="K4" s="3740"/>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45" t="s">
        <v>2327</v>
      </c>
      <c r="B6" s="3746"/>
      <c r="C6" s="3747"/>
      <c r="D6" s="2863"/>
      <c r="E6" s="2864"/>
      <c r="F6" s="2865"/>
      <c r="G6" s="2866"/>
      <c r="H6" s="2841"/>
      <c r="I6" s="2842"/>
      <c r="J6" s="3731">
        <v>1</v>
      </c>
      <c r="K6" s="3732"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1"/>
      <c r="K7" s="3733"/>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8" t="s">
        <v>2341</v>
      </c>
      <c r="C8" s="3749"/>
      <c r="D8" s="2882" t="s">
        <v>2342</v>
      </c>
      <c r="E8" s="2883" t="s">
        <v>2343</v>
      </c>
      <c r="F8" s="2884" t="s">
        <v>2344</v>
      </c>
      <c r="G8" s="2885"/>
      <c r="H8" s="2841"/>
      <c r="I8" s="2842"/>
      <c r="J8" s="3731"/>
      <c r="K8" s="3733"/>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8" t="s">
        <v>2347</v>
      </c>
      <c r="C9" s="3749"/>
      <c r="D9" s="2882">
        <f>ROUND(D6*E9,0)</f>
        <v>0</v>
      </c>
      <c r="E9" s="2886"/>
      <c r="F9" s="2887" t="s">
        <v>2348</v>
      </c>
      <c r="G9" s="2866"/>
      <c r="H9" s="2841"/>
      <c r="I9" s="2842"/>
      <c r="J9" s="3731"/>
      <c r="K9" s="3733"/>
      <c r="L9" s="2876" t="s">
        <v>2349</v>
      </c>
      <c r="M9" s="2877"/>
      <c r="N9" s="2853"/>
      <c r="O9" s="2878"/>
      <c r="P9" s="2878"/>
      <c r="Q9" s="2879">
        <v>365</v>
      </c>
      <c r="R9" s="2880">
        <f t="shared" si="0"/>
        <v>0</v>
      </c>
      <c r="S9" s="2834"/>
      <c r="T9" s="2834"/>
      <c r="U9" s="2834"/>
      <c r="V9" s="2842"/>
    </row>
    <row r="10" spans="1:22" s="2846" customFormat="1" ht="13.15" customHeight="1">
      <c r="A10" s="2881">
        <v>2</v>
      </c>
      <c r="B10" s="3748" t="s">
        <v>2350</v>
      </c>
      <c r="C10" s="3749"/>
      <c r="D10" s="2882">
        <f>ROUND(D6*E10,0)</f>
        <v>0</v>
      </c>
      <c r="E10" s="2886"/>
      <c r="F10" s="2887" t="s">
        <v>2351</v>
      </c>
      <c r="G10" s="2866"/>
      <c r="H10" s="2841"/>
      <c r="I10" s="2842"/>
      <c r="J10" s="3731"/>
      <c r="K10" s="3733"/>
      <c r="L10" s="2876" t="s">
        <v>2352</v>
      </c>
      <c r="M10" s="2877"/>
      <c r="N10" s="2853"/>
      <c r="O10" s="2878"/>
      <c r="P10" s="2878"/>
      <c r="Q10" s="2879">
        <v>365</v>
      </c>
      <c r="R10" s="2880">
        <f t="shared" si="0"/>
        <v>0</v>
      </c>
      <c r="S10" s="2834"/>
      <c r="T10" s="2834"/>
      <c r="U10" s="2834"/>
      <c r="V10" s="2842"/>
    </row>
    <row r="11" spans="1:22" s="2846" customFormat="1" ht="13.15" customHeight="1">
      <c r="A11" s="2881">
        <v>3</v>
      </c>
      <c r="B11" s="3748" t="s">
        <v>2353</v>
      </c>
      <c r="C11" s="3749"/>
      <c r="D11" s="2882">
        <f>D12+D14+D15+D16</f>
        <v>0</v>
      </c>
      <c r="E11" s="2888" t="e">
        <f>D11/D6</f>
        <v>#DIV/0!</v>
      </c>
      <c r="F11" s="2884"/>
      <c r="G11" s="2885"/>
      <c r="H11" s="2841"/>
      <c r="I11" s="2842"/>
      <c r="J11" s="3731"/>
      <c r="K11" s="3733"/>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1" t="s">
        <v>2356</v>
      </c>
      <c r="C12" s="3742"/>
      <c r="D12" s="2890">
        <f>ROUND(D13*1.2%*(1-30%),0)</f>
        <v>0</v>
      </c>
      <c r="E12" s="2891">
        <v>1.2E-2</v>
      </c>
      <c r="F12" s="2884" t="s">
        <v>2357</v>
      </c>
      <c r="G12" s="2885"/>
      <c r="H12" s="2841"/>
      <c r="I12" s="2842"/>
      <c r="J12" s="3731"/>
      <c r="K12" s="3733"/>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1"/>
      <c r="K13" s="3733"/>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1" t="s">
        <v>2362</v>
      </c>
      <c r="C14" s="3742"/>
      <c r="D14" s="2890">
        <f>ROUND(E14*B5/10000,0)</f>
        <v>0</v>
      </c>
      <c r="E14" s="2879"/>
      <c r="F14" s="2884" t="s">
        <v>2363</v>
      </c>
      <c r="G14" s="2885"/>
      <c r="H14" s="2841"/>
      <c r="I14" s="2842"/>
      <c r="J14" s="3731"/>
      <c r="K14" s="3734"/>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1" t="s">
        <v>2366</v>
      </c>
      <c r="C15" s="3742"/>
      <c r="D15" s="2890">
        <f>ROUND(D6*E15,0)</f>
        <v>0</v>
      </c>
      <c r="E15" s="2891">
        <v>5.5E-2</v>
      </c>
      <c r="F15" s="2884" t="s">
        <v>2367</v>
      </c>
      <c r="G15" s="2866"/>
      <c r="H15" s="2841"/>
      <c r="I15" s="2842"/>
      <c r="J15" s="3731">
        <v>2</v>
      </c>
      <c r="K15" s="3732"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1" t="s">
        <v>2375</v>
      </c>
      <c r="C16" s="3742"/>
      <c r="D16" s="2901">
        <f>D6*E16</f>
        <v>0</v>
      </c>
      <c r="E16" s="2902"/>
      <c r="F16" s="2887" t="s">
        <v>2376</v>
      </c>
      <c r="G16" s="2866"/>
      <c r="H16" s="2841"/>
      <c r="I16" s="2842"/>
      <c r="J16" s="3731"/>
      <c r="K16" s="3733"/>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3" t="s">
        <v>2378</v>
      </c>
      <c r="C17" s="3744"/>
      <c r="D17" s="2904">
        <f>ROUND(D6*E17,0)</f>
        <v>0</v>
      </c>
      <c r="E17" s="2905"/>
      <c r="F17" s="2906" t="s">
        <v>2379</v>
      </c>
      <c r="G17" s="2866"/>
      <c r="H17" s="2841"/>
      <c r="I17" s="2842"/>
      <c r="J17" s="3731"/>
      <c r="K17" s="3733"/>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1"/>
      <c r="K18" s="3733"/>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1"/>
      <c r="K19" s="3734"/>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1">
        <v>3</v>
      </c>
      <c r="K20" s="3732"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1"/>
      <c r="K21" s="3733"/>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1"/>
      <c r="K22" s="3733"/>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1"/>
      <c r="K23" s="3733"/>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1"/>
      <c r="K24" s="3734"/>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35">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36"/>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7" t="s">
        <v>2311</v>
      </c>
      <c r="K32" s="3738"/>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9" t="s">
        <v>2321</v>
      </c>
      <c r="K33" s="3740"/>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9" t="s">
        <v>2323</v>
      </c>
      <c r="K34" s="3740"/>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1">
        <v>1</v>
      </c>
      <c r="K36" s="3732"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1"/>
      <c r="K37" s="3733"/>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1"/>
      <c r="K38" s="3733"/>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1"/>
      <c r="K39" s="3733"/>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1"/>
      <c r="K40" s="3734"/>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5">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36"/>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698" t="s">
        <v>1665</v>
      </c>
      <c r="D4" s="3699"/>
      <c r="E4" s="3700" t="s">
        <v>1666</v>
      </c>
      <c r="F4" s="3701"/>
      <c r="G4" s="3698" t="s">
        <v>1667</v>
      </c>
      <c r="H4" s="3699"/>
      <c r="I4" s="3698" t="s">
        <v>1668</v>
      </c>
      <c r="J4" s="3699"/>
      <c r="K4" s="1885" t="s">
        <v>1669</v>
      </c>
      <c r="L4" s="2708"/>
      <c r="M4" s="2709"/>
      <c r="N4" s="2709"/>
      <c r="O4" s="2709"/>
      <c r="P4" s="3756" t="s">
        <v>1670</v>
      </c>
      <c r="Q4" s="3757"/>
      <c r="R4" s="3760" t="s">
        <v>1666</v>
      </c>
      <c r="S4" s="3761"/>
      <c r="T4" s="3760" t="s">
        <v>1667</v>
      </c>
      <c r="U4" s="3761"/>
      <c r="V4" s="3715" t="s">
        <v>1668</v>
      </c>
      <c r="W4" s="3715"/>
      <c r="X4" s="1351"/>
      <c r="Y4" s="3760" t="s">
        <v>1670</v>
      </c>
      <c r="Z4" s="3761"/>
      <c r="AA4" s="3755" t="s">
        <v>1666</v>
      </c>
      <c r="AB4" s="3755" t="s">
        <v>1667</v>
      </c>
      <c r="AC4" s="3755" t="s">
        <v>1668</v>
      </c>
    </row>
    <row r="5" spans="1:29" ht="15">
      <c r="A5" s="358"/>
      <c r="B5" s="359"/>
      <c r="C5" s="3718" t="s">
        <v>1671</v>
      </c>
      <c r="D5" s="3719"/>
      <c r="E5" s="3729" t="s">
        <v>1672</v>
      </c>
      <c r="F5" s="3730"/>
      <c r="G5" s="3718" t="s">
        <v>1673</v>
      </c>
      <c r="H5" s="3719"/>
      <c r="I5" s="3718" t="s">
        <v>1674</v>
      </c>
      <c r="J5" s="3719"/>
      <c r="K5" s="1886"/>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1886"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22" t="s">
        <v>1678</v>
      </c>
      <c r="Q7" s="3723"/>
      <c r="R7" s="701" t="s">
        <v>20</v>
      </c>
      <c r="S7" s="702">
        <f t="shared" ref="S7:S15" si="0">F7</f>
        <v>0</v>
      </c>
      <c r="T7" s="701" t="s">
        <v>20</v>
      </c>
      <c r="U7" s="702">
        <f t="shared" ref="U7:U15" si="1">H7</f>
        <v>0</v>
      </c>
      <c r="V7" s="701" t="s">
        <v>20</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722" t="s">
        <v>1681</v>
      </c>
      <c r="Q8" s="3721"/>
      <c r="R8" s="701" t="s">
        <v>20</v>
      </c>
      <c r="S8" s="702">
        <f t="shared" si="0"/>
        <v>100</v>
      </c>
      <c r="T8" s="701" t="s">
        <v>20</v>
      </c>
      <c r="U8" s="702">
        <f t="shared" si="1"/>
        <v>100</v>
      </c>
      <c r="V8" s="701" t="s">
        <v>20</v>
      </c>
      <c r="W8" s="702">
        <f t="shared" si="2"/>
        <v>100</v>
      </c>
      <c r="X8" s="703"/>
      <c r="Y8" s="3722" t="s">
        <v>1681</v>
      </c>
      <c r="Z8" s="3721"/>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80"/>
      <c r="Q11" s="1339" t="str">
        <f t="shared" si="6"/>
        <v>容积率</v>
      </c>
      <c r="R11" s="701" t="s">
        <v>18</v>
      </c>
      <c r="S11" s="702" t="e">
        <f t="shared" si="0"/>
        <v>#N/A</v>
      </c>
      <c r="T11" s="701" t="s">
        <v>18</v>
      </c>
      <c r="U11" s="702" t="e">
        <f t="shared" si="1"/>
        <v>#N/A</v>
      </c>
      <c r="V11" s="701" t="s">
        <v>18</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80"/>
      <c r="Q12" s="1339">
        <f t="shared" si="6"/>
        <v>111</v>
      </c>
      <c r="R12" s="701" t="s">
        <v>18</v>
      </c>
      <c r="S12" s="702">
        <f t="shared" si="0"/>
        <v>100</v>
      </c>
      <c r="T12" s="701" t="s">
        <v>18</v>
      </c>
      <c r="U12" s="702">
        <f t="shared" si="1"/>
        <v>100</v>
      </c>
      <c r="V12" s="701" t="s">
        <v>18</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80"/>
      <c r="Q13" s="1339">
        <f t="shared" si="6"/>
        <v>111</v>
      </c>
      <c r="R13" s="701" t="s">
        <v>18</v>
      </c>
      <c r="S13" s="702">
        <f t="shared" si="0"/>
        <v>100</v>
      </c>
      <c r="T13" s="701" t="s">
        <v>18</v>
      </c>
      <c r="U13" s="702">
        <f t="shared" si="1"/>
        <v>100</v>
      </c>
      <c r="V13" s="701" t="s">
        <v>18</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80"/>
      <c r="Q14" s="1339">
        <f t="shared" si="6"/>
        <v>111</v>
      </c>
      <c r="R14" s="701" t="s">
        <v>18</v>
      </c>
      <c r="S14" s="702">
        <f t="shared" si="0"/>
        <v>100</v>
      </c>
      <c r="T14" s="701" t="s">
        <v>18</v>
      </c>
      <c r="U14" s="702">
        <f t="shared" si="1"/>
        <v>100</v>
      </c>
      <c r="V14" s="701" t="s">
        <v>18</v>
      </c>
      <c r="W14" s="702">
        <f t="shared" si="2"/>
        <v>100</v>
      </c>
      <c r="X14" s="703"/>
      <c r="Y14" s="3579"/>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86" t="s">
        <v>1689</v>
      </c>
      <c r="Q15" s="1348" t="str">
        <f t="shared" si="6"/>
        <v>居住社区成熟度</v>
      </c>
      <c r="R15" s="705" t="s">
        <v>18</v>
      </c>
      <c r="S15" s="706">
        <f t="shared" si="0"/>
        <v>100</v>
      </c>
      <c r="T15" s="705" t="s">
        <v>18</v>
      </c>
      <c r="U15" s="706">
        <f t="shared" si="1"/>
        <v>100</v>
      </c>
      <c r="V15" s="705" t="s">
        <v>18</v>
      </c>
      <c r="W15" s="706">
        <f t="shared" si="2"/>
        <v>100</v>
      </c>
      <c r="X15" s="1351"/>
      <c r="Y15" s="3688"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687"/>
      <c r="Q16" s="1348"/>
      <c r="R16" s="705"/>
      <c r="S16" s="706"/>
      <c r="T16" s="705"/>
      <c r="U16" s="706"/>
      <c r="V16" s="705"/>
      <c r="W16" s="706"/>
      <c r="X16" s="1351"/>
      <c r="Y16" s="3689"/>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87"/>
      <c r="Q17" s="1348" t="str">
        <f>B17</f>
        <v>交通便捷度</v>
      </c>
      <c r="R17" s="705" t="s">
        <v>18</v>
      </c>
      <c r="S17" s="706">
        <f>F17</f>
        <v>100</v>
      </c>
      <c r="T17" s="705" t="s">
        <v>18</v>
      </c>
      <c r="U17" s="706">
        <f>H17</f>
        <v>100</v>
      </c>
      <c r="V17" s="705" t="s">
        <v>18</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687"/>
      <c r="Q18" s="1348"/>
      <c r="R18" s="705"/>
      <c r="S18" s="706"/>
      <c r="T18" s="705"/>
      <c r="U18" s="706"/>
      <c r="V18" s="705"/>
      <c r="W18" s="706"/>
      <c r="X18" s="1351"/>
      <c r="Y18" s="3689"/>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87"/>
      <c r="Q19" s="1348" t="str">
        <f>B19</f>
        <v>公共配套设施</v>
      </c>
      <c r="R19" s="705" t="s">
        <v>18</v>
      </c>
      <c r="S19" s="706">
        <f>F19</f>
        <v>100</v>
      </c>
      <c r="T19" s="705" t="s">
        <v>18</v>
      </c>
      <c r="U19" s="706">
        <f>H19</f>
        <v>100</v>
      </c>
      <c r="V19" s="705" t="s">
        <v>18</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687"/>
      <c r="Q20" s="1348"/>
      <c r="R20" s="705"/>
      <c r="S20" s="706"/>
      <c r="T20" s="705"/>
      <c r="U20" s="706"/>
      <c r="V20" s="705"/>
      <c r="W20" s="706"/>
      <c r="X20" s="1351"/>
      <c r="Y20" s="3689"/>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687"/>
      <c r="Q22" s="1348"/>
      <c r="R22" s="705"/>
      <c r="S22" s="706"/>
      <c r="T22" s="705"/>
      <c r="U22" s="706"/>
      <c r="V22" s="705"/>
      <c r="W22" s="706"/>
      <c r="X22" s="1351"/>
      <c r="Y22" s="3689"/>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87"/>
      <c r="Q23" s="1348" t="str">
        <f>B23</f>
        <v>自然及人文环境</v>
      </c>
      <c r="R23" s="705" t="s">
        <v>18</v>
      </c>
      <c r="S23" s="706">
        <f>F23</f>
        <v>100</v>
      </c>
      <c r="T23" s="705" t="s">
        <v>18</v>
      </c>
      <c r="U23" s="706">
        <f>H23</f>
        <v>100</v>
      </c>
      <c r="V23" s="705" t="s">
        <v>18</v>
      </c>
      <c r="W23" s="706">
        <f>J23</f>
        <v>100</v>
      </c>
      <c r="X23" s="1351"/>
      <c r="Y23" s="368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687"/>
      <c r="Q24" s="1348"/>
      <c r="R24" s="705"/>
      <c r="S24" s="706"/>
      <c r="T24" s="705"/>
      <c r="U24" s="706"/>
      <c r="V24" s="705"/>
      <c r="W24" s="706"/>
      <c r="X24" s="1351"/>
      <c r="Y24" s="3689"/>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687"/>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89"/>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687"/>
      <c r="Q26" s="1348" t="str">
        <f t="shared" si="11"/>
        <v>朝向</v>
      </c>
      <c r="R26" s="705" t="s">
        <v>18</v>
      </c>
      <c r="S26" s="706">
        <f t="shared" si="12"/>
        <v>100</v>
      </c>
      <c r="T26" s="705" t="s">
        <v>18</v>
      </c>
      <c r="U26" s="706">
        <f t="shared" si="13"/>
        <v>100</v>
      </c>
      <c r="V26" s="705" t="s">
        <v>18</v>
      </c>
      <c r="W26" s="706">
        <f t="shared" si="14"/>
        <v>100</v>
      </c>
      <c r="X26" s="1351"/>
      <c r="Y26" s="368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687"/>
      <c r="Q27" s="1339">
        <f t="shared" si="11"/>
        <v>111</v>
      </c>
      <c r="R27" s="701" t="s">
        <v>18</v>
      </c>
      <c r="S27" s="702">
        <f t="shared" si="12"/>
        <v>100</v>
      </c>
      <c r="T27" s="701" t="s">
        <v>18</v>
      </c>
      <c r="U27" s="702">
        <f t="shared" si="13"/>
        <v>100</v>
      </c>
      <c r="V27" s="701" t="s">
        <v>18</v>
      </c>
      <c r="W27" s="702">
        <f t="shared" si="14"/>
        <v>100</v>
      </c>
      <c r="X27" s="703"/>
      <c r="Y27" s="368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687"/>
      <c r="Q28" s="1348">
        <f t="shared" si="11"/>
        <v>111</v>
      </c>
      <c r="R28" s="705" t="s">
        <v>18</v>
      </c>
      <c r="S28" s="706">
        <f t="shared" si="12"/>
        <v>100</v>
      </c>
      <c r="T28" s="705" t="s">
        <v>18</v>
      </c>
      <c r="U28" s="706">
        <f t="shared" si="13"/>
        <v>100</v>
      </c>
      <c r="V28" s="705" t="s">
        <v>18</v>
      </c>
      <c r="W28" s="706">
        <f t="shared" si="14"/>
        <v>100</v>
      </c>
      <c r="X28" s="1351"/>
      <c r="Y28" s="368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687"/>
      <c r="Q29" s="1348">
        <f t="shared" si="11"/>
        <v>111</v>
      </c>
      <c r="R29" s="705" t="s">
        <v>18</v>
      </c>
      <c r="S29" s="706">
        <f t="shared" si="12"/>
        <v>100</v>
      </c>
      <c r="T29" s="705" t="s">
        <v>18</v>
      </c>
      <c r="U29" s="706">
        <f t="shared" si="13"/>
        <v>100</v>
      </c>
      <c r="V29" s="705" t="s">
        <v>18</v>
      </c>
      <c r="W29" s="706">
        <f t="shared" si="14"/>
        <v>100</v>
      </c>
      <c r="X29" s="1351"/>
      <c r="Y29" s="368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687"/>
      <c r="Q30" s="1348">
        <f t="shared" si="11"/>
        <v>111</v>
      </c>
      <c r="R30" s="705" t="s">
        <v>18</v>
      </c>
      <c r="S30" s="706">
        <f t="shared" si="12"/>
        <v>100</v>
      </c>
      <c r="T30" s="705" t="s">
        <v>18</v>
      </c>
      <c r="U30" s="706">
        <f t="shared" si="13"/>
        <v>100</v>
      </c>
      <c r="V30" s="705" t="s">
        <v>18</v>
      </c>
      <c r="W30" s="706">
        <f t="shared" si="14"/>
        <v>100</v>
      </c>
      <c r="X30" s="1351"/>
      <c r="Y30" s="368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687"/>
      <c r="Q31" s="1348">
        <f t="shared" si="11"/>
        <v>111</v>
      </c>
      <c r="R31" s="705" t="s">
        <v>18</v>
      </c>
      <c r="S31" s="706">
        <f t="shared" si="12"/>
        <v>100</v>
      </c>
      <c r="T31" s="705" t="s">
        <v>18</v>
      </c>
      <c r="U31" s="706">
        <f t="shared" si="13"/>
        <v>100</v>
      </c>
      <c r="V31" s="705" t="s">
        <v>18</v>
      </c>
      <c r="W31" s="706">
        <f t="shared" si="14"/>
        <v>100</v>
      </c>
      <c r="X31" s="1351"/>
      <c r="Y31" s="3689"/>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690" t="s">
        <v>1694</v>
      </c>
      <c r="Q32" s="1348" t="str">
        <f t="shared" si="11"/>
        <v>建筑类型</v>
      </c>
      <c r="R32" s="705" t="s">
        <v>18</v>
      </c>
      <c r="S32" s="706">
        <f t="shared" si="12"/>
        <v>100</v>
      </c>
      <c r="T32" s="705" t="s">
        <v>18</v>
      </c>
      <c r="U32" s="706">
        <f t="shared" si="13"/>
        <v>100</v>
      </c>
      <c r="V32" s="705" t="s">
        <v>18</v>
      </c>
      <c r="W32" s="706">
        <f t="shared" si="14"/>
        <v>100</v>
      </c>
      <c r="X32" s="1351"/>
      <c r="Y32" s="3693"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691"/>
      <c r="Q34" s="1348" t="str">
        <f t="shared" si="11"/>
        <v>建筑结构</v>
      </c>
      <c r="R34" s="705" t="s">
        <v>18</v>
      </c>
      <c r="S34" s="706">
        <f t="shared" si="12"/>
        <v>100</v>
      </c>
      <c r="T34" s="705" t="s">
        <v>18</v>
      </c>
      <c r="U34" s="706">
        <f t="shared" si="13"/>
        <v>100</v>
      </c>
      <c r="V34" s="705" t="s">
        <v>18</v>
      </c>
      <c r="W34" s="706">
        <f t="shared" si="14"/>
        <v>100</v>
      </c>
      <c r="X34" s="1351"/>
      <c r="Y34" s="3693"/>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691"/>
      <c r="Q35" s="1348" t="str">
        <f t="shared" si="11"/>
        <v>建筑品质</v>
      </c>
      <c r="R35" s="705" t="s">
        <v>18</v>
      </c>
      <c r="S35" s="706">
        <f t="shared" si="12"/>
        <v>100</v>
      </c>
      <c r="T35" s="705" t="s">
        <v>18</v>
      </c>
      <c r="U35" s="706">
        <f t="shared" si="13"/>
        <v>100</v>
      </c>
      <c r="V35" s="705" t="s">
        <v>18</v>
      </c>
      <c r="W35" s="706">
        <f t="shared" si="14"/>
        <v>100</v>
      </c>
      <c r="X35" s="1351"/>
      <c r="Y35" s="3693"/>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691"/>
      <c r="Q36" s="1348" t="str">
        <f t="shared" si="11"/>
        <v>公共部分装修</v>
      </c>
      <c r="R36" s="705" t="s">
        <v>18</v>
      </c>
      <c r="S36" s="706">
        <f t="shared" si="12"/>
        <v>100</v>
      </c>
      <c r="T36" s="705" t="s">
        <v>18</v>
      </c>
      <c r="U36" s="706">
        <f t="shared" si="13"/>
        <v>100</v>
      </c>
      <c r="V36" s="705" t="s">
        <v>18</v>
      </c>
      <c r="W36" s="706">
        <f t="shared" si="14"/>
        <v>100</v>
      </c>
      <c r="X36" s="1351"/>
      <c r="Y36" s="3693"/>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91"/>
      <c r="Q37" s="1339"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691" t="s">
        <v>1694</v>
      </c>
      <c r="Q38" s="1348" t="str">
        <f t="shared" si="11"/>
        <v>物业管理</v>
      </c>
      <c r="R38" s="705" t="s">
        <v>18</v>
      </c>
      <c r="S38" s="706">
        <f t="shared" si="12"/>
        <v>100</v>
      </c>
      <c r="T38" s="705" t="s">
        <v>18</v>
      </c>
      <c r="U38" s="706">
        <f t="shared" si="13"/>
        <v>100</v>
      </c>
      <c r="V38" s="705" t="s">
        <v>18</v>
      </c>
      <c r="W38" s="706">
        <f t="shared" si="14"/>
        <v>100</v>
      </c>
      <c r="X38" s="1351"/>
      <c r="Y38" s="3693"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691"/>
      <c r="Q39" s="1348" t="str">
        <f t="shared" si="11"/>
        <v>市政基础设施</v>
      </c>
      <c r="R39" s="705" t="s">
        <v>18</v>
      </c>
      <c r="S39" s="706">
        <f t="shared" si="12"/>
        <v>100</v>
      </c>
      <c r="T39" s="705" t="s">
        <v>18</v>
      </c>
      <c r="U39" s="706">
        <f t="shared" si="13"/>
        <v>100</v>
      </c>
      <c r="V39" s="705" t="s">
        <v>18</v>
      </c>
      <c r="W39" s="706">
        <f t="shared" si="14"/>
        <v>100</v>
      </c>
      <c r="X39" s="1351"/>
      <c r="Y39" s="3693"/>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691"/>
      <c r="Q40" s="1348" t="str">
        <f t="shared" si="11"/>
        <v>房型</v>
      </c>
      <c r="R40" s="705" t="s">
        <v>18</v>
      </c>
      <c r="S40" s="706">
        <f t="shared" si="12"/>
        <v>100</v>
      </c>
      <c r="T40" s="705" t="s">
        <v>18</v>
      </c>
      <c r="U40" s="706">
        <f t="shared" si="13"/>
        <v>100</v>
      </c>
      <c r="V40" s="705" t="s">
        <v>18</v>
      </c>
      <c r="W40" s="706">
        <f t="shared" si="14"/>
        <v>100</v>
      </c>
      <c r="X40" s="1351"/>
      <c r="Y40" s="3693"/>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691"/>
      <c r="Q42" s="1348" t="str">
        <f t="shared" si="11"/>
        <v>内部装修</v>
      </c>
      <c r="R42" s="705" t="s">
        <v>18</v>
      </c>
      <c r="S42" s="706">
        <f t="shared" si="12"/>
        <v>100</v>
      </c>
      <c r="T42" s="705" t="s">
        <v>18</v>
      </c>
      <c r="U42" s="706">
        <f t="shared" si="13"/>
        <v>100</v>
      </c>
      <c r="V42" s="705" t="s">
        <v>18</v>
      </c>
      <c r="W42" s="706">
        <f t="shared" si="14"/>
        <v>100</v>
      </c>
      <c r="X42" s="1351"/>
      <c r="Y42" s="3693"/>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691"/>
      <c r="Q43" s="1348" t="str">
        <f t="shared" si="11"/>
        <v>内部装修维护情况</v>
      </c>
      <c r="R43" s="705" t="s">
        <v>18</v>
      </c>
      <c r="S43" s="706">
        <f t="shared" si="12"/>
        <v>100</v>
      </c>
      <c r="T43" s="705" t="s">
        <v>18</v>
      </c>
      <c r="U43" s="706">
        <f t="shared" si="13"/>
        <v>100</v>
      </c>
      <c r="V43" s="705" t="s">
        <v>18</v>
      </c>
      <c r="W43" s="706">
        <f t="shared" si="14"/>
        <v>100</v>
      </c>
      <c r="X43" s="1351"/>
      <c r="Y43" s="369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691"/>
      <c r="Q44" s="1339">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691"/>
      <c r="Q45" s="1348">
        <f t="shared" si="11"/>
        <v>111</v>
      </c>
      <c r="R45" s="705" t="s">
        <v>18</v>
      </c>
      <c r="S45" s="706">
        <f t="shared" si="12"/>
        <v>100</v>
      </c>
      <c r="T45" s="705" t="s">
        <v>18</v>
      </c>
      <c r="U45" s="706">
        <f t="shared" si="13"/>
        <v>100</v>
      </c>
      <c r="V45" s="705" t="s">
        <v>18</v>
      </c>
      <c r="W45" s="706">
        <f t="shared" si="14"/>
        <v>100</v>
      </c>
      <c r="X45" s="1351"/>
      <c r="Y45" s="369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692"/>
      <c r="Q46" s="1348">
        <f t="shared" si="11"/>
        <v>111</v>
      </c>
      <c r="R46" s="705" t="s">
        <v>17</v>
      </c>
      <c r="S46" s="706">
        <f t="shared" si="12"/>
        <v>100</v>
      </c>
      <c r="T46" s="705" t="s">
        <v>17</v>
      </c>
      <c r="U46" s="706">
        <f t="shared" si="13"/>
        <v>100</v>
      </c>
      <c r="V46" s="705" t="s">
        <v>17</v>
      </c>
      <c r="W46" s="706">
        <f t="shared" si="14"/>
        <v>100</v>
      </c>
      <c r="X46" s="1351"/>
      <c r="Y46" s="3694"/>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681" t="str">
        <f>A47</f>
        <v>成交单价（元/平方米）</v>
      </c>
      <c r="Q47" s="3681"/>
      <c r="R47" s="3682">
        <f>E47</f>
        <v>0</v>
      </c>
      <c r="S47" s="3682"/>
      <c r="T47" s="3682">
        <f>G47</f>
        <v>0</v>
      </c>
      <c r="U47" s="3682"/>
      <c r="V47" s="3682">
        <f>I47</f>
        <v>0</v>
      </c>
      <c r="W47" s="3682"/>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15"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15"/>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15"/>
      <c r="AC6" s="372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80"/>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80"/>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80"/>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80"/>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686" t="s">
        <v>1689</v>
      </c>
      <c r="Q15" s="1348" t="str">
        <f t="shared" si="6"/>
        <v>商业繁华度</v>
      </c>
      <c r="R15" s="705" t="s">
        <v>14</v>
      </c>
      <c r="S15" s="706">
        <f t="shared" si="0"/>
        <v>100</v>
      </c>
      <c r="T15" s="705" t="s">
        <v>14</v>
      </c>
      <c r="U15" s="706">
        <f t="shared" si="1"/>
        <v>100</v>
      </c>
      <c r="V15" s="705" t="s">
        <v>14</v>
      </c>
      <c r="W15" s="706">
        <f t="shared" si="2"/>
        <v>100</v>
      </c>
      <c r="X15" s="1351"/>
      <c r="Y15" s="3688"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687"/>
      <c r="Q16" s="1348"/>
      <c r="R16" s="705"/>
      <c r="S16" s="706"/>
      <c r="T16" s="705"/>
      <c r="U16" s="706"/>
      <c r="V16" s="705"/>
      <c r="W16" s="706"/>
      <c r="X16" s="1351"/>
      <c r="Y16" s="3689"/>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687"/>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687"/>
      <c r="Q18" s="1348"/>
      <c r="R18" s="705"/>
      <c r="S18" s="706"/>
      <c r="T18" s="705"/>
      <c r="U18" s="706"/>
      <c r="V18" s="705"/>
      <c r="W18" s="706"/>
      <c r="X18" s="1351"/>
      <c r="Y18" s="3689"/>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687"/>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687"/>
      <c r="Q20" s="1348"/>
      <c r="R20" s="705"/>
      <c r="S20" s="706"/>
      <c r="T20" s="705"/>
      <c r="U20" s="706"/>
      <c r="V20" s="705"/>
      <c r="W20" s="706"/>
      <c r="X20" s="1351"/>
      <c r="Y20" s="3689"/>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687"/>
      <c r="Q22" s="1348"/>
      <c r="R22" s="705"/>
      <c r="S22" s="706"/>
      <c r="T22" s="705"/>
      <c r="U22" s="706"/>
      <c r="V22" s="705"/>
      <c r="W22" s="706"/>
      <c r="X22" s="1351"/>
      <c r="Y22" s="3689"/>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687"/>
      <c r="Q23" s="1348" t="str">
        <f>B23</f>
        <v>自然及人文环境</v>
      </c>
      <c r="R23" s="705" t="s">
        <v>14</v>
      </c>
      <c r="S23" s="706">
        <f>F23</f>
        <v>100</v>
      </c>
      <c r="T23" s="705" t="s">
        <v>14</v>
      </c>
      <c r="U23" s="706">
        <f>H23</f>
        <v>100</v>
      </c>
      <c r="V23" s="705" t="s">
        <v>14</v>
      </c>
      <c r="W23" s="706">
        <f>J23</f>
        <v>100</v>
      </c>
      <c r="X23" s="1351"/>
      <c r="Y23" s="368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687"/>
      <c r="Q24" s="1348"/>
      <c r="R24" s="705"/>
      <c r="S24" s="706"/>
      <c r="T24" s="705"/>
      <c r="U24" s="706"/>
      <c r="V24" s="705"/>
      <c r="W24" s="706"/>
      <c r="X24" s="1351"/>
      <c r="Y24" s="3689"/>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687"/>
      <c r="Q25" s="1348" t="str">
        <f t="shared" ref="Q25:Q46" si="11">B25</f>
        <v>临街状况</v>
      </c>
      <c r="R25" s="705" t="s">
        <v>14</v>
      </c>
      <c r="S25" s="706">
        <f>F25</f>
        <v>100</v>
      </c>
      <c r="T25" s="705" t="s">
        <v>14</v>
      </c>
      <c r="U25" s="706">
        <f>H25</f>
        <v>100</v>
      </c>
      <c r="V25" s="705" t="s">
        <v>14</v>
      </c>
      <c r="W25" s="706">
        <f>J25</f>
        <v>100</v>
      </c>
      <c r="X25" s="1351"/>
      <c r="Y25" s="3689"/>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87"/>
      <c r="Q26" s="1348" t="str">
        <f t="shared" si="11"/>
        <v>平面位置/可视性</v>
      </c>
      <c r="R26" s="705" t="s">
        <v>14</v>
      </c>
      <c r="S26" s="706">
        <f>F26</f>
        <v>100</v>
      </c>
      <c r="T26" s="705" t="s">
        <v>14</v>
      </c>
      <c r="U26" s="706">
        <f>H26</f>
        <v>100</v>
      </c>
      <c r="V26" s="705" t="s">
        <v>14</v>
      </c>
      <c r="W26" s="706">
        <f>J26</f>
        <v>100</v>
      </c>
      <c r="X26" s="1351"/>
      <c r="Y26" s="3689"/>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687"/>
      <c r="Q27" s="1339" t="str">
        <f t="shared" si="11"/>
        <v>人流量</v>
      </c>
      <c r="R27" s="701" t="s">
        <v>14</v>
      </c>
      <c r="S27" s="702">
        <f>F27</f>
        <v>100</v>
      </c>
      <c r="T27" s="701" t="s">
        <v>14</v>
      </c>
      <c r="U27" s="702">
        <f>H27</f>
        <v>100</v>
      </c>
      <c r="V27" s="701" t="s">
        <v>14</v>
      </c>
      <c r="W27" s="702">
        <f>J27</f>
        <v>100</v>
      </c>
      <c r="X27" s="703"/>
      <c r="Y27" s="3689"/>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87"/>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8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87"/>
      <c r="Q29" s="1348">
        <f t="shared" si="11"/>
        <v>111</v>
      </c>
      <c r="R29" s="705" t="s">
        <v>14</v>
      </c>
      <c r="S29" s="706">
        <f t="shared" si="12"/>
        <v>100</v>
      </c>
      <c r="T29" s="705" t="s">
        <v>14</v>
      </c>
      <c r="U29" s="706">
        <f t="shared" si="13"/>
        <v>100</v>
      </c>
      <c r="V29" s="705" t="s">
        <v>14</v>
      </c>
      <c r="W29" s="706">
        <f t="shared" si="14"/>
        <v>100</v>
      </c>
      <c r="X29" s="1351"/>
      <c r="Y29" s="368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87"/>
      <c r="Q30" s="1348">
        <f t="shared" si="11"/>
        <v>111</v>
      </c>
      <c r="R30" s="705" t="s">
        <v>14</v>
      </c>
      <c r="S30" s="706">
        <f t="shared" si="12"/>
        <v>100</v>
      </c>
      <c r="T30" s="705" t="s">
        <v>14</v>
      </c>
      <c r="U30" s="706">
        <f t="shared" si="13"/>
        <v>100</v>
      </c>
      <c r="V30" s="705" t="s">
        <v>14</v>
      </c>
      <c r="W30" s="706">
        <f t="shared" si="14"/>
        <v>100</v>
      </c>
      <c r="X30" s="1351"/>
      <c r="Y30" s="368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87"/>
      <c r="Q31" s="1348">
        <f t="shared" si="11"/>
        <v>111</v>
      </c>
      <c r="R31" s="705" t="s">
        <v>14</v>
      </c>
      <c r="S31" s="706">
        <f t="shared" si="12"/>
        <v>100</v>
      </c>
      <c r="T31" s="705" t="s">
        <v>14</v>
      </c>
      <c r="U31" s="706">
        <f t="shared" si="13"/>
        <v>100</v>
      </c>
      <c r="V31" s="705" t="s">
        <v>14</v>
      </c>
      <c r="W31" s="706">
        <f t="shared" si="14"/>
        <v>100</v>
      </c>
      <c r="X31" s="1351"/>
      <c r="Y31" s="3689"/>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690" t="s">
        <v>1694</v>
      </c>
      <c r="Q32" s="1348" t="str">
        <f t="shared" si="11"/>
        <v>商业类型</v>
      </c>
      <c r="R32" s="705" t="s">
        <v>14</v>
      </c>
      <c r="S32" s="706">
        <f t="shared" si="12"/>
        <v>100</v>
      </c>
      <c r="T32" s="705" t="s">
        <v>14</v>
      </c>
      <c r="U32" s="706">
        <f t="shared" si="13"/>
        <v>100</v>
      </c>
      <c r="V32" s="705" t="s">
        <v>14</v>
      </c>
      <c r="W32" s="706">
        <f t="shared" si="14"/>
        <v>100</v>
      </c>
      <c r="X32" s="1351"/>
      <c r="Y32" s="3693"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691"/>
      <c r="Q34" s="1348" t="str">
        <f t="shared" si="11"/>
        <v>建筑结构</v>
      </c>
      <c r="R34" s="705" t="s">
        <v>14</v>
      </c>
      <c r="S34" s="706">
        <f t="shared" si="12"/>
        <v>100</v>
      </c>
      <c r="T34" s="705" t="s">
        <v>14</v>
      </c>
      <c r="U34" s="706">
        <f t="shared" si="13"/>
        <v>100</v>
      </c>
      <c r="V34" s="705" t="s">
        <v>14</v>
      </c>
      <c r="W34" s="706">
        <f t="shared" si="14"/>
        <v>100</v>
      </c>
      <c r="X34" s="1351"/>
      <c r="Y34" s="3693"/>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691"/>
      <c r="Q35" s="1348" t="str">
        <f t="shared" si="11"/>
        <v>公共部分装修</v>
      </c>
      <c r="R35" s="705" t="s">
        <v>14</v>
      </c>
      <c r="S35" s="706">
        <f t="shared" si="12"/>
        <v>100</v>
      </c>
      <c r="T35" s="705" t="s">
        <v>14</v>
      </c>
      <c r="U35" s="706">
        <f t="shared" si="13"/>
        <v>100</v>
      </c>
      <c r="V35" s="705" t="s">
        <v>14</v>
      </c>
      <c r="W35" s="706">
        <f t="shared" si="14"/>
        <v>100</v>
      </c>
      <c r="X35" s="1351"/>
      <c r="Y35" s="3693"/>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691"/>
      <c r="Q36" s="1348" t="str">
        <f t="shared" si="11"/>
        <v>成新度</v>
      </c>
      <c r="R36" s="705" t="s">
        <v>14</v>
      </c>
      <c r="S36" s="706" t="e">
        <f t="shared" si="12"/>
        <v>#N/A</v>
      </c>
      <c r="T36" s="705" t="s">
        <v>14</v>
      </c>
      <c r="U36" s="706" t="e">
        <f t="shared" si="13"/>
        <v>#N/A</v>
      </c>
      <c r="V36" s="705" t="s">
        <v>14</v>
      </c>
      <c r="W36" s="706" t="e">
        <f t="shared" si="14"/>
        <v>#N/A</v>
      </c>
      <c r="X36" s="1351"/>
      <c r="Y36" s="3693"/>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691"/>
      <c r="Q37" s="1339"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691" t="s">
        <v>1694</v>
      </c>
      <c r="Q38" s="1348" t="str">
        <f t="shared" si="11"/>
        <v>业态</v>
      </c>
      <c r="R38" s="705" t="s">
        <v>14</v>
      </c>
      <c r="S38" s="706">
        <f t="shared" si="12"/>
        <v>100</v>
      </c>
      <c r="T38" s="705" t="s">
        <v>14</v>
      </c>
      <c r="U38" s="706">
        <f t="shared" si="13"/>
        <v>100</v>
      </c>
      <c r="V38" s="705" t="s">
        <v>14</v>
      </c>
      <c r="W38" s="706">
        <f t="shared" si="14"/>
        <v>100</v>
      </c>
      <c r="X38" s="1351"/>
      <c r="Y38" s="3693"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691"/>
      <c r="Q39" s="1348" t="str">
        <f t="shared" si="11"/>
        <v>层高</v>
      </c>
      <c r="R39" s="705" t="s">
        <v>14</v>
      </c>
      <c r="S39" s="706">
        <f t="shared" si="12"/>
        <v>100</v>
      </c>
      <c r="T39" s="705" t="s">
        <v>14</v>
      </c>
      <c r="U39" s="706">
        <f t="shared" si="13"/>
        <v>100</v>
      </c>
      <c r="V39" s="705" t="s">
        <v>14</v>
      </c>
      <c r="W39" s="706">
        <f t="shared" si="14"/>
        <v>100</v>
      </c>
      <c r="X39" s="1351"/>
      <c r="Y39" s="3693"/>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91"/>
      <c r="Q40" s="1348" t="str">
        <f t="shared" si="11"/>
        <v>单套建筑面积</v>
      </c>
      <c r="R40" s="705" t="s">
        <v>14</v>
      </c>
      <c r="S40" s="706">
        <f t="shared" si="12"/>
        <v>100</v>
      </c>
      <c r="T40" s="705" t="s">
        <v>14</v>
      </c>
      <c r="U40" s="706">
        <f t="shared" si="13"/>
        <v>100</v>
      </c>
      <c r="V40" s="705" t="s">
        <v>14</v>
      </c>
      <c r="W40" s="706">
        <f t="shared" si="14"/>
        <v>100</v>
      </c>
      <c r="X40" s="1351"/>
      <c r="Y40" s="3693"/>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691"/>
      <c r="Q42" s="1348" t="str">
        <f t="shared" si="11"/>
        <v>内部装修</v>
      </c>
      <c r="R42" s="705" t="s">
        <v>14</v>
      </c>
      <c r="S42" s="706">
        <f t="shared" si="12"/>
        <v>100</v>
      </c>
      <c r="T42" s="705" t="s">
        <v>14</v>
      </c>
      <c r="U42" s="706">
        <f t="shared" si="13"/>
        <v>100</v>
      </c>
      <c r="V42" s="705" t="s">
        <v>14</v>
      </c>
      <c r="W42" s="706">
        <f t="shared" si="14"/>
        <v>100</v>
      </c>
      <c r="X42" s="1351"/>
      <c r="Y42" s="3693"/>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691"/>
      <c r="Q43" s="1348" t="str">
        <f t="shared" si="11"/>
        <v>内部装修维护情况</v>
      </c>
      <c r="R43" s="705" t="s">
        <v>14</v>
      </c>
      <c r="S43" s="706">
        <f t="shared" si="12"/>
        <v>100</v>
      </c>
      <c r="T43" s="705" t="s">
        <v>14</v>
      </c>
      <c r="U43" s="706">
        <f t="shared" si="13"/>
        <v>100</v>
      </c>
      <c r="V43" s="705" t="s">
        <v>14</v>
      </c>
      <c r="W43" s="706">
        <f t="shared" si="14"/>
        <v>100</v>
      </c>
      <c r="X43" s="1351"/>
      <c r="Y43" s="369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91"/>
      <c r="Q44" s="1339">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91"/>
      <c r="Q45" s="1348">
        <f t="shared" si="11"/>
        <v>111</v>
      </c>
      <c r="R45" s="705" t="s">
        <v>14</v>
      </c>
      <c r="S45" s="706">
        <f t="shared" si="12"/>
        <v>100</v>
      </c>
      <c r="T45" s="705" t="s">
        <v>14</v>
      </c>
      <c r="U45" s="706">
        <f t="shared" si="13"/>
        <v>100</v>
      </c>
      <c r="V45" s="705" t="s">
        <v>14</v>
      </c>
      <c r="W45" s="706">
        <f t="shared" si="14"/>
        <v>100</v>
      </c>
      <c r="X45" s="1351"/>
      <c r="Y45" s="369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92"/>
      <c r="Q46" s="1348">
        <f t="shared" si="11"/>
        <v>111</v>
      </c>
      <c r="R46" s="705" t="s">
        <v>14</v>
      </c>
      <c r="S46" s="706">
        <f t="shared" si="12"/>
        <v>100</v>
      </c>
      <c r="T46" s="705" t="s">
        <v>14</v>
      </c>
      <c r="U46" s="706">
        <f t="shared" si="13"/>
        <v>100</v>
      </c>
      <c r="V46" s="705" t="s">
        <v>14</v>
      </c>
      <c r="W46" s="706">
        <f t="shared" si="14"/>
        <v>100</v>
      </c>
      <c r="X46" s="1351"/>
      <c r="Y46" s="3694"/>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681" t="str">
        <f>A47</f>
        <v>成交单价（元/平方米）</v>
      </c>
      <c r="Q47" s="3681"/>
      <c r="R47" s="3715">
        <f>E47</f>
        <v>0</v>
      </c>
      <c r="S47" s="3715"/>
      <c r="T47" s="3715">
        <f>G47</f>
        <v>0</v>
      </c>
      <c r="U47" s="3715"/>
      <c r="V47" s="3715">
        <f>I47</f>
        <v>0</v>
      </c>
      <c r="W47" s="3715"/>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909"/>
      <c r="M4" s="910"/>
      <c r="N4" s="910"/>
      <c r="O4" s="910"/>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909"/>
      <c r="M5" s="910"/>
      <c r="N5" s="910"/>
      <c r="O5" s="910"/>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909"/>
      <c r="M6" s="910"/>
      <c r="N6" s="910"/>
      <c r="O6" s="910"/>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22" t="s">
        <v>1681</v>
      </c>
      <c r="Q8" s="3721"/>
      <c r="R8" s="701" t="s">
        <v>14</v>
      </c>
      <c r="S8" s="702">
        <f t="shared" si="0"/>
        <v>100</v>
      </c>
      <c r="T8" s="701" t="s">
        <v>14</v>
      </c>
      <c r="U8" s="702">
        <f t="shared" si="1"/>
        <v>100</v>
      </c>
      <c r="V8" s="701" t="s">
        <v>14</v>
      </c>
      <c r="W8" s="702">
        <f t="shared" si="2"/>
        <v>100</v>
      </c>
      <c r="X8" s="703"/>
      <c r="Y8" s="3722" t="s">
        <v>1681</v>
      </c>
      <c r="Z8" s="3721"/>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81"/>
      <c r="Q11" s="1339"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88" t="s">
        <v>1689</v>
      </c>
      <c r="Q15" s="1348" t="str">
        <f t="shared" si="6"/>
        <v>产业集聚程度</v>
      </c>
      <c r="R15" s="705" t="s">
        <v>14</v>
      </c>
      <c r="S15" s="706">
        <f t="shared" si="0"/>
        <v>100</v>
      </c>
      <c r="T15" s="705" t="s">
        <v>14</v>
      </c>
      <c r="U15" s="706">
        <f t="shared" si="1"/>
        <v>100</v>
      </c>
      <c r="V15" s="705" t="s">
        <v>14</v>
      </c>
      <c r="W15" s="706">
        <f t="shared" si="2"/>
        <v>100</v>
      </c>
      <c r="X15" s="1351"/>
      <c r="Y15" s="3688"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89"/>
      <c r="Q16" s="1348"/>
      <c r="R16" s="705"/>
      <c r="S16" s="706"/>
      <c r="T16" s="705"/>
      <c r="U16" s="706"/>
      <c r="V16" s="705"/>
      <c r="W16" s="706"/>
      <c r="X16" s="1351"/>
      <c r="Y16" s="3689"/>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89"/>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89"/>
      <c r="Q18" s="1348"/>
      <c r="R18" s="705"/>
      <c r="S18" s="706"/>
      <c r="T18" s="705"/>
      <c r="U18" s="706"/>
      <c r="V18" s="705"/>
      <c r="W18" s="706"/>
      <c r="X18" s="1351"/>
      <c r="Y18" s="3689"/>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89"/>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89"/>
      <c r="Q20" s="1348"/>
      <c r="R20" s="705"/>
      <c r="S20" s="706"/>
      <c r="T20" s="705"/>
      <c r="U20" s="706"/>
      <c r="V20" s="705"/>
      <c r="W20" s="706"/>
      <c r="X20" s="1351"/>
      <c r="Y20" s="3689"/>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89"/>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89"/>
      <c r="Q22" s="1348"/>
      <c r="R22" s="705"/>
      <c r="S22" s="706"/>
      <c r="T22" s="705"/>
      <c r="U22" s="706"/>
      <c r="V22" s="705"/>
      <c r="W22" s="706"/>
      <c r="X22" s="1351"/>
      <c r="Y22" s="3689"/>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89"/>
      <c r="Q23" s="1348" t="str">
        <f>B23</f>
        <v>环境质量</v>
      </c>
      <c r="R23" s="705" t="s">
        <v>14</v>
      </c>
      <c r="S23" s="706">
        <f>F23</f>
        <v>100</v>
      </c>
      <c r="T23" s="705" t="s">
        <v>14</v>
      </c>
      <c r="U23" s="706">
        <f>H23</f>
        <v>100</v>
      </c>
      <c r="V23" s="705" t="s">
        <v>14</v>
      </c>
      <c r="W23" s="706">
        <f>J23</f>
        <v>100</v>
      </c>
      <c r="X23" s="1351"/>
      <c r="Y23" s="368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89"/>
      <c r="Q24" s="1348"/>
      <c r="R24" s="705"/>
      <c r="S24" s="706"/>
      <c r="T24" s="705"/>
      <c r="U24" s="706"/>
      <c r="V24" s="705"/>
      <c r="W24" s="706"/>
      <c r="X24" s="1351"/>
      <c r="Y24" s="368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89"/>
      <c r="Q25" s="1348">
        <f>B25</f>
        <v>111</v>
      </c>
      <c r="R25" s="705" t="s">
        <v>14</v>
      </c>
      <c r="S25" s="706">
        <f>F25</f>
        <v>100</v>
      </c>
      <c r="T25" s="705" t="s">
        <v>14</v>
      </c>
      <c r="U25" s="706">
        <f>H25</f>
        <v>100</v>
      </c>
      <c r="V25" s="705" t="s">
        <v>14</v>
      </c>
      <c r="W25" s="706">
        <f>J25</f>
        <v>100</v>
      </c>
      <c r="X25" s="1351"/>
      <c r="Y25" s="368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89"/>
      <c r="Q26" s="1348">
        <f t="shared" ref="Q26:Q40" si="11">B26</f>
        <v>111</v>
      </c>
      <c r="R26" s="705" t="s">
        <v>14</v>
      </c>
      <c r="S26" s="706">
        <f>F26</f>
        <v>100</v>
      </c>
      <c r="T26" s="705" t="s">
        <v>14</v>
      </c>
      <c r="U26" s="706">
        <f>H26</f>
        <v>100</v>
      </c>
      <c r="V26" s="705" t="s">
        <v>14</v>
      </c>
      <c r="W26" s="706">
        <f>J26</f>
        <v>100</v>
      </c>
      <c r="X26" s="1351"/>
      <c r="Y26" s="368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89"/>
      <c r="Q27" s="1339">
        <f t="shared" si="11"/>
        <v>111</v>
      </c>
      <c r="R27" s="701" t="s">
        <v>14</v>
      </c>
      <c r="S27" s="702">
        <f>F27</f>
        <v>100</v>
      </c>
      <c r="T27" s="701" t="s">
        <v>14</v>
      </c>
      <c r="U27" s="702">
        <f>H27</f>
        <v>100</v>
      </c>
      <c r="V27" s="701" t="s">
        <v>14</v>
      </c>
      <c r="W27" s="702">
        <f>J27</f>
        <v>100</v>
      </c>
      <c r="X27" s="703"/>
      <c r="Y27" s="368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89"/>
      <c r="Q28" s="1348">
        <f t="shared" si="11"/>
        <v>111</v>
      </c>
      <c r="R28" s="705" t="s">
        <v>14</v>
      </c>
      <c r="S28" s="706">
        <f t="shared" ref="S28:S40" si="12">F28</f>
        <v>100</v>
      </c>
      <c r="T28" s="705" t="s">
        <v>14</v>
      </c>
      <c r="U28" s="706">
        <f t="shared" ref="U28:U40" si="13">H28</f>
        <v>100</v>
      </c>
      <c r="V28" s="705" t="s">
        <v>14</v>
      </c>
      <c r="W28" s="706">
        <f t="shared" ref="W28:W40" si="14">J28</f>
        <v>100</v>
      </c>
      <c r="X28" s="1351"/>
      <c r="Y28" s="3689"/>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693"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93"/>
      <c r="Q31" s="1348" t="str">
        <f t="shared" si="11"/>
        <v>建筑结构</v>
      </c>
      <c r="R31" s="705" t="s">
        <v>14</v>
      </c>
      <c r="S31" s="706">
        <f t="shared" si="12"/>
        <v>100</v>
      </c>
      <c r="T31" s="705" t="s">
        <v>14</v>
      </c>
      <c r="U31" s="706">
        <f t="shared" si="13"/>
        <v>100</v>
      </c>
      <c r="V31" s="705" t="s">
        <v>14</v>
      </c>
      <c r="W31" s="706">
        <f t="shared" si="14"/>
        <v>100</v>
      </c>
      <c r="X31" s="1351"/>
      <c r="Y31" s="3693"/>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93"/>
      <c r="Q32" s="1348" t="str">
        <f t="shared" si="11"/>
        <v>公共部分装修</v>
      </c>
      <c r="R32" s="705" t="s">
        <v>14</v>
      </c>
      <c r="S32" s="706">
        <f t="shared" si="12"/>
        <v>100</v>
      </c>
      <c r="T32" s="705" t="s">
        <v>14</v>
      </c>
      <c r="U32" s="706">
        <f t="shared" si="13"/>
        <v>100</v>
      </c>
      <c r="V32" s="705" t="s">
        <v>14</v>
      </c>
      <c r="W32" s="706">
        <f t="shared" si="14"/>
        <v>100</v>
      </c>
      <c r="X32" s="1351"/>
      <c r="Y32" s="3693"/>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93"/>
      <c r="Q33" s="1348" t="str">
        <f t="shared" si="11"/>
        <v>成新度</v>
      </c>
      <c r="R33" s="705" t="s">
        <v>14</v>
      </c>
      <c r="S33" s="706" t="e">
        <f t="shared" si="12"/>
        <v>#N/A</v>
      </c>
      <c r="T33" s="705" t="s">
        <v>14</v>
      </c>
      <c r="U33" s="706" t="e">
        <f t="shared" si="13"/>
        <v>#N/A</v>
      </c>
      <c r="V33" s="705" t="s">
        <v>14</v>
      </c>
      <c r="W33" s="706" t="e">
        <f t="shared" si="14"/>
        <v>#N/A</v>
      </c>
      <c r="X33" s="1351"/>
      <c r="Y33" s="3693"/>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93"/>
      <c r="Q34" s="1339"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93" t="s">
        <v>1694</v>
      </c>
      <c r="Q35" s="1348" t="str">
        <f t="shared" si="11"/>
        <v>市政基础设施</v>
      </c>
      <c r="R35" s="705" t="s">
        <v>14</v>
      </c>
      <c r="S35" s="706">
        <f t="shared" si="12"/>
        <v>100</v>
      </c>
      <c r="T35" s="705" t="s">
        <v>14</v>
      </c>
      <c r="U35" s="706">
        <f t="shared" si="13"/>
        <v>100</v>
      </c>
      <c r="V35" s="705" t="s">
        <v>14</v>
      </c>
      <c r="W35" s="706">
        <f t="shared" si="14"/>
        <v>100</v>
      </c>
      <c r="X35" s="1351"/>
      <c r="Y35" s="3693"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93"/>
      <c r="Q36" s="1348" t="str">
        <f t="shared" si="11"/>
        <v>内部装修</v>
      </c>
      <c r="R36" s="705" t="s">
        <v>14</v>
      </c>
      <c r="S36" s="706">
        <f t="shared" si="12"/>
        <v>100</v>
      </c>
      <c r="T36" s="705" t="s">
        <v>14</v>
      </c>
      <c r="U36" s="706">
        <f t="shared" si="13"/>
        <v>100</v>
      </c>
      <c r="V36" s="705" t="s">
        <v>14</v>
      </c>
      <c r="W36" s="706">
        <f t="shared" si="14"/>
        <v>100</v>
      </c>
      <c r="X36" s="1351"/>
      <c r="Y36" s="3693"/>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93"/>
      <c r="Q37" s="1348" t="str">
        <f t="shared" si="11"/>
        <v>内部装修状况</v>
      </c>
      <c r="R37" s="705" t="s">
        <v>14</v>
      </c>
      <c r="S37" s="706">
        <f t="shared" si="12"/>
        <v>100</v>
      </c>
      <c r="T37" s="705" t="s">
        <v>14</v>
      </c>
      <c r="U37" s="706">
        <f t="shared" si="13"/>
        <v>100</v>
      </c>
      <c r="V37" s="705" t="s">
        <v>14</v>
      </c>
      <c r="W37" s="706">
        <f t="shared" si="14"/>
        <v>100</v>
      </c>
      <c r="X37" s="1351"/>
      <c r="Y37" s="369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93"/>
      <c r="Q39" s="1348">
        <f t="shared" si="11"/>
        <v>111</v>
      </c>
      <c r="R39" s="705" t="s">
        <v>14</v>
      </c>
      <c r="S39" s="706">
        <f t="shared" si="12"/>
        <v>100</v>
      </c>
      <c r="T39" s="705" t="s">
        <v>14</v>
      </c>
      <c r="U39" s="706">
        <f t="shared" si="13"/>
        <v>100</v>
      </c>
      <c r="V39" s="705" t="s">
        <v>14</v>
      </c>
      <c r="W39" s="706">
        <f t="shared" si="14"/>
        <v>100</v>
      </c>
      <c r="X39" s="1351"/>
      <c r="Y39" s="369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94"/>
      <c r="Q40" s="1348">
        <f t="shared" si="11"/>
        <v>111</v>
      </c>
      <c r="R40" s="705" t="s">
        <v>14</v>
      </c>
      <c r="S40" s="706">
        <f t="shared" si="12"/>
        <v>100</v>
      </c>
      <c r="T40" s="705" t="s">
        <v>14</v>
      </c>
      <c r="U40" s="706">
        <f t="shared" si="13"/>
        <v>100</v>
      </c>
      <c r="V40" s="705" t="s">
        <v>14</v>
      </c>
      <c r="W40" s="706">
        <f t="shared" si="14"/>
        <v>100</v>
      </c>
      <c r="X40" s="1351"/>
      <c r="Y40" s="3694"/>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22" t="s">
        <v>1678</v>
      </c>
      <c r="Q7" s="3723"/>
      <c r="R7" s="701" t="s">
        <v>14</v>
      </c>
      <c r="S7" s="702">
        <f t="shared" ref="S7:S14" si="0">F7</f>
        <v>0</v>
      </c>
      <c r="T7" s="701" t="s">
        <v>14</v>
      </c>
      <c r="U7" s="702">
        <f t="shared" ref="U7:U14" si="1">H7</f>
        <v>0</v>
      </c>
      <c r="V7" s="701" t="s">
        <v>14</v>
      </c>
      <c r="W7" s="702">
        <f t="shared" ref="W7:W14"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81" t="s">
        <v>1684</v>
      </c>
      <c r="Q9" s="1339" t="str">
        <f t="shared" ref="Q9:Q14" si="6">B9</f>
        <v>用途</v>
      </c>
      <c r="R9" s="701" t="s">
        <v>14</v>
      </c>
      <c r="S9" s="702">
        <f t="shared" si="0"/>
        <v>100</v>
      </c>
      <c r="T9" s="701" t="s">
        <v>14</v>
      </c>
      <c r="U9" s="702">
        <f t="shared" si="1"/>
        <v>100</v>
      </c>
      <c r="V9" s="701" t="s">
        <v>14</v>
      </c>
      <c r="W9" s="702">
        <f t="shared" si="2"/>
        <v>100</v>
      </c>
      <c r="X9" s="703"/>
      <c r="Y9" s="3579"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81"/>
      <c r="Q11" s="1339">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88" t="s">
        <v>1689</v>
      </c>
      <c r="Q14" s="1348" t="str">
        <f t="shared" si="6"/>
        <v>交通便捷度</v>
      </c>
      <c r="R14" s="705" t="s">
        <v>14</v>
      </c>
      <c r="S14" s="706">
        <f t="shared" si="0"/>
        <v>100</v>
      </c>
      <c r="T14" s="705" t="s">
        <v>14</v>
      </c>
      <c r="U14" s="706">
        <f t="shared" si="1"/>
        <v>100</v>
      </c>
      <c r="V14" s="705" t="s">
        <v>14</v>
      </c>
      <c r="W14" s="706">
        <f t="shared" si="2"/>
        <v>100</v>
      </c>
      <c r="X14" s="1351"/>
      <c r="Y14" s="3688"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689"/>
      <c r="Q15" s="1348"/>
      <c r="R15" s="705"/>
      <c r="S15" s="706"/>
      <c r="T15" s="705"/>
      <c r="U15" s="706"/>
      <c r="V15" s="705"/>
      <c r="W15" s="706"/>
      <c r="X15" s="1351"/>
      <c r="Y15" s="3689"/>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89"/>
      <c r="Q16" s="1348" t="str">
        <f>B16</f>
        <v>公共配套设施</v>
      </c>
      <c r="R16" s="705" t="s">
        <v>14</v>
      </c>
      <c r="S16" s="706">
        <f>F16</f>
        <v>100</v>
      </c>
      <c r="T16" s="705" t="s">
        <v>14</v>
      </c>
      <c r="U16" s="706">
        <f>H16</f>
        <v>100</v>
      </c>
      <c r="V16" s="705" t="s">
        <v>14</v>
      </c>
      <c r="W16" s="706">
        <f>J16</f>
        <v>100</v>
      </c>
      <c r="X16" s="1351"/>
      <c r="Y16" s="368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689"/>
      <c r="Q17" s="1348"/>
      <c r="R17" s="705"/>
      <c r="S17" s="706"/>
      <c r="T17" s="705"/>
      <c r="U17" s="706"/>
      <c r="V17" s="705"/>
      <c r="W17" s="706"/>
      <c r="X17" s="1351"/>
      <c r="Y17" s="3689"/>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89"/>
      <c r="Q18" s="1348" t="str">
        <f>B18</f>
        <v>基础设施水平</v>
      </c>
      <c r="R18" s="705" t="s">
        <v>14</v>
      </c>
      <c r="S18" s="706">
        <f>F18</f>
        <v>100</v>
      </c>
      <c r="T18" s="705" t="s">
        <v>14</v>
      </c>
      <c r="U18" s="706">
        <f>H18</f>
        <v>100</v>
      </c>
      <c r="V18" s="705" t="s">
        <v>14</v>
      </c>
      <c r="W18" s="706">
        <f>J18</f>
        <v>100</v>
      </c>
      <c r="X18" s="1351"/>
      <c r="Y18" s="368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689"/>
      <c r="Q19" s="1348"/>
      <c r="R19" s="705"/>
      <c r="S19" s="706"/>
      <c r="T19" s="705"/>
      <c r="U19" s="706"/>
      <c r="V19" s="705"/>
      <c r="W19" s="706"/>
      <c r="X19" s="1351"/>
      <c r="Y19" s="3689"/>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89"/>
      <c r="Q20" s="1348" t="str">
        <f>B20</f>
        <v>自然及人文环境</v>
      </c>
      <c r="R20" s="705" t="s">
        <v>14</v>
      </c>
      <c r="S20" s="706">
        <f>F20</f>
        <v>100</v>
      </c>
      <c r="T20" s="705" t="s">
        <v>14</v>
      </c>
      <c r="U20" s="706">
        <f>H20</f>
        <v>100</v>
      </c>
      <c r="V20" s="705" t="s">
        <v>14</v>
      </c>
      <c r="W20" s="706">
        <f>J20</f>
        <v>100</v>
      </c>
      <c r="X20" s="1351"/>
      <c r="Y20" s="368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689"/>
      <c r="Q21" s="1348"/>
      <c r="R21" s="705"/>
      <c r="S21" s="706"/>
      <c r="T21" s="705"/>
      <c r="U21" s="706"/>
      <c r="V21" s="705"/>
      <c r="W21" s="706"/>
      <c r="X21" s="1351"/>
      <c r="Y21" s="3689"/>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89"/>
      <c r="Q22" s="1348" t="str">
        <f>B22</f>
        <v>楼层</v>
      </c>
      <c r="R22" s="705" t="s">
        <v>14</v>
      </c>
      <c r="S22" s="706">
        <f>F22</f>
        <v>100</v>
      </c>
      <c r="T22" s="705" t="s">
        <v>14</v>
      </c>
      <c r="U22" s="706">
        <f>H22</f>
        <v>100</v>
      </c>
      <c r="V22" s="705" t="s">
        <v>14</v>
      </c>
      <c r="W22" s="706">
        <f>J22</f>
        <v>100</v>
      </c>
      <c r="X22" s="1351"/>
      <c r="Y22" s="368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89"/>
      <c r="Q23" s="1348">
        <f>B23</f>
        <v>111</v>
      </c>
      <c r="R23" s="705" t="s">
        <v>14</v>
      </c>
      <c r="S23" s="706">
        <f>F23</f>
        <v>100</v>
      </c>
      <c r="T23" s="705" t="s">
        <v>14</v>
      </c>
      <c r="U23" s="706">
        <f>H23</f>
        <v>100</v>
      </c>
      <c r="V23" s="705" t="s">
        <v>14</v>
      </c>
      <c r="W23" s="706">
        <f>J23</f>
        <v>100</v>
      </c>
      <c r="X23" s="1351"/>
      <c r="Y23" s="368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89"/>
      <c r="Q24" s="1348">
        <f t="shared" ref="Q24:Q36" si="11">B24</f>
        <v>111</v>
      </c>
      <c r="R24" s="705" t="s">
        <v>14</v>
      </c>
      <c r="S24" s="706">
        <f>F24</f>
        <v>100</v>
      </c>
      <c r="T24" s="705" t="s">
        <v>14</v>
      </c>
      <c r="U24" s="706">
        <f>H24</f>
        <v>100</v>
      </c>
      <c r="V24" s="705" t="s">
        <v>14</v>
      </c>
      <c r="W24" s="706">
        <f>J24</f>
        <v>100</v>
      </c>
      <c r="X24" s="1351"/>
      <c r="Y24" s="368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89"/>
      <c r="Q25" s="1339">
        <f t="shared" si="11"/>
        <v>111</v>
      </c>
      <c r="R25" s="701" t="s">
        <v>14</v>
      </c>
      <c r="S25" s="702">
        <f>F25</f>
        <v>100</v>
      </c>
      <c r="T25" s="701" t="s">
        <v>14</v>
      </c>
      <c r="U25" s="702">
        <f>H25</f>
        <v>100</v>
      </c>
      <c r="V25" s="701" t="s">
        <v>14</v>
      </c>
      <c r="W25" s="702">
        <f>J25</f>
        <v>100</v>
      </c>
      <c r="X25" s="703"/>
      <c r="Y25" s="3689"/>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93"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93"/>
      <c r="Q28" s="1348" t="str">
        <f t="shared" si="11"/>
        <v>公共部分装修</v>
      </c>
      <c r="R28" s="705" t="s">
        <v>14</v>
      </c>
      <c r="S28" s="706">
        <f t="shared" si="12"/>
        <v>100</v>
      </c>
      <c r="T28" s="705" t="s">
        <v>14</v>
      </c>
      <c r="U28" s="706">
        <f t="shared" si="13"/>
        <v>100</v>
      </c>
      <c r="V28" s="705" t="s">
        <v>14</v>
      </c>
      <c r="W28" s="706">
        <f t="shared" si="14"/>
        <v>100</v>
      </c>
      <c r="X28" s="1351"/>
      <c r="Y28" s="3693"/>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93"/>
      <c r="Q29" s="1348" t="str">
        <f t="shared" si="11"/>
        <v>成新率</v>
      </c>
      <c r="R29" s="705" t="s">
        <v>14</v>
      </c>
      <c r="S29" s="706" t="e">
        <f t="shared" si="12"/>
        <v>#N/A</v>
      </c>
      <c r="T29" s="705" t="s">
        <v>14</v>
      </c>
      <c r="U29" s="706" t="e">
        <f t="shared" si="13"/>
        <v>#N/A</v>
      </c>
      <c r="V29" s="705" t="s">
        <v>14</v>
      </c>
      <c r="W29" s="706" t="e">
        <f t="shared" si="14"/>
        <v>#N/A</v>
      </c>
      <c r="X29" s="1351"/>
      <c r="Y29" s="3693"/>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93"/>
      <c r="Q30" s="1348" t="str">
        <f t="shared" si="11"/>
        <v>物业等级</v>
      </c>
      <c r="R30" s="705" t="s">
        <v>14</v>
      </c>
      <c r="S30" s="706">
        <f t="shared" si="12"/>
        <v>100</v>
      </c>
      <c r="T30" s="705" t="s">
        <v>14</v>
      </c>
      <c r="U30" s="706">
        <f t="shared" si="13"/>
        <v>100</v>
      </c>
      <c r="V30" s="705" t="s">
        <v>14</v>
      </c>
      <c r="W30" s="706">
        <f t="shared" si="14"/>
        <v>100</v>
      </c>
      <c r="X30" s="1351"/>
      <c r="Y30" s="3693"/>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93"/>
      <c r="Q31" s="1339"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93" t="s">
        <v>1694</v>
      </c>
      <c r="Q32" s="1348" t="str">
        <f t="shared" si="11"/>
        <v>车位类型</v>
      </c>
      <c r="R32" s="705" t="s">
        <v>14</v>
      </c>
      <c r="S32" s="706">
        <f t="shared" si="12"/>
        <v>100</v>
      </c>
      <c r="T32" s="705" t="s">
        <v>14</v>
      </c>
      <c r="U32" s="706">
        <f t="shared" si="13"/>
        <v>100</v>
      </c>
      <c r="V32" s="705" t="s">
        <v>14</v>
      </c>
      <c r="W32" s="706">
        <f t="shared" si="14"/>
        <v>100</v>
      </c>
      <c r="X32" s="1351"/>
      <c r="Y32" s="3693"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93"/>
      <c r="Q33" s="1348" t="str">
        <f t="shared" si="11"/>
        <v>是否直接入户</v>
      </c>
      <c r="R33" s="705" t="s">
        <v>14</v>
      </c>
      <c r="S33" s="706">
        <f t="shared" si="12"/>
        <v>100</v>
      </c>
      <c r="T33" s="705" t="s">
        <v>14</v>
      </c>
      <c r="U33" s="706">
        <f t="shared" si="13"/>
        <v>100</v>
      </c>
      <c r="V33" s="705" t="s">
        <v>14</v>
      </c>
      <c r="W33" s="706">
        <f t="shared" si="14"/>
        <v>100</v>
      </c>
      <c r="X33" s="1351"/>
      <c r="Y33" s="369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93"/>
      <c r="Q34" s="1348">
        <f t="shared" si="11"/>
        <v>111</v>
      </c>
      <c r="R34" s="705" t="s">
        <v>14</v>
      </c>
      <c r="S34" s="706">
        <f t="shared" si="12"/>
        <v>100</v>
      </c>
      <c r="T34" s="705" t="s">
        <v>14</v>
      </c>
      <c r="U34" s="706">
        <f t="shared" si="13"/>
        <v>100</v>
      </c>
      <c r="V34" s="705" t="s">
        <v>14</v>
      </c>
      <c r="W34" s="706">
        <f t="shared" si="14"/>
        <v>100</v>
      </c>
      <c r="X34" s="1351"/>
      <c r="Y34" s="369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93"/>
      <c r="Q36" s="1348">
        <f t="shared" si="11"/>
        <v>111</v>
      </c>
      <c r="R36" s="705" t="s">
        <v>14</v>
      </c>
      <c r="S36" s="706">
        <f t="shared" si="12"/>
        <v>100</v>
      </c>
      <c r="T36" s="705" t="s">
        <v>14</v>
      </c>
      <c r="U36" s="706">
        <f t="shared" si="13"/>
        <v>100</v>
      </c>
      <c r="V36" s="705" t="s">
        <v>14</v>
      </c>
      <c r="W36" s="706">
        <f t="shared" si="14"/>
        <v>100</v>
      </c>
      <c r="X36" s="1351"/>
      <c r="Y36" s="3693"/>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681" t="str">
        <f>A37</f>
        <v>成交单价</v>
      </c>
      <c r="Q37" s="3681"/>
      <c r="R37" s="3682">
        <f>E37</f>
        <v>0</v>
      </c>
      <c r="S37" s="3682"/>
      <c r="T37" s="3682">
        <f>G37</f>
        <v>0</v>
      </c>
      <c r="U37" s="3682"/>
      <c r="V37" s="3682">
        <f>I37</f>
        <v>0</v>
      </c>
      <c r="W37" s="3682"/>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2" t="str">
        <f>A39</f>
        <v>估价对象XX用房的比较价值（楼面单价，元/平方米）</v>
      </c>
      <c r="Q39" s="3753"/>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22" t="s">
        <v>1678</v>
      </c>
      <c r="Q7" s="3723"/>
      <c r="R7" s="701" t="s">
        <v>14</v>
      </c>
      <c r="S7" s="702">
        <f t="shared" ref="S7:S14" si="0">F7</f>
        <v>0</v>
      </c>
      <c r="T7" s="701" t="s">
        <v>14</v>
      </c>
      <c r="U7" s="702">
        <f t="shared" ref="U7:U14" si="1">H7</f>
        <v>0</v>
      </c>
      <c r="V7" s="701" t="s">
        <v>14</v>
      </c>
      <c r="W7" s="702">
        <f t="shared" ref="W7:W14"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81" t="s">
        <v>1684</v>
      </c>
      <c r="Q9" s="1339" t="str">
        <f t="shared" ref="Q9:Q14" si="6">B9</f>
        <v>用途</v>
      </c>
      <c r="R9" s="701" t="s">
        <v>14</v>
      </c>
      <c r="S9" s="702">
        <f t="shared" si="0"/>
        <v>100</v>
      </c>
      <c r="T9" s="701" t="s">
        <v>14</v>
      </c>
      <c r="U9" s="702">
        <f t="shared" si="1"/>
        <v>100</v>
      </c>
      <c r="V9" s="701" t="s">
        <v>14</v>
      </c>
      <c r="W9" s="702">
        <f t="shared" si="2"/>
        <v>100</v>
      </c>
      <c r="X9" s="703"/>
      <c r="Y9" s="3579"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81"/>
      <c r="Q11" s="1339">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88" t="s">
        <v>1689</v>
      </c>
      <c r="Q14" s="1348" t="str">
        <f t="shared" si="6"/>
        <v>交通便捷度</v>
      </c>
      <c r="R14" s="705" t="s">
        <v>14</v>
      </c>
      <c r="S14" s="706">
        <f t="shared" si="0"/>
        <v>100</v>
      </c>
      <c r="T14" s="705" t="s">
        <v>14</v>
      </c>
      <c r="U14" s="706">
        <f t="shared" si="1"/>
        <v>100</v>
      </c>
      <c r="V14" s="705" t="s">
        <v>14</v>
      </c>
      <c r="W14" s="706">
        <f t="shared" si="2"/>
        <v>100</v>
      </c>
      <c r="X14" s="1351"/>
      <c r="Y14" s="3688"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689"/>
      <c r="Q15" s="1348"/>
      <c r="R15" s="705"/>
      <c r="S15" s="706"/>
      <c r="T15" s="705"/>
      <c r="U15" s="706"/>
      <c r="V15" s="705"/>
      <c r="W15" s="706"/>
      <c r="X15" s="1351"/>
      <c r="Y15" s="3689"/>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89"/>
      <c r="Q16" s="1348" t="str">
        <f>B16</f>
        <v>公共配套设施</v>
      </c>
      <c r="R16" s="705" t="s">
        <v>14</v>
      </c>
      <c r="S16" s="706">
        <f>F16</f>
        <v>100</v>
      </c>
      <c r="T16" s="705" t="s">
        <v>14</v>
      </c>
      <c r="U16" s="706">
        <f>H16</f>
        <v>100</v>
      </c>
      <c r="V16" s="705" t="s">
        <v>14</v>
      </c>
      <c r="W16" s="706">
        <f>J16</f>
        <v>100</v>
      </c>
      <c r="X16" s="1351"/>
      <c r="Y16" s="368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689"/>
      <c r="Q17" s="1348"/>
      <c r="R17" s="705"/>
      <c r="S17" s="706"/>
      <c r="T17" s="705"/>
      <c r="U17" s="706"/>
      <c r="V17" s="705"/>
      <c r="W17" s="706"/>
      <c r="X17" s="1351"/>
      <c r="Y17" s="3689"/>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89"/>
      <c r="Q18" s="1348" t="str">
        <f>B18</f>
        <v>基础设施水平</v>
      </c>
      <c r="R18" s="705" t="s">
        <v>14</v>
      </c>
      <c r="S18" s="706">
        <f>F18</f>
        <v>100</v>
      </c>
      <c r="T18" s="705" t="s">
        <v>14</v>
      </c>
      <c r="U18" s="706">
        <f>H18</f>
        <v>100</v>
      </c>
      <c r="V18" s="705" t="s">
        <v>14</v>
      </c>
      <c r="W18" s="706">
        <f>J18</f>
        <v>100</v>
      </c>
      <c r="X18" s="1351"/>
      <c r="Y18" s="368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689"/>
      <c r="Q19" s="1348"/>
      <c r="R19" s="705"/>
      <c r="S19" s="706"/>
      <c r="T19" s="705"/>
      <c r="U19" s="706"/>
      <c r="V19" s="705"/>
      <c r="W19" s="706"/>
      <c r="X19" s="1351"/>
      <c r="Y19" s="3689"/>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89"/>
      <c r="Q20" s="1348" t="str">
        <f>B20</f>
        <v>自然及人文环境</v>
      </c>
      <c r="R20" s="705" t="s">
        <v>14</v>
      </c>
      <c r="S20" s="706">
        <f>F20</f>
        <v>100</v>
      </c>
      <c r="T20" s="705" t="s">
        <v>14</v>
      </c>
      <c r="U20" s="706">
        <f>H20</f>
        <v>100</v>
      </c>
      <c r="V20" s="705" t="s">
        <v>14</v>
      </c>
      <c r="W20" s="706">
        <f>J20</f>
        <v>100</v>
      </c>
      <c r="X20" s="1351"/>
      <c r="Y20" s="368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689"/>
      <c r="Q21" s="1348"/>
      <c r="R21" s="705"/>
      <c r="S21" s="706"/>
      <c r="T21" s="705"/>
      <c r="U21" s="706"/>
      <c r="V21" s="705"/>
      <c r="W21" s="706"/>
      <c r="X21" s="1351"/>
      <c r="Y21" s="3689"/>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89"/>
      <c r="Q22" s="1348" t="str">
        <f>B22</f>
        <v>楼层</v>
      </c>
      <c r="R22" s="705" t="s">
        <v>14</v>
      </c>
      <c r="S22" s="706">
        <f>F22</f>
        <v>100</v>
      </c>
      <c r="T22" s="705" t="s">
        <v>14</v>
      </c>
      <c r="U22" s="706">
        <f>H22</f>
        <v>100</v>
      </c>
      <c r="V22" s="705" t="s">
        <v>14</v>
      </c>
      <c r="W22" s="706">
        <f>J22</f>
        <v>100</v>
      </c>
      <c r="X22" s="1351"/>
      <c r="Y22" s="368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89"/>
      <c r="Q23" s="1348">
        <f>B23</f>
        <v>111</v>
      </c>
      <c r="R23" s="705" t="s">
        <v>14</v>
      </c>
      <c r="S23" s="706">
        <f>F23</f>
        <v>100</v>
      </c>
      <c r="T23" s="705" t="s">
        <v>14</v>
      </c>
      <c r="U23" s="706">
        <f>H23</f>
        <v>100</v>
      </c>
      <c r="V23" s="705" t="s">
        <v>14</v>
      </c>
      <c r="W23" s="706">
        <f>J23</f>
        <v>100</v>
      </c>
      <c r="X23" s="1351"/>
      <c r="Y23" s="368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89"/>
      <c r="Q24" s="1348">
        <f t="shared" ref="Q24:Q34" si="11">B24</f>
        <v>111</v>
      </c>
      <c r="R24" s="705" t="s">
        <v>14</v>
      </c>
      <c r="S24" s="706">
        <f>F24</f>
        <v>100</v>
      </c>
      <c r="T24" s="705" t="s">
        <v>14</v>
      </c>
      <c r="U24" s="706">
        <f>H24</f>
        <v>100</v>
      </c>
      <c r="V24" s="705" t="s">
        <v>14</v>
      </c>
      <c r="W24" s="706">
        <f>J24</f>
        <v>100</v>
      </c>
      <c r="X24" s="1351"/>
      <c r="Y24" s="3689"/>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689"/>
      <c r="Q25" s="1339">
        <f t="shared" si="11"/>
        <v>111</v>
      </c>
      <c r="R25" s="701" t="s">
        <v>14</v>
      </c>
      <c r="S25" s="702">
        <f>F25</f>
        <v>100</v>
      </c>
      <c r="T25" s="701" t="s">
        <v>14</v>
      </c>
      <c r="U25" s="702">
        <f>H25</f>
        <v>100</v>
      </c>
      <c r="V25" s="701" t="s">
        <v>14</v>
      </c>
      <c r="W25" s="702">
        <f>J25</f>
        <v>100</v>
      </c>
      <c r="X25" s="703"/>
      <c r="Y25" s="3689"/>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93"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93"/>
      <c r="Q28" s="1348" t="str">
        <f t="shared" si="11"/>
        <v>物业等级</v>
      </c>
      <c r="R28" s="705" t="s">
        <v>14</v>
      </c>
      <c r="S28" s="706">
        <f t="shared" si="12"/>
        <v>100</v>
      </c>
      <c r="T28" s="705" t="s">
        <v>14</v>
      </c>
      <c r="U28" s="706">
        <f t="shared" si="13"/>
        <v>100</v>
      </c>
      <c r="V28" s="705" t="s">
        <v>14</v>
      </c>
      <c r="W28" s="706">
        <f t="shared" si="14"/>
        <v>100</v>
      </c>
      <c r="X28" s="1351"/>
      <c r="Y28" s="3693"/>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93"/>
      <c r="Q29" s="1348" t="str">
        <f t="shared" si="11"/>
        <v>有无电梯</v>
      </c>
      <c r="R29" s="705" t="s">
        <v>14</v>
      </c>
      <c r="S29" s="706">
        <f t="shared" si="12"/>
        <v>100</v>
      </c>
      <c r="T29" s="705" t="s">
        <v>14</v>
      </c>
      <c r="U29" s="706">
        <f t="shared" si="13"/>
        <v>100</v>
      </c>
      <c r="V29" s="705" t="s">
        <v>14</v>
      </c>
      <c r="W29" s="706">
        <f t="shared" si="14"/>
        <v>100</v>
      </c>
      <c r="X29" s="1351"/>
      <c r="Y29" s="3693"/>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93"/>
      <c r="Q30" s="1348" t="str">
        <f t="shared" si="11"/>
        <v>建筑面积</v>
      </c>
      <c r="R30" s="705" t="s">
        <v>14</v>
      </c>
      <c r="S30" s="706" t="e">
        <f t="shared" si="12"/>
        <v>#N/A</v>
      </c>
      <c r="T30" s="705" t="s">
        <v>14</v>
      </c>
      <c r="U30" s="706" t="e">
        <f t="shared" si="13"/>
        <v>#N/A</v>
      </c>
      <c r="V30" s="705" t="s">
        <v>14</v>
      </c>
      <c r="W30" s="706" t="e">
        <f t="shared" si="14"/>
        <v>#N/A</v>
      </c>
      <c r="X30" s="1351"/>
      <c r="Y30" s="3693"/>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93"/>
      <c r="Q31" s="1339"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93" t="s">
        <v>1694</v>
      </c>
      <c r="Q32" s="1348">
        <f t="shared" si="11"/>
        <v>111</v>
      </c>
      <c r="R32" s="705" t="s">
        <v>14</v>
      </c>
      <c r="S32" s="706">
        <f t="shared" si="12"/>
        <v>100</v>
      </c>
      <c r="T32" s="705" t="s">
        <v>14</v>
      </c>
      <c r="U32" s="706">
        <f t="shared" si="13"/>
        <v>100</v>
      </c>
      <c r="V32" s="705" t="s">
        <v>14</v>
      </c>
      <c r="W32" s="706">
        <f t="shared" si="14"/>
        <v>100</v>
      </c>
      <c r="X32" s="1351"/>
      <c r="Y32" s="3693"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93"/>
      <c r="Q33" s="1348">
        <f t="shared" si="11"/>
        <v>111</v>
      </c>
      <c r="R33" s="705" t="s">
        <v>14</v>
      </c>
      <c r="S33" s="706">
        <f t="shared" si="12"/>
        <v>100</v>
      </c>
      <c r="T33" s="705" t="s">
        <v>14</v>
      </c>
      <c r="U33" s="706">
        <f t="shared" si="13"/>
        <v>100</v>
      </c>
      <c r="V33" s="705" t="s">
        <v>14</v>
      </c>
      <c r="W33" s="706">
        <f t="shared" si="14"/>
        <v>100</v>
      </c>
      <c r="X33" s="1351"/>
      <c r="Y33" s="3693"/>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693"/>
      <c r="Q34" s="1348">
        <f t="shared" si="11"/>
        <v>111</v>
      </c>
      <c r="R34" s="705" t="s">
        <v>14</v>
      </c>
      <c r="S34" s="706">
        <f t="shared" si="12"/>
        <v>100</v>
      </c>
      <c r="T34" s="705" t="s">
        <v>14</v>
      </c>
      <c r="U34" s="706">
        <f t="shared" si="13"/>
        <v>100</v>
      </c>
      <c r="V34" s="705" t="s">
        <v>14</v>
      </c>
      <c r="W34" s="706">
        <f t="shared" si="14"/>
        <v>100</v>
      </c>
      <c r="X34" s="1351"/>
      <c r="Y34" s="3693"/>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2" t="str">
        <f>A37</f>
        <v>估价对象XX用房的比较价值（楼面单价，元/平方米）</v>
      </c>
      <c r="Q37" s="3753"/>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30"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30"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22" t="s">
        <v>1681</v>
      </c>
      <c r="Q8" s="3721"/>
      <c r="R8" s="701" t="s">
        <v>14</v>
      </c>
      <c r="S8" s="702">
        <f t="shared" si="0"/>
        <v>0</v>
      </c>
      <c r="T8" s="701" t="s">
        <v>14</v>
      </c>
      <c r="U8" s="702">
        <f t="shared" si="1"/>
        <v>0</v>
      </c>
      <c r="V8" s="701" t="s">
        <v>14</v>
      </c>
      <c r="W8" s="702">
        <f t="shared" si="2"/>
        <v>0</v>
      </c>
      <c r="X8" s="703"/>
      <c r="Y8" s="3722" t="s">
        <v>1681</v>
      </c>
      <c r="Z8" s="3721"/>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681"/>
      <c r="Q10" s="1339" t="str">
        <f t="shared" si="6"/>
        <v>土地使用年限（年）</v>
      </c>
      <c r="R10" s="701" t="s">
        <v>14</v>
      </c>
      <c r="S10" s="702">
        <f t="shared" si="0"/>
        <v>123</v>
      </c>
      <c r="T10" s="701" t="s">
        <v>14</v>
      </c>
      <c r="U10" s="702">
        <f t="shared" si="1"/>
        <v>123</v>
      </c>
      <c r="V10" s="701" t="s">
        <v>14</v>
      </c>
      <c r="W10" s="702">
        <f t="shared" si="2"/>
        <v>123</v>
      </c>
      <c r="X10" s="703"/>
      <c r="Y10" s="3579"/>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81"/>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81"/>
      <c r="Q12" s="1339" t="str">
        <f t="shared" si="6"/>
        <v>配建</v>
      </c>
      <c r="R12" s="701" t="s">
        <v>14</v>
      </c>
      <c r="S12" s="702">
        <f t="shared" si="0"/>
        <v>100</v>
      </c>
      <c r="T12" s="701" t="s">
        <v>14</v>
      </c>
      <c r="U12" s="702">
        <f t="shared" si="1"/>
        <v>100</v>
      </c>
      <c r="V12" s="701" t="s">
        <v>14</v>
      </c>
      <c r="W12" s="702">
        <f t="shared" si="2"/>
        <v>100</v>
      </c>
      <c r="X12" s="703"/>
      <c r="Y12" s="3579"/>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88" t="s">
        <v>1689</v>
      </c>
      <c r="Q15" s="1348" t="str">
        <f t="shared" si="6"/>
        <v>居住社区成熟度</v>
      </c>
      <c r="R15" s="705" t="s">
        <v>14</v>
      </c>
      <c r="S15" s="706">
        <f t="shared" si="0"/>
        <v>100</v>
      </c>
      <c r="T15" s="705" t="s">
        <v>14</v>
      </c>
      <c r="U15" s="706">
        <f t="shared" si="1"/>
        <v>100</v>
      </c>
      <c r="V15" s="705" t="s">
        <v>14</v>
      </c>
      <c r="W15" s="706">
        <f t="shared" si="2"/>
        <v>100</v>
      </c>
      <c r="X15" s="1351"/>
      <c r="Y15" s="3688"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689"/>
      <c r="Q16" s="1348"/>
      <c r="R16" s="705"/>
      <c r="S16" s="706"/>
      <c r="T16" s="705"/>
      <c r="U16" s="706"/>
      <c r="V16" s="705"/>
      <c r="W16" s="706"/>
      <c r="X16" s="1351"/>
      <c r="Y16" s="3689"/>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89"/>
      <c r="Q17" s="1348" t="str">
        <f>B17</f>
        <v>商业繁华度</v>
      </c>
      <c r="R17" s="705" t="s">
        <v>14</v>
      </c>
      <c r="S17" s="706">
        <f>F17</f>
        <v>100</v>
      </c>
      <c r="T17" s="705" t="s">
        <v>14</v>
      </c>
      <c r="U17" s="706">
        <f>H17</f>
        <v>100</v>
      </c>
      <c r="V17" s="705" t="s">
        <v>14</v>
      </c>
      <c r="W17" s="706">
        <f>J17</f>
        <v>100</v>
      </c>
      <c r="X17" s="1351"/>
      <c r="Y17" s="368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689"/>
      <c r="Q18" s="1348"/>
      <c r="R18" s="705"/>
      <c r="S18" s="706"/>
      <c r="T18" s="705"/>
      <c r="U18" s="706"/>
      <c r="V18" s="705"/>
      <c r="W18" s="706"/>
      <c r="X18" s="1351"/>
      <c r="Y18" s="3689"/>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89"/>
      <c r="Q19" s="1348" t="str">
        <f>B19</f>
        <v>办公集聚程度</v>
      </c>
      <c r="R19" s="705" t="s">
        <v>14</v>
      </c>
      <c r="S19" s="706">
        <f>F19</f>
        <v>100</v>
      </c>
      <c r="T19" s="705" t="s">
        <v>14</v>
      </c>
      <c r="U19" s="706">
        <f>H19</f>
        <v>100</v>
      </c>
      <c r="V19" s="705" t="s">
        <v>14</v>
      </c>
      <c r="W19" s="706">
        <f>J19</f>
        <v>100</v>
      </c>
      <c r="X19" s="1351"/>
      <c r="Y19" s="368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689"/>
      <c r="Q20" s="1348"/>
      <c r="R20" s="705"/>
      <c r="S20" s="706"/>
      <c r="T20" s="705"/>
      <c r="U20" s="706"/>
      <c r="V20" s="705"/>
      <c r="W20" s="706"/>
      <c r="X20" s="1351"/>
      <c r="Y20" s="3689"/>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89"/>
      <c r="Q21" s="1348" t="str">
        <f>B21</f>
        <v>交通便捷度</v>
      </c>
      <c r="R21" s="705" t="s">
        <v>14</v>
      </c>
      <c r="S21" s="706">
        <f>F21</f>
        <v>100</v>
      </c>
      <c r="T21" s="705" t="s">
        <v>14</v>
      </c>
      <c r="U21" s="706">
        <f>H21</f>
        <v>100</v>
      </c>
      <c r="V21" s="705" t="s">
        <v>14</v>
      </c>
      <c r="W21" s="706">
        <f>J21</f>
        <v>100</v>
      </c>
      <c r="X21" s="1351"/>
      <c r="Y21" s="368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689"/>
      <c r="Q22" s="1348"/>
      <c r="R22" s="705"/>
      <c r="S22" s="706"/>
      <c r="T22" s="705"/>
      <c r="U22" s="706"/>
      <c r="V22" s="705"/>
      <c r="W22" s="706"/>
      <c r="X22" s="1351"/>
      <c r="Y22" s="3689"/>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89"/>
      <c r="Q23" s="1348" t="str">
        <f t="shared" ref="Q23:Q37" si="8">B23</f>
        <v>区域土地利用方向</v>
      </c>
      <c r="R23" s="705" t="s">
        <v>14</v>
      </c>
      <c r="S23" s="706">
        <f>F23</f>
        <v>100</v>
      </c>
      <c r="T23" s="705" t="s">
        <v>14</v>
      </c>
      <c r="U23" s="706">
        <f>H23</f>
        <v>100</v>
      </c>
      <c r="V23" s="705" t="s">
        <v>14</v>
      </c>
      <c r="W23" s="706">
        <f>J23</f>
        <v>100</v>
      </c>
      <c r="X23" s="1351"/>
      <c r="Y23" s="368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689"/>
      <c r="Q24" s="1348"/>
      <c r="R24" s="705"/>
      <c r="S24" s="706"/>
      <c r="T24" s="705"/>
      <c r="U24" s="706"/>
      <c r="V24" s="705"/>
      <c r="W24" s="706"/>
      <c r="X24" s="1351"/>
      <c r="Y24" s="3689"/>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89"/>
      <c r="Q25" s="1348" t="str">
        <f t="shared" si="8"/>
        <v>自然及人文环境状况</v>
      </c>
      <c r="R25" s="705" t="s">
        <v>14</v>
      </c>
      <c r="S25" s="706">
        <f>F25</f>
        <v>100</v>
      </c>
      <c r="T25" s="705" t="s">
        <v>14</v>
      </c>
      <c r="U25" s="706">
        <f>H25</f>
        <v>100</v>
      </c>
      <c r="V25" s="705" t="s">
        <v>14</v>
      </c>
      <c r="W25" s="706">
        <f>J25</f>
        <v>100</v>
      </c>
      <c r="X25" s="1351"/>
      <c r="Y25" s="368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689"/>
      <c r="Q26" s="1348"/>
      <c r="R26" s="705"/>
      <c r="S26" s="706"/>
      <c r="T26" s="705"/>
      <c r="U26" s="706"/>
      <c r="V26" s="705"/>
      <c r="W26" s="706"/>
      <c r="X26" s="1351"/>
      <c r="Y26" s="3689"/>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89"/>
      <c r="Q27" s="1339" t="str">
        <f t="shared" si="8"/>
        <v>公共配套设施</v>
      </c>
      <c r="R27" s="701" t="s">
        <v>14</v>
      </c>
      <c r="S27" s="702">
        <f>F27</f>
        <v>100</v>
      </c>
      <c r="T27" s="701" t="s">
        <v>14</v>
      </c>
      <c r="U27" s="702">
        <f>H27</f>
        <v>100</v>
      </c>
      <c r="V27" s="701" t="s">
        <v>14</v>
      </c>
      <c r="W27" s="702">
        <f>J27</f>
        <v>100</v>
      </c>
      <c r="X27" s="703"/>
      <c r="Y27" s="3689"/>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689"/>
      <c r="Q28" s="1339"/>
      <c r="R28" s="701"/>
      <c r="S28" s="702"/>
      <c r="T28" s="701"/>
      <c r="U28" s="702"/>
      <c r="V28" s="701"/>
      <c r="W28" s="702"/>
      <c r="X28" s="703"/>
      <c r="Y28" s="3689"/>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89"/>
      <c r="Q29" s="1339" t="str">
        <f t="shared" ref="Q29" si="9">B29</f>
        <v>基础设施水平</v>
      </c>
      <c r="R29" s="701" t="s">
        <v>14</v>
      </c>
      <c r="S29" s="702">
        <f>F29</f>
        <v>100</v>
      </c>
      <c r="T29" s="701" t="s">
        <v>14</v>
      </c>
      <c r="U29" s="702">
        <f>H29</f>
        <v>100</v>
      </c>
      <c r="V29" s="701" t="s">
        <v>14</v>
      </c>
      <c r="W29" s="702">
        <f>J29</f>
        <v>100</v>
      </c>
      <c r="X29" s="703"/>
      <c r="Y29" s="3689"/>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689"/>
      <c r="Q30" s="1339"/>
      <c r="R30" s="701"/>
      <c r="S30" s="702"/>
      <c r="T30" s="701"/>
      <c r="U30" s="702"/>
      <c r="V30" s="701"/>
      <c r="W30" s="702"/>
      <c r="X30" s="703"/>
      <c r="Y30" s="3689"/>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89"/>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89"/>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89"/>
      <c r="Q32" s="1348" t="str">
        <f t="shared" si="8"/>
        <v>毗邻道路的类型与等级</v>
      </c>
      <c r="R32" s="705" t="s">
        <v>14</v>
      </c>
      <c r="S32" s="706">
        <f t="shared" si="10"/>
        <v>100</v>
      </c>
      <c r="T32" s="705" t="s">
        <v>14</v>
      </c>
      <c r="U32" s="706">
        <f t="shared" si="11"/>
        <v>100</v>
      </c>
      <c r="V32" s="705" t="s">
        <v>14</v>
      </c>
      <c r="W32" s="706">
        <f t="shared" si="12"/>
        <v>100</v>
      </c>
      <c r="X32" s="1351"/>
      <c r="Y32" s="368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689"/>
      <c r="Q33" s="1348"/>
      <c r="R33" s="705"/>
      <c r="S33" s="706"/>
      <c r="T33" s="705"/>
      <c r="U33" s="706"/>
      <c r="V33" s="705"/>
      <c r="W33" s="706"/>
      <c r="X33" s="1351"/>
      <c r="Y33" s="3689"/>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89"/>
      <c r="Q34" s="1348" t="str">
        <f t="shared" si="8"/>
        <v>土地级别</v>
      </c>
      <c r="R34" s="705" t="s">
        <v>14</v>
      </c>
      <c r="S34" s="706">
        <f t="shared" si="10"/>
        <v>100</v>
      </c>
      <c r="T34" s="705" t="s">
        <v>14</v>
      </c>
      <c r="U34" s="706">
        <f t="shared" si="11"/>
        <v>100</v>
      </c>
      <c r="V34" s="705" t="s">
        <v>14</v>
      </c>
      <c r="W34" s="706">
        <f t="shared" si="12"/>
        <v>100</v>
      </c>
      <c r="X34" s="1351"/>
      <c r="Y34" s="368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89"/>
      <c r="Q35" s="1348">
        <f t="shared" si="8"/>
        <v>111</v>
      </c>
      <c r="R35" s="705" t="s">
        <v>14</v>
      </c>
      <c r="S35" s="706">
        <f t="shared" si="10"/>
        <v>100</v>
      </c>
      <c r="T35" s="705" t="s">
        <v>14</v>
      </c>
      <c r="U35" s="706">
        <f t="shared" si="11"/>
        <v>100</v>
      </c>
      <c r="V35" s="705" t="s">
        <v>14</v>
      </c>
      <c r="W35" s="706">
        <f t="shared" si="12"/>
        <v>100</v>
      </c>
      <c r="X35" s="1351"/>
      <c r="Y35" s="368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693"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93"/>
      <c r="Q37" s="1348">
        <f t="shared" si="8"/>
        <v>111</v>
      </c>
      <c r="R37" s="708" t="s">
        <v>14</v>
      </c>
      <c r="S37" s="709">
        <f t="shared" si="10"/>
        <v>100</v>
      </c>
      <c r="T37" s="708" t="s">
        <v>14</v>
      </c>
      <c r="U37" s="709">
        <f t="shared" si="11"/>
        <v>100</v>
      </c>
      <c r="V37" s="708" t="s">
        <v>14</v>
      </c>
      <c r="W37" s="709">
        <f t="shared" si="12"/>
        <v>100</v>
      </c>
      <c r="X37" s="710"/>
      <c r="Y37" s="3693"/>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93"/>
      <c r="Q38" s="1348" t="str">
        <f>B38</f>
        <v>宗地面积</v>
      </c>
      <c r="R38" s="705" t="s">
        <v>14</v>
      </c>
      <c r="S38" s="706" t="e">
        <f t="shared" si="10"/>
        <v>#N/A</v>
      </c>
      <c r="T38" s="705" t="s">
        <v>14</v>
      </c>
      <c r="U38" s="706" t="e">
        <f t="shared" si="11"/>
        <v>#N/A</v>
      </c>
      <c r="V38" s="705" t="s">
        <v>14</v>
      </c>
      <c r="W38" s="706" t="e">
        <f t="shared" si="12"/>
        <v>#N/A</v>
      </c>
      <c r="X38" s="1351"/>
      <c r="Y38" s="3693"/>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693"/>
      <c r="Q39" s="1348" t="str">
        <f t="shared" ref="Q39:Q45" si="14">B39</f>
        <v>宗地形状</v>
      </c>
      <c r="R39" s="705" t="s">
        <v>14</v>
      </c>
      <c r="S39" s="706">
        <f t="shared" si="10"/>
        <v>100</v>
      </c>
      <c r="T39" s="705" t="s">
        <v>14</v>
      </c>
      <c r="U39" s="706">
        <f t="shared" si="11"/>
        <v>100</v>
      </c>
      <c r="V39" s="705" t="s">
        <v>14</v>
      </c>
      <c r="W39" s="706">
        <f t="shared" si="12"/>
        <v>100</v>
      </c>
      <c r="X39" s="1351"/>
      <c r="Y39" s="3693"/>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693"/>
      <c r="Q40" s="1348" t="str">
        <f t="shared" si="14"/>
        <v>临街宽度及深度</v>
      </c>
      <c r="R40" s="705" t="s">
        <v>14</v>
      </c>
      <c r="S40" s="706">
        <f t="shared" si="10"/>
        <v>100</v>
      </c>
      <c r="T40" s="705" t="s">
        <v>14</v>
      </c>
      <c r="U40" s="706">
        <f t="shared" si="11"/>
        <v>100</v>
      </c>
      <c r="V40" s="705" t="s">
        <v>14</v>
      </c>
      <c r="W40" s="706">
        <f t="shared" si="12"/>
        <v>100</v>
      </c>
      <c r="X40" s="1351"/>
      <c r="Y40" s="3693"/>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693"/>
      <c r="Q41" s="1348"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693" t="s">
        <v>1694</v>
      </c>
      <c r="Q42" s="1348" t="str">
        <f t="shared" si="14"/>
        <v>工程地质条件</v>
      </c>
      <c r="R42" s="705" t="s">
        <v>14</v>
      </c>
      <c r="S42" s="706">
        <f t="shared" si="10"/>
        <v>100</v>
      </c>
      <c r="T42" s="705" t="s">
        <v>14</v>
      </c>
      <c r="U42" s="706">
        <f t="shared" si="11"/>
        <v>100</v>
      </c>
      <c r="V42" s="705" t="s">
        <v>14</v>
      </c>
      <c r="W42" s="706">
        <f t="shared" si="12"/>
        <v>100</v>
      </c>
      <c r="X42" s="1351"/>
      <c r="Y42" s="3693"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93"/>
      <c r="Q43" s="1348">
        <f t="shared" si="14"/>
        <v>111</v>
      </c>
      <c r="R43" s="705" t="s">
        <v>14</v>
      </c>
      <c r="S43" s="706">
        <f t="shared" si="10"/>
        <v>100</v>
      </c>
      <c r="T43" s="705" t="s">
        <v>14</v>
      </c>
      <c r="U43" s="706">
        <f t="shared" si="11"/>
        <v>100</v>
      </c>
      <c r="V43" s="705" t="s">
        <v>14</v>
      </c>
      <c r="W43" s="706">
        <f t="shared" si="12"/>
        <v>100</v>
      </c>
      <c r="X43" s="1351"/>
      <c r="Y43" s="369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93"/>
      <c r="Q44" s="1348">
        <f t="shared" si="14"/>
        <v>111</v>
      </c>
      <c r="R44" s="705" t="s">
        <v>14</v>
      </c>
      <c r="S44" s="706">
        <f t="shared" si="10"/>
        <v>100</v>
      </c>
      <c r="T44" s="705" t="s">
        <v>14</v>
      </c>
      <c r="U44" s="706">
        <f t="shared" si="11"/>
        <v>100</v>
      </c>
      <c r="V44" s="705" t="s">
        <v>14</v>
      </c>
      <c r="W44" s="706">
        <f t="shared" si="12"/>
        <v>100</v>
      </c>
      <c r="X44" s="1351"/>
      <c r="Y44" s="3693"/>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93"/>
      <c r="Q45" s="1348">
        <f t="shared" si="14"/>
        <v>111</v>
      </c>
      <c r="R45" s="708" t="s">
        <v>14</v>
      </c>
      <c r="S45" s="709">
        <f t="shared" si="10"/>
        <v>100</v>
      </c>
      <c r="T45" s="708" t="s">
        <v>14</v>
      </c>
      <c r="U45" s="709">
        <f t="shared" si="11"/>
        <v>100</v>
      </c>
      <c r="V45" s="708" t="s">
        <v>14</v>
      </c>
      <c r="W45" s="709">
        <f t="shared" si="12"/>
        <v>100</v>
      </c>
      <c r="X45" s="710"/>
      <c r="Y45" s="3693"/>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681" t="str">
        <f>A46</f>
        <v>成交单价</v>
      </c>
      <c r="Q46" s="3681"/>
      <c r="R46" s="3715">
        <f>E46</f>
        <v>0</v>
      </c>
      <c r="S46" s="3715"/>
      <c r="T46" s="3715">
        <f>G46</f>
        <v>0</v>
      </c>
      <c r="U46" s="3715"/>
      <c r="V46" s="3715">
        <f>I46</f>
        <v>0</v>
      </c>
      <c r="W46" s="3715"/>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681" t="str">
        <f>A47</f>
        <v>比较价值（元/平方米）</v>
      </c>
      <c r="Q47" s="3681"/>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2" t="str">
        <f>A48</f>
        <v>估价对象XX用房的比较价值（楼面单价，元/平方米）</v>
      </c>
      <c r="Q48" s="3753"/>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698"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80"/>
      <c r="H56" s="3681"/>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22" t="s">
        <v>1681</v>
      </c>
      <c r="Q8" s="3721"/>
      <c r="R8" s="701" t="s">
        <v>14</v>
      </c>
      <c r="S8" s="702">
        <f t="shared" si="0"/>
        <v>0</v>
      </c>
      <c r="T8" s="701" t="s">
        <v>14</v>
      </c>
      <c r="U8" s="702">
        <f t="shared" si="1"/>
        <v>0</v>
      </c>
      <c r="V8" s="701" t="s">
        <v>14</v>
      </c>
      <c r="W8" s="702">
        <f t="shared" si="2"/>
        <v>0</v>
      </c>
      <c r="X8" s="703"/>
      <c r="Y8" s="3722" t="s">
        <v>1681</v>
      </c>
      <c r="Z8" s="3721"/>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681"/>
      <c r="Q10" s="1339" t="str">
        <f t="shared" si="6"/>
        <v>土地使用年限（年）</v>
      </c>
      <c r="R10" s="701" t="s">
        <v>14</v>
      </c>
      <c r="S10" s="702">
        <f t="shared" si="0"/>
        <v>123</v>
      </c>
      <c r="T10" s="701" t="s">
        <v>14</v>
      </c>
      <c r="U10" s="702">
        <f t="shared" si="1"/>
        <v>123</v>
      </c>
      <c r="V10" s="701" t="s">
        <v>14</v>
      </c>
      <c r="W10" s="702">
        <f t="shared" si="2"/>
        <v>123</v>
      </c>
      <c r="X10" s="703"/>
      <c r="Y10" s="3579"/>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81"/>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88" t="s">
        <v>1689</v>
      </c>
      <c r="Q15" s="1348" t="str">
        <f t="shared" si="6"/>
        <v>产业集聚程度</v>
      </c>
      <c r="R15" s="705" t="s">
        <v>14</v>
      </c>
      <c r="S15" s="706">
        <f t="shared" si="0"/>
        <v>100</v>
      </c>
      <c r="T15" s="705" t="s">
        <v>14</v>
      </c>
      <c r="U15" s="706">
        <f t="shared" si="1"/>
        <v>100</v>
      </c>
      <c r="V15" s="705" t="s">
        <v>14</v>
      </c>
      <c r="W15" s="706">
        <f t="shared" si="2"/>
        <v>100</v>
      </c>
      <c r="X15" s="1351"/>
      <c r="Y15" s="3688"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689"/>
      <c r="Q16" s="1348"/>
      <c r="R16" s="705"/>
      <c r="S16" s="706"/>
      <c r="T16" s="705"/>
      <c r="U16" s="706"/>
      <c r="V16" s="705"/>
      <c r="W16" s="706"/>
      <c r="X16" s="1351"/>
      <c r="Y16" s="3689"/>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89"/>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689"/>
      <c r="Q18" s="1348"/>
      <c r="R18" s="705"/>
      <c r="S18" s="706"/>
      <c r="T18" s="705"/>
      <c r="U18" s="706"/>
      <c r="V18" s="705"/>
      <c r="W18" s="706"/>
      <c r="X18" s="1351"/>
      <c r="Y18" s="3689"/>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89"/>
      <c r="Q19" s="1348" t="str">
        <f t="shared" ref="Q19:Q33" si="8">B19</f>
        <v>区域土地利用方向</v>
      </c>
      <c r="R19" s="705" t="s">
        <v>14</v>
      </c>
      <c r="S19" s="706">
        <f>F19</f>
        <v>100</v>
      </c>
      <c r="T19" s="705" t="s">
        <v>14</v>
      </c>
      <c r="U19" s="706">
        <f>H19</f>
        <v>100</v>
      </c>
      <c r="V19" s="705" t="s">
        <v>14</v>
      </c>
      <c r="W19" s="706">
        <f>J19</f>
        <v>100</v>
      </c>
      <c r="X19" s="1351"/>
      <c r="Y19" s="368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689"/>
      <c r="Q20" s="1348"/>
      <c r="R20" s="705"/>
      <c r="S20" s="706"/>
      <c r="T20" s="705"/>
      <c r="U20" s="706"/>
      <c r="V20" s="705"/>
      <c r="W20" s="706"/>
      <c r="X20" s="1351"/>
      <c r="Y20" s="3689"/>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89"/>
      <c r="Q21" s="1348" t="str">
        <f t="shared" si="8"/>
        <v>环境状况</v>
      </c>
      <c r="R21" s="705" t="s">
        <v>14</v>
      </c>
      <c r="S21" s="706">
        <f>F21</f>
        <v>100</v>
      </c>
      <c r="T21" s="705" t="s">
        <v>14</v>
      </c>
      <c r="U21" s="706">
        <f>H21</f>
        <v>100</v>
      </c>
      <c r="V21" s="705" t="s">
        <v>14</v>
      </c>
      <c r="W21" s="706">
        <f>J21</f>
        <v>100</v>
      </c>
      <c r="X21" s="1351"/>
      <c r="Y21" s="368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689"/>
      <c r="Q22" s="1348"/>
      <c r="R22" s="705"/>
      <c r="S22" s="706"/>
      <c r="T22" s="705"/>
      <c r="U22" s="706"/>
      <c r="V22" s="705"/>
      <c r="W22" s="706"/>
      <c r="X22" s="1351"/>
      <c r="Y22" s="3689"/>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89"/>
      <c r="Q23" s="1339" t="str">
        <f t="shared" si="8"/>
        <v>公共配套设施</v>
      </c>
      <c r="R23" s="701" t="s">
        <v>14</v>
      </c>
      <c r="S23" s="702">
        <f>F23</f>
        <v>100</v>
      </c>
      <c r="T23" s="701" t="s">
        <v>14</v>
      </c>
      <c r="U23" s="702">
        <f>H23</f>
        <v>100</v>
      </c>
      <c r="V23" s="701" t="s">
        <v>14</v>
      </c>
      <c r="W23" s="702">
        <f>J23</f>
        <v>100</v>
      </c>
      <c r="X23" s="703"/>
      <c r="Y23" s="3689"/>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689"/>
      <c r="Q24" s="1339"/>
      <c r="R24" s="701"/>
      <c r="S24" s="702"/>
      <c r="T24" s="701"/>
      <c r="U24" s="702"/>
      <c r="V24" s="701"/>
      <c r="W24" s="702"/>
      <c r="X24" s="703"/>
      <c r="Y24" s="3689"/>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89"/>
      <c r="Q25" s="1339" t="str">
        <f t="shared" ref="Q25" si="9">B25</f>
        <v>基础设施水平</v>
      </c>
      <c r="R25" s="701" t="s">
        <v>14</v>
      </c>
      <c r="S25" s="702">
        <f>F25</f>
        <v>100</v>
      </c>
      <c r="T25" s="701" t="s">
        <v>14</v>
      </c>
      <c r="U25" s="702">
        <f>H25</f>
        <v>100</v>
      </c>
      <c r="V25" s="701" t="s">
        <v>14</v>
      </c>
      <c r="W25" s="702">
        <f>J25</f>
        <v>100</v>
      </c>
      <c r="X25" s="703"/>
      <c r="Y25" s="3689"/>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689"/>
      <c r="Q26" s="1339"/>
      <c r="R26" s="701"/>
      <c r="S26" s="702"/>
      <c r="T26" s="701"/>
      <c r="U26" s="702"/>
      <c r="V26" s="701"/>
      <c r="W26" s="702"/>
      <c r="X26" s="703"/>
      <c r="Y26" s="368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89"/>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89"/>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89"/>
      <c r="Q28" s="1348" t="str">
        <f t="shared" si="8"/>
        <v>毗邻道路的类型与等级</v>
      </c>
      <c r="R28" s="705" t="s">
        <v>14</v>
      </c>
      <c r="S28" s="706">
        <f t="shared" si="10"/>
        <v>100</v>
      </c>
      <c r="T28" s="705" t="s">
        <v>14</v>
      </c>
      <c r="U28" s="706">
        <f t="shared" si="11"/>
        <v>100</v>
      </c>
      <c r="V28" s="705" t="s">
        <v>14</v>
      </c>
      <c r="W28" s="706">
        <f t="shared" si="12"/>
        <v>100</v>
      </c>
      <c r="X28" s="1351"/>
      <c r="Y28" s="368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689"/>
      <c r="Q29" s="1348"/>
      <c r="R29" s="705"/>
      <c r="S29" s="706"/>
      <c r="T29" s="705"/>
      <c r="U29" s="706"/>
      <c r="V29" s="705"/>
      <c r="W29" s="706"/>
      <c r="X29" s="1351"/>
      <c r="Y29" s="3689"/>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89"/>
      <c r="Q30" s="1348" t="str">
        <f t="shared" si="8"/>
        <v>土地级别</v>
      </c>
      <c r="R30" s="705" t="s">
        <v>14</v>
      </c>
      <c r="S30" s="706">
        <f t="shared" si="10"/>
        <v>100</v>
      </c>
      <c r="T30" s="705" t="s">
        <v>14</v>
      </c>
      <c r="U30" s="706">
        <f t="shared" si="11"/>
        <v>100</v>
      </c>
      <c r="V30" s="705" t="s">
        <v>14</v>
      </c>
      <c r="W30" s="706">
        <f t="shared" si="12"/>
        <v>100</v>
      </c>
      <c r="X30" s="1351"/>
      <c r="Y30" s="3689"/>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89"/>
      <c r="Q31" s="1348">
        <f t="shared" si="8"/>
        <v>111</v>
      </c>
      <c r="R31" s="705" t="s">
        <v>14</v>
      </c>
      <c r="S31" s="706">
        <f t="shared" si="10"/>
        <v>100</v>
      </c>
      <c r="T31" s="705" t="s">
        <v>14</v>
      </c>
      <c r="U31" s="706">
        <f t="shared" si="11"/>
        <v>100</v>
      </c>
      <c r="V31" s="705" t="s">
        <v>14</v>
      </c>
      <c r="W31" s="706">
        <f t="shared" si="12"/>
        <v>100</v>
      </c>
      <c r="X31" s="1351"/>
      <c r="Y31" s="3689"/>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693"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93"/>
      <c r="Q33" s="1348">
        <f t="shared" si="8"/>
        <v>111</v>
      </c>
      <c r="R33" s="708" t="s">
        <v>14</v>
      </c>
      <c r="S33" s="709">
        <f t="shared" si="10"/>
        <v>100</v>
      </c>
      <c r="T33" s="708" t="s">
        <v>14</v>
      </c>
      <c r="U33" s="709">
        <f t="shared" si="11"/>
        <v>100</v>
      </c>
      <c r="V33" s="708" t="s">
        <v>14</v>
      </c>
      <c r="W33" s="709">
        <f t="shared" si="12"/>
        <v>100</v>
      </c>
      <c r="X33" s="710"/>
      <c r="Y33" s="3693"/>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93"/>
      <c r="Q34" s="1348" t="str">
        <f>B34</f>
        <v>宗地面积</v>
      </c>
      <c r="R34" s="705" t="s">
        <v>14</v>
      </c>
      <c r="S34" s="706" t="e">
        <f t="shared" si="10"/>
        <v>#N/A</v>
      </c>
      <c r="T34" s="705" t="s">
        <v>14</v>
      </c>
      <c r="U34" s="706" t="e">
        <f t="shared" si="11"/>
        <v>#N/A</v>
      </c>
      <c r="V34" s="705" t="s">
        <v>14</v>
      </c>
      <c r="W34" s="706" t="e">
        <f t="shared" si="12"/>
        <v>#N/A</v>
      </c>
      <c r="X34" s="1351"/>
      <c r="Y34" s="3693"/>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693"/>
      <c r="Q35" s="1348" t="str">
        <f t="shared" ref="Q35:Q40" si="14">B35</f>
        <v>宗地形状</v>
      </c>
      <c r="R35" s="705" t="s">
        <v>14</v>
      </c>
      <c r="S35" s="706">
        <f t="shared" si="10"/>
        <v>100</v>
      </c>
      <c r="T35" s="705" t="s">
        <v>14</v>
      </c>
      <c r="U35" s="706">
        <f t="shared" si="11"/>
        <v>100</v>
      </c>
      <c r="V35" s="705" t="s">
        <v>14</v>
      </c>
      <c r="W35" s="706">
        <f t="shared" si="12"/>
        <v>100</v>
      </c>
      <c r="X35" s="1351"/>
      <c r="Y35" s="3693"/>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693"/>
      <c r="Q36" s="1348"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693" t="s">
        <v>1694</v>
      </c>
      <c r="Q37" s="1348" t="str">
        <f t="shared" si="14"/>
        <v>工程地质条件</v>
      </c>
      <c r="R37" s="705" t="s">
        <v>14</v>
      </c>
      <c r="S37" s="706">
        <f t="shared" si="10"/>
        <v>100</v>
      </c>
      <c r="T37" s="705" t="s">
        <v>14</v>
      </c>
      <c r="U37" s="706">
        <f t="shared" si="11"/>
        <v>100</v>
      </c>
      <c r="V37" s="705" t="s">
        <v>14</v>
      </c>
      <c r="W37" s="706">
        <f t="shared" si="12"/>
        <v>100</v>
      </c>
      <c r="X37" s="1351"/>
      <c r="Y37" s="3693"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93"/>
      <c r="Q38" s="1348">
        <f t="shared" si="14"/>
        <v>111</v>
      </c>
      <c r="R38" s="705" t="s">
        <v>14</v>
      </c>
      <c r="S38" s="706">
        <f t="shared" si="10"/>
        <v>100</v>
      </c>
      <c r="T38" s="705" t="s">
        <v>14</v>
      </c>
      <c r="U38" s="706">
        <f t="shared" si="11"/>
        <v>100</v>
      </c>
      <c r="V38" s="705" t="s">
        <v>14</v>
      </c>
      <c r="W38" s="706">
        <f t="shared" si="12"/>
        <v>100</v>
      </c>
      <c r="X38" s="1351"/>
      <c r="Y38" s="369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93"/>
      <c r="Q39" s="1348">
        <f t="shared" si="14"/>
        <v>111</v>
      </c>
      <c r="R39" s="705" t="s">
        <v>14</v>
      </c>
      <c r="S39" s="706">
        <f t="shared" si="10"/>
        <v>100</v>
      </c>
      <c r="T39" s="705" t="s">
        <v>14</v>
      </c>
      <c r="U39" s="706">
        <f t="shared" si="11"/>
        <v>100</v>
      </c>
      <c r="V39" s="705" t="s">
        <v>14</v>
      </c>
      <c r="W39" s="706">
        <f t="shared" si="12"/>
        <v>100</v>
      </c>
      <c r="X39" s="1351"/>
      <c r="Y39" s="3693"/>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93"/>
      <c r="Q40" s="1348">
        <f t="shared" si="14"/>
        <v>111</v>
      </c>
      <c r="R40" s="708" t="s">
        <v>14</v>
      </c>
      <c r="S40" s="709">
        <f t="shared" si="10"/>
        <v>100</v>
      </c>
      <c r="T40" s="708" t="s">
        <v>14</v>
      </c>
      <c r="U40" s="709">
        <f t="shared" si="11"/>
        <v>100</v>
      </c>
      <c r="V40" s="708" t="s">
        <v>14</v>
      </c>
      <c r="W40" s="709">
        <f t="shared" si="12"/>
        <v>100</v>
      </c>
      <c r="X40" s="710"/>
      <c r="Y40" s="3693"/>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681" t="str">
        <f>A41</f>
        <v>成交单价</v>
      </c>
      <c r="Q41" s="3681"/>
      <c r="R41" s="3715">
        <f>E41</f>
        <v>0</v>
      </c>
      <c r="S41" s="3715"/>
      <c r="T41" s="3715">
        <f>G41</f>
        <v>0</v>
      </c>
      <c r="U41" s="3715"/>
      <c r="V41" s="3715">
        <f>I41</f>
        <v>0</v>
      </c>
      <c r="W41" s="3715"/>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681" t="str">
        <f>A42</f>
        <v>比较价值（元/平方米）</v>
      </c>
      <c r="Q42" s="3681"/>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2" t="str">
        <f>A43</f>
        <v>估价对象XX用房的比较价值（楼面单价，元/平方米）</v>
      </c>
      <c r="Q43" s="3753"/>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698"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80"/>
      <c r="H51" s="3681"/>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3495</v>
      </c>
      <c r="D4" s="1752" t="s">
        <v>3489</v>
      </c>
      <c r="E4" s="3618" t="s">
        <v>1265</v>
      </c>
      <c r="F4" s="3619"/>
      <c r="G4" s="3619"/>
      <c r="H4" s="3619"/>
      <c r="I4" s="3620"/>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613</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613.06679999999994</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613.06679999999994</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33</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33</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33</v>
      </c>
      <c r="E54" s="327" t="s">
        <v>1357</v>
      </c>
      <c r="F54" s="2547">
        <f>'数据-取费表'!B41</f>
        <v>5.6000000000000001E-2</v>
      </c>
      <c r="G54" s="2548"/>
      <c r="H54" s="2549"/>
      <c r="I54" s="1803"/>
      <c r="J54" s="3452">
        <v>3</v>
      </c>
      <c r="K54" s="3643" t="s">
        <v>1358</v>
      </c>
      <c r="L54" s="3643"/>
      <c r="M54" s="2518">
        <f t="shared" ca="1" si="0"/>
        <v>347</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347</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IF(AND(J55="",J56=""),4,IF(项目基本情况!K6="上海银行",'结果表-505'!J56+1,'结果表-505'!J55+1))</f>
        <v>5</v>
      </c>
      <c r="K57" s="3643" t="s">
        <v>1365</v>
      </c>
      <c r="L57" s="2523" t="s">
        <v>1366</v>
      </c>
      <c r="M57" s="2524"/>
      <c r="N57" s="2525">
        <f ca="1">SUMIF(M52:M56,"&lt;9e307")</f>
        <v>353</v>
      </c>
      <c r="O57" s="2526"/>
      <c r="P57" s="2683">
        <f ca="1">N57/M49</f>
        <v>0.57579369817448933</v>
      </c>
    </row>
    <row r="58" spans="1:35" ht="24.75" hidden="1">
      <c r="A58" s="3465" t="s">
        <v>1350</v>
      </c>
      <c r="B58" s="3604" t="s">
        <v>1367</v>
      </c>
      <c r="C58" s="3578"/>
      <c r="D58" s="3447">
        <f ca="1">IF(H58="转让取得",C81,C97)</f>
        <v>347</v>
      </c>
      <c r="E58" s="3462" t="s">
        <v>1362</v>
      </c>
      <c r="F58" s="302" t="s">
        <v>28</v>
      </c>
      <c r="G58" s="2548"/>
      <c r="H58" s="2551"/>
      <c r="I58" s="1804"/>
      <c r="J58" s="3643"/>
      <c r="K58" s="3643"/>
      <c r="L58" s="2523" t="s">
        <v>1368</v>
      </c>
      <c r="M58" s="2527"/>
      <c r="N58" s="2528" t="str">
        <f ca="1">NUMBERSTRING(INT(N57*10000),2)&amp;"元整"</f>
        <v>叁佰伍拾叁万元整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贰佰陆拾万零陆佰陆拾捌元整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2676</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68"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比较法-505</v>
      </c>
      <c r="D101" s="2579" t="str">
        <f>D4</f>
        <v>收益法-505</v>
      </c>
      <c r="E101" s="3665" t="s">
        <v>1429</v>
      </c>
      <c r="F101" s="3622"/>
      <c r="G101" s="1823" t="s">
        <v>1430</v>
      </c>
      <c r="H101" s="2588">
        <f ca="1">H118</f>
        <v>613.06679999999994</v>
      </c>
      <c r="I101" s="129"/>
    </row>
    <row r="102" spans="1:35" ht="18.75" customHeight="1">
      <c r="A102" s="3624" t="s">
        <v>1431</v>
      </c>
      <c r="B102" s="2577" t="s">
        <v>1430</v>
      </c>
      <c r="C102" s="2578">
        <f ca="1">IF(D32="楼面单价",ROUND(C19,0),C19)</f>
        <v>681</v>
      </c>
      <c r="D102" s="2579">
        <f ca="1">IF(D32="楼面单价",ROUND(D19,0),D19)</f>
        <v>455</v>
      </c>
      <c r="E102" s="3665"/>
      <c r="F102" s="3622"/>
      <c r="G102" s="1823" t="s">
        <v>1432</v>
      </c>
      <c r="H102" s="2548">
        <f ca="1">I118</f>
        <v>30704</v>
      </c>
      <c r="I102" s="129"/>
    </row>
    <row r="103" spans="1:35" ht="42.75" customHeight="1">
      <c r="A103" s="3624"/>
      <c r="B103" s="2577" t="s">
        <v>1432</v>
      </c>
      <c r="C103" s="2580">
        <f ca="1">C20</f>
        <v>34101</v>
      </c>
      <c r="D103" s="2581">
        <f ca="1">D20</f>
        <v>22777</v>
      </c>
      <c r="E103" s="3659" t="s">
        <v>1433</v>
      </c>
      <c r="F103" s="3660"/>
      <c r="G103" s="1824" t="s">
        <v>1434</v>
      </c>
      <c r="H103" s="2588">
        <f>IF(D36="正常操作",H104+H105+H106,H105+H106)</f>
        <v>0</v>
      </c>
      <c r="I103" s="129"/>
    </row>
    <row r="104" spans="1:35" ht="18.75" customHeight="1">
      <c r="A104" s="3624"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613.06679999999994</v>
      </c>
      <c r="I107" s="129"/>
    </row>
    <row r="108" spans="1:35" ht="18.75" customHeight="1">
      <c r="A108" s="129"/>
      <c r="B108" s="129"/>
      <c r="C108" s="129"/>
      <c r="D108" s="129"/>
      <c r="E108" s="3621"/>
      <c r="F108" s="3622"/>
      <c r="G108" s="1823" t="s">
        <v>1432</v>
      </c>
      <c r="H108" s="2548">
        <f ca="1">IF(H107=H101,H102,ROUND(H107*10000/'数据-汇总表'!E3,0))</f>
        <v>30704</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陆佰壹拾叁万零陆佰陆拾捌元整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613.06679999999994</v>
      </c>
      <c r="E122" s="3657"/>
      <c r="F122" s="3657"/>
      <c r="G122" s="3657"/>
      <c r="H122" s="3657"/>
      <c r="I122" s="3658"/>
      <c r="AA122" s="725"/>
    </row>
    <row r="123" spans="1:27" ht="18.75" customHeight="1">
      <c r="A123" s="3592" t="s">
        <v>1450</v>
      </c>
      <c r="B123" s="3592"/>
      <c r="C123" s="3592"/>
      <c r="D123" s="3632" t="str">
        <f ca="1">NUMBERSTRING(INT(D122*10000),2)&amp;"元整"</f>
        <v>陆佰壹拾叁万零陆佰陆拾捌元整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7"/>
      <c r="Q27" s="3469" t="str">
        <f t="shared" ref="Q27:Q47" si="11">B27</f>
        <v>楼层</v>
      </c>
      <c r="R27" s="705" t="s">
        <v>14</v>
      </c>
      <c r="S27" s="706">
        <f>F27</f>
        <v>102</v>
      </c>
      <c r="T27" s="705" t="s">
        <v>14</v>
      </c>
      <c r="U27" s="706">
        <f>H27</f>
        <v>104</v>
      </c>
      <c r="V27" s="705" t="s">
        <v>14</v>
      </c>
      <c r="W27" s="706">
        <f>J27</f>
        <v>102</v>
      </c>
      <c r="X27" s="3466"/>
      <c r="Y27" s="3689"/>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0" t="str">
        <f>A49</f>
        <v>比较价值（元/平方米）</v>
      </c>
      <c r="Q49" s="3681"/>
      <c r="R49" s="3682">
        <f>IF(F1="售价",ROUND(PRODUCT(R48,AA7:AA47),0),ROUND(PRODUCT(R48,AA7:AA47),1))</f>
        <v>32179</v>
      </c>
      <c r="S49" s="3682"/>
      <c r="T49" s="3682">
        <f>IF(F1="售价",ROUND(PRODUCT(T48,AB7:AB47),0),ROUND(PRODUCT(T48,AB7:AB47),1))</f>
        <v>34257</v>
      </c>
      <c r="U49" s="3682"/>
      <c r="V49" s="3682">
        <f>IF(F1="售价",ROUND(PRODUCT(V48,AC7:AC47),0),ROUND(PRODUCT(V48,AC7:AC47),1))</f>
        <v>35867</v>
      </c>
      <c r="W49" s="3682"/>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34101</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608.49189999999999</v>
      </c>
      <c r="E5" s="1487"/>
    </row>
    <row r="6" spans="1:5" ht="15.75">
      <c r="A6" s="1487"/>
      <c r="B6" s="3491"/>
      <c r="C6" s="1490" t="s">
        <v>911</v>
      </c>
      <c r="D6" s="846" t="str">
        <f ca="1">NUMBERSTRING(INT(D5*10000),2)&amp;"元整"</f>
        <v>陆佰零捌万肆仟玖佰壹拾玖元整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608.49189999999999</v>
      </c>
      <c r="E13" s="1487"/>
    </row>
    <row r="14" spans="1:5" ht="15.75">
      <c r="A14" s="1487"/>
      <c r="B14" s="3491"/>
      <c r="C14" s="1490" t="s">
        <v>911</v>
      </c>
      <c r="D14" s="846" t="str">
        <f ca="1">NUMBERSTRING(INT(D13*10000),2)&amp;"元整"</f>
        <v>陆佰零捌万肆仟玖佰壹拾玖元整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31" zoomScale="90" zoomScaleNormal="100" zoomScaleSheetLayoutView="90" zoomScalePageLayoutView="80" workbookViewId="0">
      <selection activeCell="H102" sqref="H102"/>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3493</v>
      </c>
      <c r="D4" s="1752" t="s">
        <v>3485</v>
      </c>
      <c r="E4" s="3618" t="s">
        <v>1265</v>
      </c>
      <c r="F4" s="3619"/>
      <c r="G4" s="3619"/>
      <c r="H4" s="3619"/>
      <c r="I4" s="3620"/>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629</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628.71860000000004</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628.71860000000004</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34</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34</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34</v>
      </c>
      <c r="E54" s="327" t="s">
        <v>1357</v>
      </c>
      <c r="F54" s="2547">
        <f>'数据-取费表'!B41</f>
        <v>5.6000000000000001E-2</v>
      </c>
      <c r="G54" s="2548"/>
      <c r="H54" s="2549"/>
      <c r="I54" s="1803"/>
      <c r="J54" s="3452">
        <v>3</v>
      </c>
      <c r="K54" s="3643" t="s">
        <v>1358</v>
      </c>
      <c r="L54" s="3643"/>
      <c r="M54" s="2518">
        <f t="shared" ca="1" si="0"/>
        <v>356</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356</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IF(AND(J55="",J56=""),4,IF(项目基本情况!K6="上海银行",'结果表-905'!J56+1,'结果表-905'!J55+1))</f>
        <v>5</v>
      </c>
      <c r="K57" s="3643" t="s">
        <v>1365</v>
      </c>
      <c r="L57" s="2523" t="s">
        <v>1366</v>
      </c>
      <c r="M57" s="2524"/>
      <c r="N57" s="2525">
        <f ca="1">SUMIF(M52:M56,"&lt;9e307")</f>
        <v>362</v>
      </c>
      <c r="O57" s="2526"/>
      <c r="P57" s="2683">
        <f ca="1">N57/M49</f>
        <v>0.57577428121261243</v>
      </c>
    </row>
    <row r="58" spans="1:35" ht="24.75" hidden="1">
      <c r="A58" s="3465" t="s">
        <v>1350</v>
      </c>
      <c r="B58" s="3604" t="s">
        <v>1367</v>
      </c>
      <c r="C58" s="3578"/>
      <c r="D58" s="3447">
        <f ca="1">IF(H58="转让取得",C81,C97)</f>
        <v>356</v>
      </c>
      <c r="E58" s="3462" t="s">
        <v>1362</v>
      </c>
      <c r="F58" s="302" t="s">
        <v>28</v>
      </c>
      <c r="G58" s="2548"/>
      <c r="H58" s="2551"/>
      <c r="I58" s="1804"/>
      <c r="J58" s="3643"/>
      <c r="K58" s="3643"/>
      <c r="L58" s="2523" t="s">
        <v>1368</v>
      </c>
      <c r="M58" s="2527"/>
      <c r="N58" s="2528" t="str">
        <f ca="1">NUMBERSTRING(INT(N57*10000),2)&amp;"元整"</f>
        <v>叁佰陆拾贰万元整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贰佰陆拾陆万柒仟壹佰捌拾陆元整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2744</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668"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比较法-905</v>
      </c>
      <c r="D101" s="2579" t="str">
        <f>D4</f>
        <v>收益法-905</v>
      </c>
      <c r="E101" s="3665" t="s">
        <v>1429</v>
      </c>
      <c r="F101" s="3622"/>
      <c r="G101" s="1823" t="s">
        <v>1430</v>
      </c>
      <c r="H101" s="2588">
        <f ca="1">H118</f>
        <v>628.71860000000004</v>
      </c>
      <c r="I101" s="129"/>
    </row>
    <row r="102" spans="1:35" ht="18.75" customHeight="1">
      <c r="A102" s="3624" t="s">
        <v>1431</v>
      </c>
      <c r="B102" s="2577" t="s">
        <v>1430</v>
      </c>
      <c r="C102" s="2578">
        <f ca="1">IF(D32="楼面单价",ROUND(C19,0),C19)</f>
        <v>695</v>
      </c>
      <c r="D102" s="2579">
        <f ca="1">IF(D32="楼面单价",ROUND(D19,0),D19)</f>
        <v>475</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628.71860000000004</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陆佰贰拾捌万柒仟壹佰捌拾陆元整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628.71860000000004</v>
      </c>
      <c r="E122" s="3657"/>
      <c r="F122" s="3657"/>
      <c r="G122" s="3657"/>
      <c r="H122" s="3657"/>
      <c r="I122" s="3658"/>
      <c r="AA122" s="725"/>
    </row>
    <row r="123" spans="1:27" ht="18.75" customHeight="1">
      <c r="A123" s="3592" t="s">
        <v>1450</v>
      </c>
      <c r="B123" s="3592"/>
      <c r="C123" s="3592"/>
      <c r="D123" s="3632" t="str">
        <f ca="1">NUMBERSTRING(INT(D122*10000),2)&amp;"元整"</f>
        <v>陆佰贰拾捌万柒仟壹佰捌拾陆元整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50" sqref="C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3491</v>
      </c>
      <c r="D4" s="1752" t="s">
        <v>3483</v>
      </c>
      <c r="E4" s="3618" t="s">
        <v>1265</v>
      </c>
      <c r="F4" s="3619"/>
      <c r="G4" s="3619"/>
      <c r="H4" s="3619"/>
      <c r="I4" s="3620"/>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565</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565.06600000000003</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565.06600000000003</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30</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30</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30</v>
      </c>
      <c r="E54" s="327" t="s">
        <v>1357</v>
      </c>
      <c r="F54" s="2547">
        <f>'数据-取费表'!B41</f>
        <v>5.6000000000000001E-2</v>
      </c>
      <c r="G54" s="2548"/>
      <c r="H54" s="2549"/>
      <c r="I54" s="1803"/>
      <c r="J54" s="3452">
        <v>3</v>
      </c>
      <c r="K54" s="3643" t="s">
        <v>1358</v>
      </c>
      <c r="L54" s="3643"/>
      <c r="M54" s="2518">
        <f t="shared" ca="1" si="0"/>
        <v>320</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5</v>
      </c>
      <c r="N55" s="3453" t="str">
        <f>E59</f>
        <v>差额计税</v>
      </c>
      <c r="O55" s="2522">
        <f>F59</f>
        <v>0.01</v>
      </c>
    </row>
    <row r="56" spans="1:35" ht="24.75" hidden="1">
      <c r="A56" s="3593" t="s">
        <v>1361</v>
      </c>
      <c r="B56" s="3594"/>
      <c r="C56" s="3594"/>
      <c r="D56" s="3447">
        <f ca="1">IF(H56="个人住宅",D57,D58)</f>
        <v>320</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IF(AND(J55="",J56=""),4,IF(项目基本情况!K6="上海银行",'结果表-911'!J56+1,'结果表-911'!J55+1))</f>
        <v>5</v>
      </c>
      <c r="K57" s="3643" t="s">
        <v>1365</v>
      </c>
      <c r="L57" s="2523" t="s">
        <v>1366</v>
      </c>
      <c r="M57" s="2524"/>
      <c r="N57" s="2525">
        <f ca="1">SUMIF(M52:M56,"&lt;9e307")</f>
        <v>325</v>
      </c>
      <c r="O57" s="2526"/>
      <c r="P57" s="2683">
        <f ca="1">N57/M49</f>
        <v>0.5751540528009117</v>
      </c>
    </row>
    <row r="58" spans="1:35" ht="24.75" hidden="1">
      <c r="A58" s="3465" t="s">
        <v>1350</v>
      </c>
      <c r="B58" s="3604" t="s">
        <v>1367</v>
      </c>
      <c r="C58" s="3578"/>
      <c r="D58" s="3447">
        <f ca="1">IF(H58="转让取得",C81,C97)</f>
        <v>320</v>
      </c>
      <c r="E58" s="3462" t="s">
        <v>1362</v>
      </c>
      <c r="F58" s="302" t="s">
        <v>28</v>
      </c>
      <c r="G58" s="2548"/>
      <c r="H58" s="2551"/>
      <c r="I58" s="1804"/>
      <c r="J58" s="3643"/>
      <c r="K58" s="3643"/>
      <c r="L58" s="2523" t="s">
        <v>1368</v>
      </c>
      <c r="M58" s="2527"/>
      <c r="N58" s="2528" t="str">
        <f ca="1">NUMBERSTRING(INT(N57*10000),2)&amp;"元整"</f>
        <v>叁佰贰拾伍万元整</v>
      </c>
      <c r="O58" s="2529"/>
    </row>
    <row r="59" spans="1:35" ht="24.75" hidden="1" thickBot="1">
      <c r="A59" s="3646" t="s">
        <v>1369</v>
      </c>
      <c r="B59" s="3647"/>
      <c r="C59" s="3647"/>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贰佰肆拾万零陆佰陆拾元整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2470</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668"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比较法-911</v>
      </c>
      <c r="D101" s="2579" t="str">
        <f>D4</f>
        <v>收益法-911</v>
      </c>
      <c r="E101" s="3665" t="s">
        <v>1429</v>
      </c>
      <c r="F101" s="3622"/>
      <c r="G101" s="1823" t="s">
        <v>1430</v>
      </c>
      <c r="H101" s="2588">
        <f ca="1">H118</f>
        <v>565.06600000000003</v>
      </c>
      <c r="I101" s="129"/>
    </row>
    <row r="102" spans="1:35" ht="18.75" customHeight="1">
      <c r="A102" s="3624" t="s">
        <v>1431</v>
      </c>
      <c r="B102" s="2577" t="s">
        <v>1430</v>
      </c>
      <c r="C102" s="2578">
        <f ca="1">IF(D32="楼面单价",ROUND(C19,0),C19)</f>
        <v>624</v>
      </c>
      <c r="D102" s="2579">
        <f ca="1">IF(D32="楼面单价",ROUND(D19,0),D19)</f>
        <v>427</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565.06600000000003</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伍佰陆拾伍万零陆佰陆拾元整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565.06600000000003</v>
      </c>
      <c r="E122" s="3657"/>
      <c r="F122" s="3657"/>
      <c r="G122" s="3657"/>
      <c r="H122" s="3657"/>
      <c r="I122" s="3658"/>
      <c r="AA122" s="725"/>
    </row>
    <row r="123" spans="1:27" ht="18.75" customHeight="1">
      <c r="A123" s="3592" t="s">
        <v>1450</v>
      </c>
      <c r="B123" s="3592"/>
      <c r="C123" s="3592"/>
      <c r="D123" s="3632" t="str">
        <f ca="1">NUMBERSTRING(INT(D122*10000),2)&amp;"元整"</f>
        <v>伍佰陆拾伍万零陆佰陆拾元整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3487</v>
      </c>
      <c r="D4" s="1752" t="s">
        <v>3481</v>
      </c>
      <c r="E4" s="3618" t="s">
        <v>1265</v>
      </c>
      <c r="F4" s="3619"/>
      <c r="G4" s="3619"/>
      <c r="H4" s="3619"/>
      <c r="I4" s="3620"/>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613</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613.19889999999998</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613.19889999999998</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33</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33</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33</v>
      </c>
      <c r="E54" s="327" t="s">
        <v>1357</v>
      </c>
      <c r="F54" s="2547">
        <f>'数据-取费表'!B41</f>
        <v>5.6000000000000001E-2</v>
      </c>
      <c r="G54" s="2548"/>
      <c r="H54" s="2549"/>
      <c r="I54" s="1803"/>
      <c r="J54" s="3452">
        <v>3</v>
      </c>
      <c r="K54" s="3643" t="s">
        <v>1358</v>
      </c>
      <c r="L54" s="3643"/>
      <c r="M54" s="2518">
        <f t="shared" ca="1" si="0"/>
        <v>347</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347</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IF(AND(J55="",J56=""),4,IF(项目基本情况!K6="上海银行",'结果表-1012'!J56+1,'结果表-1012'!J55+1))</f>
        <v>5</v>
      </c>
      <c r="K57" s="3643" t="s">
        <v>1365</v>
      </c>
      <c r="L57" s="2523" t="s">
        <v>1366</v>
      </c>
      <c r="M57" s="2524"/>
      <c r="N57" s="2525">
        <f ca="1">SUMIF(M52:M56,"&lt;9e307")</f>
        <v>353</v>
      </c>
      <c r="O57" s="2526"/>
      <c r="P57" s="2683">
        <f ca="1">N57/M49</f>
        <v>0.57566965628933775</v>
      </c>
    </row>
    <row r="58" spans="1:35" ht="24.75" hidden="1">
      <c r="A58" s="3465" t="s">
        <v>1350</v>
      </c>
      <c r="B58" s="3604" t="s">
        <v>1367</v>
      </c>
      <c r="C58" s="3578"/>
      <c r="D58" s="3447">
        <f ca="1">IF(H58="转让取得",C81,C97)</f>
        <v>347</v>
      </c>
      <c r="E58" s="3462" t="s">
        <v>1362</v>
      </c>
      <c r="F58" s="302" t="s">
        <v>28</v>
      </c>
      <c r="G58" s="2548"/>
      <c r="H58" s="2551"/>
      <c r="I58" s="1804"/>
      <c r="J58" s="3643"/>
      <c r="K58" s="3643"/>
      <c r="L58" s="2523" t="s">
        <v>1368</v>
      </c>
      <c r="M58" s="2527"/>
      <c r="N58" s="2528" t="str">
        <f ca="1">NUMBERSTRING(INT(N57*10000),2)&amp;"元整"</f>
        <v>叁佰伍拾叁万元整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贰佰陆拾万壹仟玖佰捌拾玖元整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2677</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68"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比较法-1012</v>
      </c>
      <c r="D101" s="2579" t="str">
        <f>D4</f>
        <v>收益法-1012</v>
      </c>
      <c r="E101" s="3665" t="s">
        <v>1429</v>
      </c>
      <c r="F101" s="3622"/>
      <c r="G101" s="1823" t="s">
        <v>1430</v>
      </c>
      <c r="H101" s="2588">
        <f ca="1">H118</f>
        <v>613.19889999999998</v>
      </c>
      <c r="I101" s="129"/>
    </row>
    <row r="102" spans="1:35" ht="18.75" customHeight="1">
      <c r="A102" s="3624" t="s">
        <v>1431</v>
      </c>
      <c r="B102" s="2577" t="s">
        <v>1430</v>
      </c>
      <c r="C102" s="2578">
        <f ca="1">IF(D32="楼面单价",ROUND(C19,0),C19)</f>
        <v>677</v>
      </c>
      <c r="D102" s="2579">
        <f ca="1">IF(D32="楼面单价",ROUND(D19,0),D19)</f>
        <v>463</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613.19889999999998</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陆佰壹拾叁万壹仟玖佰捌拾玖元整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613.19889999999998</v>
      </c>
      <c r="E122" s="3657"/>
      <c r="F122" s="3657"/>
      <c r="G122" s="3657"/>
      <c r="H122" s="3657"/>
      <c r="I122" s="3658"/>
      <c r="AA122" s="725"/>
    </row>
    <row r="123" spans="1:27" ht="18.75" customHeight="1">
      <c r="A123" s="3592" t="s">
        <v>1450</v>
      </c>
      <c r="B123" s="3592"/>
      <c r="C123" s="3592"/>
      <c r="D123" s="3632" t="str">
        <f ca="1">NUMBERSTRING(INT(D122*10000),2)&amp;"元整"</f>
        <v>陆佰壹拾叁万壹仟玖佰捌拾玖元整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'结果表-307'!D116</f>
        <v>出让国有建设用地使用权价值</v>
      </c>
      <c r="E2" s="3508"/>
      <c r="F2" s="3508" t="str">
        <f>'结果表-307'!F116</f>
        <v>在建建筑物价值</v>
      </c>
      <c r="G2" s="3508"/>
      <c r="H2" s="3508" t="str">
        <f>IF(项目基本情况!B9="房地产市场价值","房地产市场价值","房地产价值")</f>
        <v>房地产价值</v>
      </c>
      <c r="I2" s="3508"/>
    </row>
    <row r="3" spans="1:9" ht="15">
      <c r="A3" s="3503"/>
      <c r="B3" s="3503"/>
      <c r="C3" s="3503"/>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03" t="s">
        <v>927</v>
      </c>
      <c r="B5" s="3503"/>
      <c r="C5" s="3503"/>
      <c r="D5" s="3503" t="e">
        <f ca="1">'结果表-307'!D119</f>
        <v>#REF!</v>
      </c>
      <c r="E5" s="3503"/>
      <c r="F5" s="3503" t="e">
        <f ca="1">'结果表-307'!F119</f>
        <v>#REF!</v>
      </c>
      <c r="G5" s="3503"/>
      <c r="H5" s="3503" t="str">
        <f ca="1">'结果表-307'!H119</f>
        <v>陆佰零捌万肆仟玖佰壹拾玖元整</v>
      </c>
      <c r="I5" s="3503"/>
    </row>
    <row r="6" spans="1:9" ht="15.75">
      <c r="A6" s="3502" t="str">
        <f>'结果表-307'!A120</f>
        <v>估价师知悉的法定优先受偿款</v>
      </c>
      <c r="B6" s="3502"/>
      <c r="C6" s="3502"/>
      <c r="D6" s="3502">
        <f>'结果表-307'!D120</f>
        <v>0</v>
      </c>
      <c r="E6" s="3502"/>
      <c r="F6" s="3502"/>
      <c r="G6" s="3502"/>
      <c r="H6" s="3502"/>
      <c r="I6" s="3502"/>
    </row>
    <row r="7" spans="1:9" ht="15">
      <c r="A7" s="3503" t="s">
        <v>927</v>
      </c>
      <c r="B7" s="3503"/>
      <c r="C7" s="3503"/>
      <c r="D7" s="3504" t="str">
        <f>'结果表-307'!D121</f>
        <v>零元整</v>
      </c>
      <c r="E7" s="3505"/>
      <c r="F7" s="3505"/>
      <c r="G7" s="3505"/>
      <c r="H7" s="3505"/>
      <c r="I7" s="3506"/>
    </row>
    <row r="8" spans="1:9" ht="15.75">
      <c r="A8" s="3502" t="str">
        <f>'结果表-307'!A122</f>
        <v>房地产抵押价值</v>
      </c>
      <c r="B8" s="3502"/>
      <c r="C8" s="3502"/>
      <c r="D8" s="3502">
        <f ca="1">'结果表-307'!D122</f>
        <v>608.49189999999999</v>
      </c>
      <c r="E8" s="3502"/>
      <c r="F8" s="3502"/>
      <c r="G8" s="3502"/>
      <c r="H8" s="3502"/>
      <c r="I8" s="3502"/>
    </row>
    <row r="9" spans="1:9" ht="15">
      <c r="A9" s="3503" t="s">
        <v>927</v>
      </c>
      <c r="B9" s="3503"/>
      <c r="C9" s="3503"/>
      <c r="D9" s="3503" t="str">
        <f ca="1">'结果表-307'!D123</f>
        <v>陆佰零捌万肆仟玖佰壹拾玖元整</v>
      </c>
      <c r="E9" s="3503"/>
      <c r="F9" s="3503"/>
      <c r="G9" s="3503"/>
      <c r="H9" s="3503"/>
      <c r="I9" s="3503"/>
    </row>
    <row r="10" spans="1:9" ht="15.75">
      <c r="A10" s="3502" t="str">
        <f>'结果表-307'!A124</f>
        <v/>
      </c>
      <c r="B10" s="3502"/>
      <c r="C10" s="3502"/>
      <c r="D10" s="3502" t="str">
        <f>'结果表-307'!D124</f>
        <v>——</v>
      </c>
      <c r="E10" s="3502"/>
      <c r="F10" s="3502"/>
      <c r="G10" s="3502"/>
      <c r="H10" s="3502"/>
      <c r="I10" s="3502"/>
    </row>
    <row r="11" spans="1:9" ht="15">
      <c r="A11" s="3503" t="s">
        <v>927</v>
      </c>
      <c r="B11" s="3503"/>
      <c r="C11" s="3503"/>
      <c r="D11" s="3503" t="e">
        <f>'结果表-307'!D125</f>
        <v>#VALUE!</v>
      </c>
      <c r="E11" s="3503"/>
      <c r="F11" s="3503"/>
      <c r="G11" s="3503"/>
      <c r="H11" s="3503"/>
      <c r="I11" s="3503"/>
    </row>
    <row r="12" spans="1:9" ht="15.75">
      <c r="A12" s="3502" t="str">
        <f>'结果表-307'!A126</f>
        <v/>
      </c>
      <c r="B12" s="3502"/>
      <c r="C12" s="3502"/>
      <c r="D12" s="3502" t="str">
        <f>'结果表-307'!D126</f>
        <v>——</v>
      </c>
      <c r="E12" s="3502"/>
      <c r="F12" s="3502"/>
      <c r="G12" s="3502"/>
      <c r="H12" s="3502"/>
      <c r="I12" s="3502"/>
    </row>
    <row r="13" spans="1:9" ht="15.75" thickBot="1">
      <c r="A13" s="3500" t="s">
        <v>927</v>
      </c>
      <c r="B13" s="3500"/>
      <c r="C13" s="3500"/>
      <c r="D13" s="3500" t="e">
        <f>'结果表-307'!D127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5" t="s">
        <v>2600</v>
      </c>
      <c r="B20" s="3800" t="s">
        <v>2621</v>
      </c>
      <c r="C20" s="3096" t="s">
        <v>2432</v>
      </c>
      <c r="D20" s="3097"/>
      <c r="E20" s="3098">
        <v>1</v>
      </c>
      <c r="F20" s="3099" t="s">
        <v>2433</v>
      </c>
      <c r="G20" s="3099"/>
    </row>
    <row r="21" spans="1:13" ht="19.5" customHeight="1">
      <c r="A21" s="3806"/>
      <c r="B21" s="3799"/>
      <c r="C21" s="3100" t="s">
        <v>2434</v>
      </c>
      <c r="D21" s="3101"/>
      <c r="E21" s="3102">
        <v>1</v>
      </c>
      <c r="F21" s="3099" t="s">
        <v>2435</v>
      </c>
      <c r="G21" s="3099"/>
    </row>
    <row r="22" spans="1:13" ht="19.5" customHeight="1">
      <c r="A22" s="3806"/>
      <c r="B22" s="3799"/>
      <c r="C22" s="3100" t="s">
        <v>2436</v>
      </c>
      <c r="D22" s="3101"/>
      <c r="E22" s="3102">
        <v>0.9</v>
      </c>
      <c r="F22" s="3099" t="s">
        <v>2437</v>
      </c>
      <c r="G22" s="3099"/>
    </row>
    <row r="23" spans="1:13" ht="19.5" customHeight="1">
      <c r="A23" s="3806"/>
      <c r="B23" s="3799"/>
      <c r="C23" s="3100" t="s">
        <v>2438</v>
      </c>
      <c r="D23" s="3101"/>
      <c r="E23" s="3102">
        <v>0.9</v>
      </c>
      <c r="F23" s="3099" t="s">
        <v>2439</v>
      </c>
      <c r="G23" s="3099"/>
    </row>
    <row r="24" spans="1:13" ht="19.5" customHeight="1">
      <c r="A24" s="3806"/>
      <c r="B24" s="3799"/>
      <c r="C24" s="3100" t="s">
        <v>2440</v>
      </c>
      <c r="D24" s="3101"/>
      <c r="E24" s="3102">
        <v>0.8</v>
      </c>
      <c r="F24" s="3099" t="s">
        <v>2441</v>
      </c>
      <c r="G24" s="3099"/>
    </row>
    <row r="25" spans="1:13" ht="19.5" customHeight="1" thickBot="1">
      <c r="A25" s="3807"/>
      <c r="B25" s="3801"/>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802" t="s">
        <v>2624</v>
      </c>
      <c r="B27" s="3800" t="s">
        <v>2605</v>
      </c>
      <c r="C27" s="3096" t="s">
        <v>2445</v>
      </c>
      <c r="D27" s="3097"/>
      <c r="E27" s="3098">
        <v>1</v>
      </c>
      <c r="F27" s="3099" t="s">
        <v>2446</v>
      </c>
      <c r="G27" s="3099"/>
    </row>
    <row r="28" spans="1:13" ht="19.5" customHeight="1">
      <c r="A28" s="3803"/>
      <c r="B28" s="3799"/>
      <c r="C28" s="3100" t="s">
        <v>2447</v>
      </c>
      <c r="D28" s="3101"/>
      <c r="E28" s="3102">
        <v>1</v>
      </c>
      <c r="F28" s="3099" t="s">
        <v>2448</v>
      </c>
      <c r="G28" s="3099"/>
    </row>
    <row r="29" spans="1:13" ht="19.5" customHeight="1">
      <c r="A29" s="3803"/>
      <c r="B29" s="3799"/>
      <c r="C29" s="3100" t="s">
        <v>2449</v>
      </c>
      <c r="D29" s="3101"/>
      <c r="E29" s="3102">
        <v>0.8</v>
      </c>
      <c r="F29" s="3099" t="s">
        <v>2450</v>
      </c>
      <c r="G29" s="3099"/>
    </row>
    <row r="30" spans="1:13" ht="19.5" customHeight="1">
      <c r="A30" s="3803"/>
      <c r="B30" s="3799"/>
      <c r="C30" s="3100" t="s">
        <v>2451</v>
      </c>
      <c r="D30" s="3101"/>
      <c r="E30" s="3102">
        <v>0.8</v>
      </c>
      <c r="F30" s="3099" t="s">
        <v>2452</v>
      </c>
      <c r="G30" s="3099"/>
    </row>
    <row r="31" spans="1:13" ht="19.5" customHeight="1">
      <c r="A31" s="3803"/>
      <c r="B31" s="3799"/>
      <c r="C31" s="3100" t="s">
        <v>2453</v>
      </c>
      <c r="D31" s="3101"/>
      <c r="E31" s="3102">
        <v>0.8</v>
      </c>
      <c r="F31" s="3099" t="s">
        <v>2454</v>
      </c>
      <c r="G31" s="3099"/>
    </row>
    <row r="32" spans="1:13" ht="19.5" customHeight="1">
      <c r="A32" s="3803"/>
      <c r="B32" s="3799"/>
      <c r="C32" s="3100" t="s">
        <v>2455</v>
      </c>
      <c r="D32" s="3101"/>
      <c r="E32" s="3102">
        <v>0.7</v>
      </c>
      <c r="F32" s="3099" t="s">
        <v>2456</v>
      </c>
      <c r="G32" s="3099"/>
    </row>
    <row r="33" spans="1:7" ht="19.5" customHeight="1">
      <c r="A33" s="3803"/>
      <c r="B33" s="3799"/>
      <c r="C33" s="3100" t="s">
        <v>2457</v>
      </c>
      <c r="D33" s="3101"/>
      <c r="E33" s="3102">
        <v>0.8</v>
      </c>
      <c r="F33" s="3099" t="s">
        <v>2458</v>
      </c>
      <c r="G33" s="3099"/>
    </row>
    <row r="34" spans="1:7" ht="19.5" customHeight="1">
      <c r="A34" s="3803"/>
      <c r="B34" s="3799"/>
      <c r="C34" s="3100" t="s">
        <v>2459</v>
      </c>
      <c r="D34" s="3101"/>
      <c r="E34" s="3102">
        <v>0.6</v>
      </c>
      <c r="F34" s="3099" t="s">
        <v>2460</v>
      </c>
      <c r="G34" s="3099"/>
    </row>
    <row r="35" spans="1:7" ht="19.5" customHeight="1">
      <c r="A35" s="3803"/>
      <c r="B35" s="3799"/>
      <c r="C35" s="3100" t="s">
        <v>2461</v>
      </c>
      <c r="D35" s="3101"/>
      <c r="E35" s="3102">
        <v>0.2</v>
      </c>
      <c r="F35" s="3099" t="s">
        <v>2462</v>
      </c>
      <c r="G35" s="3099"/>
    </row>
    <row r="36" spans="1:7" ht="19.5" customHeight="1">
      <c r="A36" s="3803"/>
      <c r="B36" s="3799"/>
      <c r="C36" s="3100" t="s">
        <v>2463</v>
      </c>
      <c r="D36" s="3101"/>
      <c r="E36" s="3102">
        <v>0.2</v>
      </c>
      <c r="F36" s="3099" t="s">
        <v>2464</v>
      </c>
      <c r="G36" s="3099"/>
    </row>
    <row r="37" spans="1:7" ht="19.5" customHeight="1">
      <c r="A37" s="3803"/>
      <c r="B37" s="3797" t="s">
        <v>2625</v>
      </c>
      <c r="C37" s="3100" t="s">
        <v>2465</v>
      </c>
      <c r="D37" s="3101"/>
      <c r="E37" s="3102">
        <v>0.6</v>
      </c>
      <c r="F37" s="3099" t="s">
        <v>2466</v>
      </c>
      <c r="G37" s="3099"/>
    </row>
    <row r="38" spans="1:7" ht="19.5" customHeight="1">
      <c r="A38" s="3803"/>
      <c r="B38" s="3799"/>
      <c r="C38" s="3100" t="s">
        <v>2467</v>
      </c>
      <c r="D38" s="3101"/>
      <c r="E38" s="3102">
        <v>0.6</v>
      </c>
      <c r="F38" s="3099" t="s">
        <v>2468</v>
      </c>
      <c r="G38" s="3099"/>
    </row>
    <row r="39" spans="1:7" ht="19.5" customHeight="1" thickBot="1">
      <c r="A39" s="3804"/>
      <c r="B39" s="3801"/>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5" t="s">
        <v>2603</v>
      </c>
      <c r="B41" s="3800" t="s">
        <v>2627</v>
      </c>
      <c r="C41" s="3096" t="s">
        <v>2472</v>
      </c>
      <c r="D41" s="3097"/>
      <c r="E41" s="3098">
        <v>1</v>
      </c>
      <c r="F41" s="3099" t="s">
        <v>2473</v>
      </c>
      <c r="G41" s="3099"/>
    </row>
    <row r="42" spans="1:7" ht="19.5" customHeight="1">
      <c r="A42" s="3806"/>
      <c r="B42" s="3799"/>
      <c r="C42" s="3100" t="s">
        <v>2474</v>
      </c>
      <c r="D42" s="3101"/>
      <c r="E42" s="3102">
        <v>1</v>
      </c>
      <c r="F42" s="3099" t="s">
        <v>2475</v>
      </c>
      <c r="G42" s="3099"/>
    </row>
    <row r="43" spans="1:7" ht="19.5" customHeight="1">
      <c r="A43" s="3806"/>
      <c r="B43" s="3798"/>
      <c r="C43" s="3100" t="s">
        <v>2476</v>
      </c>
      <c r="D43" s="3101"/>
      <c r="E43" s="3102">
        <v>1.5</v>
      </c>
      <c r="F43" s="3099" t="s">
        <v>2477</v>
      </c>
      <c r="G43" s="3099"/>
    </row>
    <row r="44" spans="1:7" ht="19.5" customHeight="1">
      <c r="A44" s="3806"/>
      <c r="B44" s="3111" t="s">
        <v>2628</v>
      </c>
      <c r="C44" s="3100" t="s">
        <v>2629</v>
      </c>
      <c r="D44" s="3101"/>
      <c r="E44" s="3102">
        <v>2</v>
      </c>
      <c r="F44" s="3099" t="s">
        <v>2478</v>
      </c>
      <c r="G44" s="3099"/>
    </row>
    <row r="45" spans="1:7" ht="19.5" customHeight="1">
      <c r="A45" s="3806"/>
      <c r="B45" s="3797" t="s">
        <v>2630</v>
      </c>
      <c r="C45" s="3100" t="s">
        <v>2479</v>
      </c>
      <c r="D45" s="3101"/>
      <c r="E45" s="3102">
        <v>1</v>
      </c>
      <c r="F45" s="3099" t="s">
        <v>2480</v>
      </c>
      <c r="G45" s="3099"/>
    </row>
    <row r="46" spans="1:7" ht="19.5" customHeight="1">
      <c r="A46" s="3806"/>
      <c r="B46" s="3799"/>
      <c r="C46" s="3100" t="s">
        <v>2481</v>
      </c>
      <c r="D46" s="3101"/>
      <c r="E46" s="3102">
        <v>1</v>
      </c>
      <c r="F46" s="3099" t="s">
        <v>2482</v>
      </c>
      <c r="G46" s="3099"/>
    </row>
    <row r="47" spans="1:7" ht="19.5" customHeight="1">
      <c r="A47" s="3806"/>
      <c r="B47" s="3799"/>
      <c r="C47" s="3100" t="s">
        <v>2483</v>
      </c>
      <c r="D47" s="3101"/>
      <c r="E47" s="3102">
        <v>1</v>
      </c>
      <c r="F47" s="3099" t="s">
        <v>2484</v>
      </c>
      <c r="G47" s="3099"/>
    </row>
    <row r="48" spans="1:7" ht="19.5" customHeight="1">
      <c r="A48" s="3806"/>
      <c r="B48" s="3799"/>
      <c r="C48" s="3100" t="s">
        <v>2485</v>
      </c>
      <c r="D48" s="3101"/>
      <c r="E48" s="3102">
        <v>1</v>
      </c>
      <c r="F48" s="3099" t="s">
        <v>2486</v>
      </c>
      <c r="G48" s="3099"/>
    </row>
    <row r="49" spans="1:7" ht="19.5" customHeight="1">
      <c r="A49" s="3806"/>
      <c r="B49" s="3799"/>
      <c r="C49" s="3100" t="s">
        <v>2487</v>
      </c>
      <c r="D49" s="3101"/>
      <c r="E49" s="3102">
        <v>1</v>
      </c>
      <c r="F49" s="3099" t="s">
        <v>2488</v>
      </c>
      <c r="G49" s="3099"/>
    </row>
    <row r="50" spans="1:7" ht="19.5" customHeight="1">
      <c r="A50" s="3806"/>
      <c r="B50" s="3799"/>
      <c r="C50" s="3100" t="s">
        <v>2489</v>
      </c>
      <c r="D50" s="3101"/>
      <c r="E50" s="3102">
        <v>1</v>
      </c>
      <c r="F50" s="3099" t="s">
        <v>2490</v>
      </c>
      <c r="G50" s="3099"/>
    </row>
    <row r="51" spans="1:7" ht="19.5" customHeight="1" thickBot="1">
      <c r="A51" s="3807"/>
      <c r="B51" s="3801"/>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797" t="s">
        <v>2644</v>
      </c>
      <c r="C73" s="3085" t="s">
        <v>2645</v>
      </c>
      <c r="D73" s="3085" t="s">
        <v>2646</v>
      </c>
      <c r="E73" s="3111">
        <v>0.2</v>
      </c>
      <c r="F73" s="3111">
        <v>25</v>
      </c>
    </row>
    <row r="74" spans="1:7" ht="24">
      <c r="A74" s="3111">
        <v>2</v>
      </c>
      <c r="B74" s="3799"/>
      <c r="C74" s="3085" t="s">
        <v>2647</v>
      </c>
      <c r="D74" s="3085" t="s">
        <v>2648</v>
      </c>
      <c r="E74" s="3111">
        <v>0.2</v>
      </c>
      <c r="F74" s="3111">
        <v>25</v>
      </c>
    </row>
    <row r="75" spans="1:7" ht="24">
      <c r="A75" s="3111">
        <v>3</v>
      </c>
      <c r="B75" s="3799"/>
      <c r="C75" s="3085" t="s">
        <v>2649</v>
      </c>
      <c r="D75" s="3085" t="s">
        <v>2650</v>
      </c>
      <c r="E75" s="3111">
        <v>0.2</v>
      </c>
      <c r="F75" s="3111">
        <v>25</v>
      </c>
    </row>
    <row r="76" spans="1:7" ht="13.5">
      <c r="A76" s="3111">
        <v>4</v>
      </c>
      <c r="B76" s="3799"/>
      <c r="C76" s="3085" t="s">
        <v>2651</v>
      </c>
      <c r="D76" s="3085" t="s">
        <v>2652</v>
      </c>
      <c r="E76" s="3111">
        <v>0.15</v>
      </c>
      <c r="F76" s="3111">
        <v>20</v>
      </c>
    </row>
    <row r="77" spans="1:7" ht="24">
      <c r="A77" s="3111">
        <v>5</v>
      </c>
      <c r="B77" s="3799"/>
      <c r="C77" s="3085" t="s">
        <v>2653</v>
      </c>
      <c r="D77" s="3085" t="s">
        <v>2654</v>
      </c>
      <c r="E77" s="3111">
        <v>0.15</v>
      </c>
      <c r="F77" s="3111">
        <v>20</v>
      </c>
    </row>
    <row r="78" spans="1:7" ht="24">
      <c r="A78" s="3111">
        <v>6</v>
      </c>
      <c r="B78" s="3799"/>
      <c r="C78" s="3085" t="s">
        <v>2655</v>
      </c>
      <c r="D78" s="3085" t="s">
        <v>2656</v>
      </c>
      <c r="E78" s="3111">
        <v>0.15</v>
      </c>
      <c r="F78" s="3111">
        <v>20</v>
      </c>
    </row>
    <row r="79" spans="1:7" ht="24">
      <c r="A79" s="3111">
        <v>7</v>
      </c>
      <c r="B79" s="3799"/>
      <c r="C79" s="3085" t="s">
        <v>2657</v>
      </c>
      <c r="D79" s="3085" t="s">
        <v>2658</v>
      </c>
      <c r="E79" s="3111">
        <v>0.15</v>
      </c>
      <c r="F79" s="3111">
        <v>20</v>
      </c>
    </row>
    <row r="80" spans="1:7" ht="24">
      <c r="A80" s="3111">
        <v>8</v>
      </c>
      <c r="B80" s="3799"/>
      <c r="C80" s="3085" t="s">
        <v>2659</v>
      </c>
      <c r="D80" s="3085" t="s">
        <v>2660</v>
      </c>
      <c r="E80" s="3111">
        <v>0.1</v>
      </c>
      <c r="F80" s="3111">
        <v>15</v>
      </c>
    </row>
    <row r="81" spans="1:6" ht="24">
      <c r="A81" s="3111">
        <v>9</v>
      </c>
      <c r="B81" s="3799"/>
      <c r="C81" s="3085" t="s">
        <v>2661</v>
      </c>
      <c r="D81" s="3085" t="s">
        <v>2662</v>
      </c>
      <c r="E81" s="3111">
        <v>0.1</v>
      </c>
      <c r="F81" s="3111">
        <v>15</v>
      </c>
    </row>
    <row r="82" spans="1:6" ht="24">
      <c r="A82" s="3111">
        <v>10</v>
      </c>
      <c r="B82" s="3799"/>
      <c r="C82" s="3085" t="s">
        <v>2663</v>
      </c>
      <c r="D82" s="3085" t="s">
        <v>2664</v>
      </c>
      <c r="E82" s="3111">
        <v>0.1</v>
      </c>
      <c r="F82" s="3111">
        <v>15</v>
      </c>
    </row>
    <row r="83" spans="1:6" ht="24">
      <c r="A83" s="3111">
        <v>11</v>
      </c>
      <c r="B83" s="3799"/>
      <c r="C83" s="3085" t="s">
        <v>2665</v>
      </c>
      <c r="D83" s="3085" t="s">
        <v>2666</v>
      </c>
      <c r="E83" s="3111">
        <v>0.1</v>
      </c>
      <c r="F83" s="3111">
        <v>15</v>
      </c>
    </row>
    <row r="84" spans="1:6" ht="24">
      <c r="A84" s="3111">
        <v>12</v>
      </c>
      <c r="B84" s="3799"/>
      <c r="C84" s="3085" t="s">
        <v>2667</v>
      </c>
      <c r="D84" s="3085" t="s">
        <v>2668</v>
      </c>
      <c r="E84" s="3111">
        <v>0.1</v>
      </c>
      <c r="F84" s="3111">
        <v>15</v>
      </c>
    </row>
    <row r="85" spans="1:6" ht="13.5">
      <c r="A85" s="3111">
        <v>13</v>
      </c>
      <c r="B85" s="3799"/>
      <c r="C85" s="3085" t="s">
        <v>2669</v>
      </c>
      <c r="D85" s="3085" t="s">
        <v>2670</v>
      </c>
      <c r="E85" s="3111">
        <v>0.1</v>
      </c>
      <c r="F85" s="3111">
        <v>15</v>
      </c>
    </row>
    <row r="86" spans="1:6" ht="13.5">
      <c r="A86" s="3111">
        <v>14</v>
      </c>
      <c r="B86" s="3799"/>
      <c r="C86" s="3085" t="s">
        <v>2671</v>
      </c>
      <c r="D86" s="3085" t="s">
        <v>2672</v>
      </c>
      <c r="E86" s="3111">
        <v>0.1</v>
      </c>
      <c r="F86" s="3111">
        <v>15</v>
      </c>
    </row>
    <row r="87" spans="1:6" ht="13.5">
      <c r="A87" s="3111">
        <v>15</v>
      </c>
      <c r="B87" s="3799"/>
      <c r="C87" s="3085" t="s">
        <v>2673</v>
      </c>
      <c r="D87" s="3085" t="s">
        <v>2674</v>
      </c>
      <c r="E87" s="3111">
        <v>0.1</v>
      </c>
      <c r="F87" s="3111">
        <v>15</v>
      </c>
    </row>
    <row r="88" spans="1:6" ht="24">
      <c r="A88" s="3111">
        <v>16</v>
      </c>
      <c r="B88" s="3799"/>
      <c r="C88" s="3085" t="s">
        <v>2675</v>
      </c>
      <c r="D88" s="3085" t="s">
        <v>2676</v>
      </c>
      <c r="E88" s="3111">
        <v>0.1</v>
      </c>
      <c r="F88" s="3111">
        <v>15</v>
      </c>
    </row>
    <row r="89" spans="1:6" ht="24">
      <c r="A89" s="3111">
        <v>17</v>
      </c>
      <c r="B89" s="3798"/>
      <c r="C89" s="3085" t="s">
        <v>2677</v>
      </c>
      <c r="D89" s="3085" t="s">
        <v>2678</v>
      </c>
      <c r="E89" s="3111">
        <v>0.1</v>
      </c>
      <c r="F89" s="3111">
        <v>15</v>
      </c>
    </row>
    <row r="90" spans="1:6" ht="13.5">
      <c r="A90" s="3111">
        <v>18</v>
      </c>
      <c r="B90" s="3797" t="s">
        <v>2679</v>
      </c>
      <c r="C90" s="3085" t="s">
        <v>2680</v>
      </c>
      <c r="D90" s="3085" t="s">
        <v>2681</v>
      </c>
      <c r="E90" s="3111">
        <v>0.2</v>
      </c>
      <c r="F90" s="3111">
        <v>25</v>
      </c>
    </row>
    <row r="91" spans="1:6" ht="24">
      <c r="A91" s="3111">
        <v>19</v>
      </c>
      <c r="B91" s="3799"/>
      <c r="C91" s="3085" t="s">
        <v>2682</v>
      </c>
      <c r="D91" s="3085" t="s">
        <v>2683</v>
      </c>
      <c r="E91" s="3111">
        <v>0.2</v>
      </c>
      <c r="F91" s="3111">
        <v>25</v>
      </c>
    </row>
    <row r="92" spans="1:6" ht="13.5">
      <c r="A92" s="3111">
        <v>20</v>
      </c>
      <c r="B92" s="3799"/>
      <c r="C92" s="3085" t="s">
        <v>2684</v>
      </c>
      <c r="D92" s="3085" t="s">
        <v>2685</v>
      </c>
      <c r="E92" s="3111">
        <v>0.15</v>
      </c>
      <c r="F92" s="3111">
        <v>20</v>
      </c>
    </row>
    <row r="93" spans="1:6" ht="13.5">
      <c r="A93" s="3111">
        <v>21</v>
      </c>
      <c r="B93" s="3799"/>
      <c r="C93" s="3085" t="s">
        <v>2686</v>
      </c>
      <c r="D93" s="3085" t="s">
        <v>2687</v>
      </c>
      <c r="E93" s="3111">
        <v>0.15</v>
      </c>
      <c r="F93" s="3111">
        <v>20</v>
      </c>
    </row>
    <row r="94" spans="1:6" ht="13.5">
      <c r="A94" s="3111">
        <v>22</v>
      </c>
      <c r="B94" s="3799"/>
      <c r="C94" s="3085" t="s">
        <v>2688</v>
      </c>
      <c r="D94" s="3085" t="s">
        <v>2689</v>
      </c>
      <c r="E94" s="3111">
        <v>0.15</v>
      </c>
      <c r="F94" s="3111">
        <v>20</v>
      </c>
    </row>
    <row r="95" spans="1:6" ht="36">
      <c r="A95" s="3111">
        <v>23</v>
      </c>
      <c r="B95" s="3799"/>
      <c r="C95" s="3085" t="s">
        <v>2690</v>
      </c>
      <c r="D95" s="3085" t="s">
        <v>2691</v>
      </c>
      <c r="E95" s="3111">
        <v>0.15</v>
      </c>
      <c r="F95" s="3111">
        <v>20</v>
      </c>
    </row>
    <row r="96" spans="1:6" ht="13.5">
      <c r="A96" s="3111">
        <v>24</v>
      </c>
      <c r="B96" s="3799"/>
      <c r="C96" s="3085" t="s">
        <v>2692</v>
      </c>
      <c r="D96" s="3085" t="s">
        <v>2693</v>
      </c>
      <c r="E96" s="3111">
        <v>0.1</v>
      </c>
      <c r="F96" s="3111">
        <v>15</v>
      </c>
    </row>
    <row r="97" spans="1:6" ht="13.5">
      <c r="A97" s="3111">
        <v>25</v>
      </c>
      <c r="B97" s="3799"/>
      <c r="C97" s="3085" t="s">
        <v>2694</v>
      </c>
      <c r="D97" s="3085" t="s">
        <v>2695</v>
      </c>
      <c r="E97" s="3111">
        <v>0.1</v>
      </c>
      <c r="F97" s="3111">
        <v>15</v>
      </c>
    </row>
    <row r="98" spans="1:6" ht="24">
      <c r="A98" s="3111">
        <v>26</v>
      </c>
      <c r="B98" s="3799"/>
      <c r="C98" s="3085" t="s">
        <v>2696</v>
      </c>
      <c r="D98" s="3085" t="s">
        <v>2697</v>
      </c>
      <c r="E98" s="3111">
        <v>0.1</v>
      </c>
      <c r="F98" s="3111">
        <v>15</v>
      </c>
    </row>
    <row r="99" spans="1:6" ht="24">
      <c r="A99" s="3111">
        <v>27</v>
      </c>
      <c r="B99" s="3799"/>
      <c r="C99" s="3085" t="s">
        <v>2698</v>
      </c>
      <c r="D99" s="3085" t="s">
        <v>2699</v>
      </c>
      <c r="E99" s="3111">
        <v>0.1</v>
      </c>
      <c r="F99" s="3111">
        <v>15</v>
      </c>
    </row>
    <row r="100" spans="1:6" ht="13.5">
      <c r="A100" s="3111">
        <v>28</v>
      </c>
      <c r="B100" s="3799"/>
      <c r="C100" s="3085" t="s">
        <v>2700</v>
      </c>
      <c r="D100" s="3085" t="s">
        <v>2701</v>
      </c>
      <c r="E100" s="3111">
        <v>0.1</v>
      </c>
      <c r="F100" s="3111">
        <v>15</v>
      </c>
    </row>
    <row r="101" spans="1:6" ht="13.5">
      <c r="A101" s="3111">
        <v>29</v>
      </c>
      <c r="B101" s="3799"/>
      <c r="C101" s="3085" t="s">
        <v>2702</v>
      </c>
      <c r="D101" s="3085" t="s">
        <v>2703</v>
      </c>
      <c r="E101" s="3111">
        <v>0.1</v>
      </c>
      <c r="F101" s="3111">
        <v>15</v>
      </c>
    </row>
    <row r="102" spans="1:6" ht="13.5">
      <c r="A102" s="3111">
        <v>30</v>
      </c>
      <c r="B102" s="3799"/>
      <c r="C102" s="3085" t="s">
        <v>2704</v>
      </c>
      <c r="D102" s="3085" t="s">
        <v>2705</v>
      </c>
      <c r="E102" s="3111">
        <v>0.1</v>
      </c>
      <c r="F102" s="3111">
        <v>15</v>
      </c>
    </row>
    <row r="103" spans="1:6" ht="24">
      <c r="A103" s="3111">
        <v>31</v>
      </c>
      <c r="B103" s="3799"/>
      <c r="C103" s="3085" t="s">
        <v>2706</v>
      </c>
      <c r="D103" s="3085" t="s">
        <v>2707</v>
      </c>
      <c r="E103" s="3111">
        <v>0.1</v>
      </c>
      <c r="F103" s="3111">
        <v>15</v>
      </c>
    </row>
    <row r="104" spans="1:6" ht="24">
      <c r="A104" s="3111">
        <v>32</v>
      </c>
      <c r="B104" s="3799"/>
      <c r="C104" s="3085" t="s">
        <v>2708</v>
      </c>
      <c r="D104" s="3085" t="s">
        <v>2709</v>
      </c>
      <c r="E104" s="3111">
        <v>0.1</v>
      </c>
      <c r="F104" s="3111">
        <v>15</v>
      </c>
    </row>
    <row r="105" spans="1:6" ht="24">
      <c r="A105" s="3111">
        <v>33</v>
      </c>
      <c r="B105" s="3799"/>
      <c r="C105" s="3085" t="s">
        <v>2710</v>
      </c>
      <c r="D105" s="3085" t="s">
        <v>2711</v>
      </c>
      <c r="E105" s="3111">
        <v>0.1</v>
      </c>
      <c r="F105" s="3111">
        <v>15</v>
      </c>
    </row>
    <row r="106" spans="1:6" ht="24">
      <c r="A106" s="3111">
        <v>34</v>
      </c>
      <c r="B106" s="3798"/>
      <c r="C106" s="3085" t="s">
        <v>2712</v>
      </c>
      <c r="D106" s="3085" t="s">
        <v>2713</v>
      </c>
      <c r="E106" s="3111">
        <v>0.1</v>
      </c>
      <c r="F106" s="3111">
        <v>15</v>
      </c>
    </row>
    <row r="107" spans="1:6" ht="24">
      <c r="A107" s="3111">
        <v>35</v>
      </c>
      <c r="B107" s="3797" t="s">
        <v>2714</v>
      </c>
      <c r="C107" s="3111" t="s">
        <v>2715</v>
      </c>
      <c r="D107" s="3085" t="s">
        <v>2716</v>
      </c>
      <c r="E107" s="3111">
        <v>0.15</v>
      </c>
      <c r="F107" s="3111">
        <v>20</v>
      </c>
    </row>
    <row r="108" spans="1:6" ht="13.5">
      <c r="A108" s="3111">
        <v>36</v>
      </c>
      <c r="B108" s="3799"/>
      <c r="C108" s="3111" t="s">
        <v>2717</v>
      </c>
      <c r="D108" s="3085" t="s">
        <v>2718</v>
      </c>
      <c r="E108" s="3111">
        <v>0.15</v>
      </c>
      <c r="F108" s="3111">
        <v>20</v>
      </c>
    </row>
    <row r="109" spans="1:6" ht="13.5">
      <c r="A109" s="3111">
        <v>37</v>
      </c>
      <c r="B109" s="3799"/>
      <c r="C109" s="3111" t="s">
        <v>2719</v>
      </c>
      <c r="D109" s="3085" t="s">
        <v>2720</v>
      </c>
      <c r="E109" s="3111">
        <v>0.15</v>
      </c>
      <c r="F109" s="3111">
        <v>20</v>
      </c>
    </row>
    <row r="110" spans="1:6" ht="13.5">
      <c r="A110" s="3111">
        <v>38</v>
      </c>
      <c r="B110" s="3799"/>
      <c r="C110" s="3111" t="s">
        <v>2721</v>
      </c>
      <c r="D110" s="3085" t="s">
        <v>2722</v>
      </c>
      <c r="E110" s="3111">
        <v>0.1</v>
      </c>
      <c r="F110" s="3111">
        <v>15</v>
      </c>
    </row>
    <row r="111" spans="1:6" ht="24">
      <c r="A111" s="3111">
        <v>39</v>
      </c>
      <c r="B111" s="3799"/>
      <c r="C111" s="3111" t="s">
        <v>2723</v>
      </c>
      <c r="D111" s="3085" t="s">
        <v>2724</v>
      </c>
      <c r="E111" s="3111">
        <v>0.1</v>
      </c>
      <c r="F111" s="3111">
        <v>15</v>
      </c>
    </row>
    <row r="112" spans="1:6" ht="24">
      <c r="A112" s="3111">
        <v>40</v>
      </c>
      <c r="B112" s="3798"/>
      <c r="C112" s="3111" t="s">
        <v>2725</v>
      </c>
      <c r="D112" s="3085" t="s">
        <v>2726</v>
      </c>
      <c r="E112" s="3111">
        <v>0.1</v>
      </c>
      <c r="F112" s="3111">
        <v>15</v>
      </c>
    </row>
    <row r="113" spans="1:6" ht="13.5">
      <c r="A113" s="3111">
        <v>41</v>
      </c>
      <c r="B113" s="3796" t="s">
        <v>2727</v>
      </c>
      <c r="C113" s="3111" t="s">
        <v>2728</v>
      </c>
      <c r="D113" s="3085" t="s">
        <v>2729</v>
      </c>
      <c r="E113" s="3111">
        <v>0.1</v>
      </c>
      <c r="F113" s="3111">
        <v>15</v>
      </c>
    </row>
    <row r="114" spans="1:6" ht="13.5">
      <c r="A114" s="3111">
        <v>42</v>
      </c>
      <c r="B114" s="3796"/>
      <c r="C114" s="3111" t="s">
        <v>2730</v>
      </c>
      <c r="D114" s="3085" t="s">
        <v>2731</v>
      </c>
      <c r="E114" s="3111">
        <v>0.1</v>
      </c>
      <c r="F114" s="3111">
        <v>15</v>
      </c>
    </row>
    <row r="115" spans="1:6" ht="24">
      <c r="A115" s="3111">
        <v>43</v>
      </c>
      <c r="B115" s="3796"/>
      <c r="C115" s="3111" t="s">
        <v>2732</v>
      </c>
      <c r="D115" s="3085" t="s">
        <v>2733</v>
      </c>
      <c r="E115" s="3111">
        <v>0.1</v>
      </c>
      <c r="F115" s="3111">
        <v>15</v>
      </c>
    </row>
    <row r="116" spans="1:6" ht="13.5">
      <c r="A116" s="3111">
        <v>44</v>
      </c>
      <c r="B116" s="3797" t="s">
        <v>2734</v>
      </c>
      <c r="C116" s="3111" t="s">
        <v>2735</v>
      </c>
      <c r="D116" s="3085" t="s">
        <v>2736</v>
      </c>
      <c r="E116" s="3111">
        <v>0.1</v>
      </c>
      <c r="F116" s="3111">
        <v>15</v>
      </c>
    </row>
    <row r="117" spans="1:6" ht="24">
      <c r="A117" s="3111">
        <v>45</v>
      </c>
      <c r="B117" s="3798"/>
      <c r="C117" s="3085" t="s">
        <v>2737</v>
      </c>
      <c r="D117" s="3085" t="s">
        <v>2738</v>
      </c>
      <c r="E117" s="3111">
        <v>0.1</v>
      </c>
      <c r="F117" s="3111">
        <v>15</v>
      </c>
    </row>
    <row r="118" spans="1:6" ht="24">
      <c r="A118" s="3111">
        <v>46</v>
      </c>
      <c r="B118" s="3797" t="s">
        <v>2739</v>
      </c>
      <c r="C118" s="3111" t="s">
        <v>2740</v>
      </c>
      <c r="D118" s="3085" t="s">
        <v>2741</v>
      </c>
      <c r="E118" s="3111">
        <v>0.1</v>
      </c>
      <c r="F118" s="3111">
        <v>15</v>
      </c>
    </row>
    <row r="119" spans="1:6" ht="24">
      <c r="A119" s="3111">
        <v>47</v>
      </c>
      <c r="B119" s="3798"/>
      <c r="C119" s="3111" t="s">
        <v>2742</v>
      </c>
      <c r="D119" s="3085" t="s">
        <v>2743</v>
      </c>
      <c r="E119" s="3111">
        <v>0.1</v>
      </c>
      <c r="F119" s="3111">
        <v>15</v>
      </c>
    </row>
    <row r="120" spans="1:6" ht="13.5">
      <c r="A120" s="3111">
        <v>48</v>
      </c>
      <c r="B120" s="3797" t="s">
        <v>2744</v>
      </c>
      <c r="C120" s="3111" t="s">
        <v>2745</v>
      </c>
      <c r="D120" s="3085" t="s">
        <v>2746</v>
      </c>
      <c r="E120" s="3111">
        <v>0.1</v>
      </c>
      <c r="F120" s="3111">
        <v>15</v>
      </c>
    </row>
    <row r="121" spans="1:6" ht="13.5">
      <c r="A121" s="3111">
        <v>49</v>
      </c>
      <c r="B121" s="3798"/>
      <c r="C121" s="3111" t="s">
        <v>2747</v>
      </c>
      <c r="D121" s="3085" t="s">
        <v>2748</v>
      </c>
      <c r="E121" s="3111">
        <v>0.1</v>
      </c>
      <c r="F121" s="3111">
        <v>15</v>
      </c>
    </row>
    <row r="122" spans="1:6" ht="24">
      <c r="A122" s="3111">
        <v>50</v>
      </c>
      <c r="B122" s="3796" t="s">
        <v>2749</v>
      </c>
      <c r="C122" s="3111" t="s">
        <v>2750</v>
      </c>
      <c r="D122" s="3085" t="s">
        <v>2751</v>
      </c>
      <c r="E122" s="3111">
        <v>0.1</v>
      </c>
      <c r="F122" s="3111">
        <v>15</v>
      </c>
    </row>
    <row r="123" spans="1:6" ht="24">
      <c r="A123" s="3111">
        <v>51</v>
      </c>
      <c r="B123" s="3796"/>
      <c r="C123" s="3111" t="s">
        <v>2752</v>
      </c>
      <c r="D123" s="3085" t="s">
        <v>2753</v>
      </c>
      <c r="E123" s="3111">
        <v>0.1</v>
      </c>
      <c r="F123" s="3111">
        <v>15</v>
      </c>
    </row>
    <row r="124" spans="1:6" ht="24">
      <c r="A124" s="3111">
        <v>52</v>
      </c>
      <c r="B124" s="3796" t="s">
        <v>2754</v>
      </c>
      <c r="C124" s="3111" t="s">
        <v>2755</v>
      </c>
      <c r="D124" s="3085" t="s">
        <v>2756</v>
      </c>
      <c r="E124" s="3111">
        <v>0.1</v>
      </c>
      <c r="F124" s="3111">
        <v>15</v>
      </c>
    </row>
    <row r="125" spans="1:6" ht="24">
      <c r="A125" s="3111">
        <v>53</v>
      </c>
      <c r="B125" s="3796"/>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796" t="s">
        <v>2762</v>
      </c>
      <c r="C127" s="3111" t="s">
        <v>2763</v>
      </c>
      <c r="D127" s="3085" t="s">
        <v>2764</v>
      </c>
      <c r="E127" s="3111">
        <v>0.1</v>
      </c>
      <c r="F127" s="3111">
        <v>15</v>
      </c>
    </row>
    <row r="128" spans="1:6" ht="13.5">
      <c r="A128" s="3111">
        <v>56</v>
      </c>
      <c r="B128" s="3796"/>
      <c r="C128" s="3111" t="s">
        <v>2765</v>
      </c>
      <c r="D128" s="3085" t="s">
        <v>2766</v>
      </c>
      <c r="E128" s="3111">
        <v>0.1</v>
      </c>
      <c r="F128" s="3111">
        <v>15</v>
      </c>
    </row>
    <row r="129" spans="1:6" ht="24">
      <c r="A129" s="3111">
        <v>57</v>
      </c>
      <c r="B129" s="3796"/>
      <c r="C129" s="3111" t="s">
        <v>2767</v>
      </c>
      <c r="D129" s="3085" t="s">
        <v>2768</v>
      </c>
      <c r="E129" s="3111">
        <v>0.1</v>
      </c>
      <c r="F129" s="3111">
        <v>15</v>
      </c>
    </row>
    <row r="130" spans="1:6" ht="24">
      <c r="A130" s="3111">
        <v>58</v>
      </c>
      <c r="B130" s="3796" t="s">
        <v>2769</v>
      </c>
      <c r="C130" s="3111" t="s">
        <v>2770</v>
      </c>
      <c r="D130" s="3085" t="s">
        <v>2771</v>
      </c>
      <c r="E130" s="3111">
        <v>0.1</v>
      </c>
      <c r="F130" s="3111">
        <v>15</v>
      </c>
    </row>
    <row r="131" spans="1:6" ht="13.5">
      <c r="A131" s="3111">
        <v>59</v>
      </c>
      <c r="B131" s="3796"/>
      <c r="C131" s="3111" t="s">
        <v>2772</v>
      </c>
      <c r="D131" s="3085" t="s">
        <v>2773</v>
      </c>
      <c r="E131" s="3111">
        <v>0.1</v>
      </c>
      <c r="F131" s="3111">
        <v>15</v>
      </c>
    </row>
    <row r="132" spans="1:6" ht="13.5">
      <c r="A132" s="3111">
        <v>60</v>
      </c>
      <c r="B132" s="3797" t="s">
        <v>2774</v>
      </c>
      <c r="C132" s="3111" t="s">
        <v>2775</v>
      </c>
      <c r="D132" s="3085" t="s">
        <v>2776</v>
      </c>
      <c r="E132" s="3111">
        <v>0.1</v>
      </c>
      <c r="F132" s="3111">
        <v>15</v>
      </c>
    </row>
    <row r="133" spans="1:6" ht="13.5">
      <c r="A133" s="3111">
        <v>61</v>
      </c>
      <c r="B133" s="3798"/>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796" t="s">
        <v>2782</v>
      </c>
      <c r="C135" s="3111" t="s">
        <v>2783</v>
      </c>
      <c r="D135" s="3085" t="s">
        <v>2784</v>
      </c>
      <c r="E135" s="3111">
        <v>0.1</v>
      </c>
      <c r="F135" s="3111">
        <v>15</v>
      </c>
    </row>
    <row r="136" spans="1:6" ht="13.5">
      <c r="A136" s="3111">
        <v>64</v>
      </c>
      <c r="B136" s="3796"/>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5" t="s">
        <v>949</v>
      </c>
      <c r="B1" s="3515"/>
      <c r="C1" s="3515"/>
      <c r="D1" s="3515"/>
    </row>
    <row r="2" spans="1:4" ht="18">
      <c r="A2" s="3516" t="s">
        <v>933</v>
      </c>
      <c r="B2" s="3516"/>
      <c r="C2" s="3516"/>
      <c r="D2" s="3516"/>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6" t="s">
        <v>939</v>
      </c>
      <c r="B6" s="3516"/>
      <c r="C6" s="3516"/>
      <c r="D6" s="3516"/>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7"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09" t="str">
        <f>IF(项目基本情况!B8="抵押","4.本次评估估价师所知悉的法定优先受偿款情况说明如下：","——")</f>
        <v>4.本次评估估价师所知悉的法定优先受偿款情况说明如下：</v>
      </c>
      <c r="B14" s="3514"/>
      <c r="C14" s="3514"/>
      <c r="D14" s="3514"/>
    </row>
    <row r="15" spans="1:4" ht="42" customHeight="1">
      <c r="A15" s="350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1" t="s">
        <v>943</v>
      </c>
      <c r="B16" s="3511"/>
      <c r="C16" s="3511"/>
      <c r="D16" s="3511"/>
    </row>
    <row r="17" spans="1:4" ht="144" customHeight="1">
      <c r="A17" s="3511" t="s">
        <v>944</v>
      </c>
      <c r="B17" s="3511"/>
      <c r="C17" s="3511"/>
      <c r="D17" s="3511"/>
    </row>
    <row r="18" spans="1:4" ht="15.75" customHeight="1">
      <c r="A18" s="3509" t="str">
        <f>IF(项目基本情况!B8="抵押",'结果表-307'!K120,"——")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2"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2024-07-16T07:45:15Z</dcterms:modified>
</cp:coreProperties>
</file>